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thi\Desktop\mat\capa\GOTRM\revision tp\examen blanc\examen\venissieux rattrapage\partie 2\corrigé\"/>
    </mc:Choice>
  </mc:AlternateContent>
  <xr:revisionPtr revIDLastSave="0" documentId="13_ncr:1_{01BA939F-8445-4EEB-8805-CB502D7F017A}" xr6:coauthVersionLast="47" xr6:coauthVersionMax="47" xr10:uidLastSave="{00000000-0000-0000-0000-000000000000}"/>
  <bookViews>
    <workbookView xWindow="-120" yWindow="-120" windowWidth="20730" windowHeight="11160" tabRatio="721" activeTab="3" xr2:uid="{00000000-000D-0000-FFFF-FFFF00000000}"/>
  </bookViews>
  <sheets>
    <sheet name="RAMASSES BOEUFDOR" sheetId="2" r:id="rId1"/>
    <sheet name="RAMASSES MARTIN-GUIBERT" sheetId="3" r:id="rId2"/>
    <sheet name="RAMASSES GELPLUS" sheetId="4" r:id="rId3"/>
    <sheet name="REORGANISATION RAMASSES" sheetId="8" r:id="rId4"/>
    <sheet name="Feuil1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H21" i="3"/>
  <c r="F24" i="3" s="1"/>
  <c r="G24" i="3" s="1"/>
  <c r="H24" i="3" s="1"/>
  <c r="H14" i="3"/>
  <c r="H7" i="3"/>
  <c r="F17" i="2"/>
  <c r="D17" i="2"/>
  <c r="C9" i="4"/>
  <c r="H7" i="4"/>
  <c r="F10" i="2"/>
  <c r="H26" i="8"/>
  <c r="G26" i="8"/>
  <c r="F26" i="8"/>
  <c r="E26" i="8"/>
  <c r="G17" i="8"/>
  <c r="F17" i="4"/>
  <c r="E17" i="4"/>
  <c r="D17" i="4"/>
  <c r="H13" i="4"/>
  <c r="G13" i="4"/>
  <c r="F13" i="4"/>
  <c r="E13" i="4"/>
  <c r="D13" i="4"/>
  <c r="C10" i="4"/>
  <c r="D8" i="4"/>
  <c r="C8" i="4"/>
  <c r="D7" i="4"/>
  <c r="C7" i="4"/>
  <c r="E24" i="3"/>
  <c r="D24" i="3"/>
  <c r="F17" i="3"/>
  <c r="E17" i="3"/>
  <c r="G17" i="3" s="1"/>
  <c r="H17" i="3" s="1"/>
  <c r="D17" i="3"/>
  <c r="D14" i="3"/>
  <c r="F10" i="3"/>
  <c r="E10" i="3"/>
  <c r="G10" i="3" s="1"/>
  <c r="H10" i="3" s="1"/>
  <c r="D10" i="3"/>
  <c r="D7" i="3"/>
  <c r="C7" i="3"/>
  <c r="H24" i="2"/>
  <c r="G24" i="2"/>
  <c r="E17" i="2"/>
  <c r="F24" i="2"/>
  <c r="E24" i="2"/>
  <c r="D24" i="2"/>
  <c r="H21" i="2"/>
  <c r="C21" i="2"/>
  <c r="H14" i="2"/>
  <c r="H7" i="2"/>
  <c r="E10" i="2" s="1"/>
  <c r="G10" i="2" s="1"/>
  <c r="H10" i="2" s="1"/>
  <c r="C14" i="2"/>
  <c r="D14" i="2"/>
  <c r="D10" i="2"/>
  <c r="D7" i="2"/>
  <c r="C7" i="2"/>
  <c r="E28" i="3" l="1"/>
  <c r="G17" i="2"/>
  <c r="H17" i="2" s="1"/>
  <c r="E28" i="2" l="1"/>
  <c r="F28" i="2" s="1"/>
</calcChain>
</file>

<file path=xl/sharedStrings.xml><?xml version="1.0" encoding="utf-8"?>
<sst xmlns="http://schemas.openxmlformats.org/spreadsheetml/2006/main" count="247" uniqueCount="98">
  <si>
    <t>RAMASSE 1</t>
  </si>
  <si>
    <t>Horaire d'enlèvement</t>
  </si>
  <si>
    <t>Quantité remise</t>
  </si>
  <si>
    <t>Temps de service quotidien</t>
  </si>
  <si>
    <t xml:space="preserve">Divers morceaux de bœuf </t>
  </si>
  <si>
    <t>RAMASSE 2</t>
  </si>
  <si>
    <t>Viandes hachées</t>
  </si>
  <si>
    <t>RAMASSE 3</t>
  </si>
  <si>
    <t>Préparations culinaires</t>
  </si>
  <si>
    <t>Véhicule nécessaire (préciser sa classe)</t>
  </si>
  <si>
    <t>RAMASSES BOEUFDOR - CASTELNAUDARY - CONDITIONS ACTUELLES</t>
  </si>
  <si>
    <t>BOEUFDOR</t>
  </si>
  <si>
    <t>MARTIN-GUIBERT</t>
  </si>
  <si>
    <t>GELPLUS</t>
  </si>
  <si>
    <t xml:space="preserve">Kilométrage quotidien </t>
  </si>
  <si>
    <t>Quantité remise quotidiennement</t>
  </si>
  <si>
    <t>Mètres linéaires</t>
  </si>
  <si>
    <t>Prix de revient kilométrique (PRK)</t>
  </si>
  <si>
    <t>RAMASSES MARTIN-GUIBERT - CARCASSONNE - CONDITIONS ACTUELLES</t>
  </si>
  <si>
    <t>Poulets, poules, dindes</t>
  </si>
  <si>
    <t>Viandes de volaille</t>
  </si>
  <si>
    <t>Foie gras et terrines de canard</t>
  </si>
  <si>
    <t xml:space="preserve">RAMASSE </t>
  </si>
  <si>
    <t>Crèmes glacées, sorbets, glaces</t>
  </si>
  <si>
    <t>Pâtisseries et légumes</t>
  </si>
  <si>
    <t>Totaux</t>
  </si>
  <si>
    <t>RAMASSES GELPLUS - LIMOUX - CONDITIONS ACTUELLES</t>
  </si>
  <si>
    <t>Véhicules nécessaires</t>
  </si>
  <si>
    <t>PRK</t>
  </si>
  <si>
    <t xml:space="preserve">Horaires enlèvement </t>
  </si>
  <si>
    <t>PRK Total</t>
  </si>
  <si>
    <t>Moyenne PRK</t>
  </si>
  <si>
    <t>RECAPITULATIF DES RAMASSES ACTUELLES</t>
  </si>
  <si>
    <t>REORGANISATION PROPOSEE AU DEPART DES QUAIS TRANSGOTRM</t>
  </si>
  <si>
    <t>Client</t>
  </si>
  <si>
    <t xml:space="preserve">Horaire d'enlèvement </t>
  </si>
  <si>
    <t>kilomètres</t>
  </si>
  <si>
    <t>Véhicules à mettre en œuvre</t>
  </si>
  <si>
    <t>Coût kilométrique quotidien</t>
  </si>
  <si>
    <t>Coût horaire quotidien</t>
  </si>
  <si>
    <t>Temps de chargement en centièmes d'heures</t>
  </si>
  <si>
    <t>Temps de service</t>
  </si>
  <si>
    <t>Retour quai TRANSGOTRM</t>
  </si>
  <si>
    <t xml:space="preserve">Vitesse </t>
  </si>
  <si>
    <t>Kilomètres quotidiens totaux</t>
  </si>
  <si>
    <t>Temps de service totaux quotidien</t>
  </si>
  <si>
    <t>Horaire retour</t>
  </si>
  <si>
    <t xml:space="preserve">Coût kilométrique quotidien </t>
  </si>
  <si>
    <t xml:space="preserve">Coût horaire quotidien </t>
  </si>
  <si>
    <t xml:space="preserve">Coût journalier quotidien </t>
  </si>
  <si>
    <t>Coût journalier quotidien</t>
  </si>
  <si>
    <t>Coût Total quotidien Ramasse 1</t>
  </si>
  <si>
    <t>PRK ramasse n°1</t>
  </si>
  <si>
    <t>Coût total quotidien ramasse BOEUFDOR</t>
  </si>
  <si>
    <t>PRK ramasse n°2</t>
  </si>
  <si>
    <t>PRK ramasse n°3</t>
  </si>
  <si>
    <t>Coût Total quotidien Ramasse 2</t>
  </si>
  <si>
    <t>Coût Total quotidien Ramasse 3</t>
  </si>
  <si>
    <t xml:space="preserve">Coût Total quotidien Ramasse </t>
  </si>
  <si>
    <t xml:space="preserve">PRK ramasse </t>
  </si>
  <si>
    <t xml:space="preserve">PRK Moyen </t>
  </si>
  <si>
    <t>RECAPITULATIF DE LA REORGANISATION POUR LES TROIS NOUVELLES RAMASSES</t>
  </si>
  <si>
    <t>mètres linéaires</t>
  </si>
  <si>
    <t>REORGANISATION DES RAMASSES AU DEPART DES QUAIS DE CARCASSONNE</t>
  </si>
  <si>
    <t>Coût total quotidien ramasse MARTIN-GUIBERT</t>
  </si>
  <si>
    <t>Coût total quotidien ramasse GELPLUS</t>
  </si>
  <si>
    <t>Poids Brut Total en kg</t>
  </si>
  <si>
    <t>Poids total en kg</t>
  </si>
  <si>
    <t>9 PAL EUR</t>
  </si>
  <si>
    <t>10h</t>
  </si>
  <si>
    <t>7,5 frc</t>
  </si>
  <si>
    <t>16 pal iso</t>
  </si>
  <si>
    <t>11h</t>
  </si>
  <si>
    <t>19 t Rra</t>
  </si>
  <si>
    <t>150 colis</t>
  </si>
  <si>
    <t>neant</t>
  </si>
  <si>
    <t>13h</t>
  </si>
  <si>
    <t>10 pal eur</t>
  </si>
  <si>
    <t>08h</t>
  </si>
  <si>
    <t>porteur 7,5t frc</t>
  </si>
  <si>
    <t xml:space="preserve">8 pal </t>
  </si>
  <si>
    <t>porteur rra 7,5t</t>
  </si>
  <si>
    <t>porteur 19t rra</t>
  </si>
  <si>
    <t>12 pal 80*80</t>
  </si>
  <si>
    <t>50 colis</t>
  </si>
  <si>
    <t>ea 44t frc</t>
  </si>
  <si>
    <t>porteur 19 rra</t>
  </si>
  <si>
    <t>porteur 19raa</t>
  </si>
  <si>
    <t>porteur 7,5t rra</t>
  </si>
  <si>
    <t>porteur 19 t rra</t>
  </si>
  <si>
    <t>ea 44 t frc</t>
  </si>
  <si>
    <t>martin guilbert</t>
  </si>
  <si>
    <t>boeufdor</t>
  </si>
  <si>
    <t>gelplus</t>
  </si>
  <si>
    <t>17h</t>
  </si>
  <si>
    <t>13H</t>
  </si>
  <si>
    <t>16H30</t>
  </si>
  <si>
    <t>;hè                                  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</si>
</sst>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00B0F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3" fillId="5" borderId="3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44" fontId="0" fillId="0" borderId="0" xfId="0" applyNumberFormat="1"/>
    <xf numFmtId="0" fontId="3" fillId="0" borderId="4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3" borderId="17" xfId="1" applyFont="1" applyFill="1" applyBorder="1" applyAlignment="1">
      <alignment horizontal="center" vertical="center"/>
    </xf>
    <xf numFmtId="44" fontId="3" fillId="3" borderId="6" xfId="1" applyFont="1" applyFill="1" applyBorder="1" applyAlignment="1">
      <alignment horizontal="center" vertical="center"/>
    </xf>
    <xf numFmtId="44" fontId="3" fillId="3" borderId="6" xfId="0" applyNumberFormat="1" applyFont="1" applyFill="1" applyBorder="1" applyAlignment="1">
      <alignment horizontal="center" vertical="center"/>
    </xf>
    <xf numFmtId="44" fontId="3" fillId="0" borderId="5" xfId="0" applyNumberFormat="1" applyFont="1" applyBorder="1"/>
    <xf numFmtId="44" fontId="3" fillId="0" borderId="15" xfId="0" applyNumberFormat="1" applyFont="1" applyBorder="1"/>
    <xf numFmtId="44" fontId="3" fillId="0" borderId="16" xfId="0" applyNumberFormat="1" applyFont="1" applyBorder="1"/>
    <xf numFmtId="164" fontId="3" fillId="0" borderId="30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44" fontId="5" fillId="0" borderId="8" xfId="0" applyNumberFormat="1" applyFont="1" applyBorder="1"/>
    <xf numFmtId="44" fontId="5" fillId="0" borderId="9" xfId="0" applyNumberFormat="1" applyFont="1" applyBorder="1"/>
    <xf numFmtId="44" fontId="5" fillId="0" borderId="10" xfId="0" applyNumberFormat="1" applyFont="1" applyBorder="1"/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64" fontId="8" fillId="3" borderId="7" xfId="1" applyNumberFormat="1" applyFont="1" applyFill="1" applyBorder="1" applyAlignment="1">
      <alignment horizontal="center"/>
    </xf>
    <xf numFmtId="164" fontId="8" fillId="3" borderId="30" xfId="0" applyNumberFormat="1" applyFont="1" applyFill="1" applyBorder="1"/>
    <xf numFmtId="0" fontId="8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4" fillId="3" borderId="42" xfId="0" applyFont="1" applyFill="1" applyBorder="1"/>
    <xf numFmtId="0" fontId="4" fillId="3" borderId="14" xfId="0" applyFont="1" applyFill="1" applyBorder="1"/>
    <xf numFmtId="0" fontId="8" fillId="0" borderId="45" xfId="0" applyFont="1" applyBorder="1" applyAlignment="1">
      <alignment horizontal="center"/>
    </xf>
    <xf numFmtId="2" fontId="8" fillId="0" borderId="46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44" fontId="8" fillId="0" borderId="37" xfId="1" applyFont="1" applyBorder="1"/>
    <xf numFmtId="44" fontId="8" fillId="0" borderId="21" xfId="1" applyFont="1" applyBorder="1"/>
    <xf numFmtId="44" fontId="8" fillId="0" borderId="38" xfId="1" applyFont="1" applyBorder="1"/>
    <xf numFmtId="164" fontId="8" fillId="0" borderId="38" xfId="1" applyNumberFormat="1" applyFont="1" applyBorder="1"/>
    <xf numFmtId="0" fontId="3" fillId="6" borderId="3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9" fillId="7" borderId="42" xfId="0" applyFont="1" applyFill="1" applyBorder="1"/>
    <xf numFmtId="0" fontId="9" fillId="7" borderId="14" xfId="0" applyFont="1" applyFill="1" applyBorder="1"/>
    <xf numFmtId="0" fontId="9" fillId="7" borderId="30" xfId="0" applyFont="1" applyFill="1" applyBorder="1"/>
    <xf numFmtId="0" fontId="9" fillId="7" borderId="44" xfId="0" applyFont="1" applyFill="1" applyBorder="1"/>
    <xf numFmtId="0" fontId="9" fillId="7" borderId="18" xfId="0" applyFont="1" applyFill="1" applyBorder="1" applyAlignment="1">
      <alignment horizontal="center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/>
    </xf>
    <xf numFmtId="2" fontId="12" fillId="0" borderId="43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2" fontId="12" fillId="0" borderId="46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2" fontId="12" fillId="3" borderId="4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2" fontId="12" fillId="3" borderId="7" xfId="0" applyNumberFormat="1" applyFont="1" applyFill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33" xfId="0" applyFont="1" applyFill="1" applyBorder="1" applyAlignment="1">
      <alignment horizontal="center"/>
    </xf>
    <xf numFmtId="164" fontId="8" fillId="0" borderId="43" xfId="1" applyNumberFormat="1" applyFont="1" applyBorder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9" fillId="7" borderId="24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/>
    </xf>
  </cellXfs>
  <cellStyles count="3">
    <cellStyle name="Monétaire" xfId="1" builtinId="4"/>
    <cellStyle name="Monétaire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95250</xdr:rowOff>
    </xdr:from>
    <xdr:to>
      <xdr:col>7</xdr:col>
      <xdr:colOff>1190625</xdr:colOff>
      <xdr:row>2</xdr:row>
      <xdr:rowOff>106680</xdr:rowOff>
    </xdr:to>
    <xdr:pic>
      <xdr:nvPicPr>
        <xdr:cNvPr id="2" name="Image 1" descr="C:\Users\02GB020\Desktop\IF VALOU\T_GOTRM\GOTRM 2020\DTE TP\DTE TP GOTRM 04\DTE_GOTRM04_VC_AC2\FICHIERS_PREPA\LOGO_BOEUFDO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95250"/>
          <a:ext cx="971550" cy="506730"/>
        </a:xfrm>
        <a:prstGeom prst="rect">
          <a:avLst/>
        </a:prstGeom>
        <a:noFill/>
        <a:ln w="19050">
          <a:solidFill>
            <a:srgbClr val="C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0</xdr:row>
      <xdr:rowOff>9525</xdr:rowOff>
    </xdr:from>
    <xdr:to>
      <xdr:col>7</xdr:col>
      <xdr:colOff>1038860</xdr:colOff>
      <xdr:row>3</xdr:row>
      <xdr:rowOff>118110</xdr:rowOff>
    </xdr:to>
    <xdr:pic>
      <xdr:nvPicPr>
        <xdr:cNvPr id="9" name="Image 8" descr="C:\Users\02GB020\Desktop\IF VALOU\T_GOTRM\GOTRM 2020\DTE TP\DTE TP GOTRM 04\DTE_GOTRM04_VC_AC2\FICHIERS_PREPA\LOGO_MARTIN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9525"/>
          <a:ext cx="905510" cy="661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76201</xdr:colOff>
      <xdr:row>0</xdr:row>
      <xdr:rowOff>19050</xdr:rowOff>
    </xdr:from>
    <xdr:to>
      <xdr:col>7</xdr:col>
      <xdr:colOff>914401</xdr:colOff>
      <xdr:row>3</xdr:row>
      <xdr:rowOff>133350</xdr:rowOff>
    </xdr:to>
    <xdr:pic>
      <xdr:nvPicPr>
        <xdr:cNvPr id="3" name="Image 2" descr="C:\Users\02GB020\Desktop\IF VALOU\T_GOTRM\GOTRM 2020\DTE TP\DTE TP GOTRM 04\DTE_GOTRM04_VC_AC2\FICHIERS_PREPA\LOGO_GELPLUS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6" y="19050"/>
          <a:ext cx="838200" cy="619125"/>
        </a:xfrm>
        <a:prstGeom prst="rect">
          <a:avLst/>
        </a:prstGeom>
        <a:noFill/>
        <a:ln w="19050"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H28"/>
  <sheetViews>
    <sheetView showGridLines="0" topLeftCell="A5" zoomScale="110" zoomScaleNormal="110" workbookViewId="0">
      <selection activeCell="F14" sqref="F14"/>
    </sheetView>
  </sheetViews>
  <sheetFormatPr baseColWidth="10" defaultRowHeight="12.75" x14ac:dyDescent="0.2"/>
  <cols>
    <col min="1" max="1" width="13.140625" style="1" customWidth="1"/>
    <col min="2" max="2" width="16.42578125" style="1" customWidth="1"/>
    <col min="3" max="3" width="15.5703125" style="1" customWidth="1"/>
    <col min="4" max="4" width="20.42578125" style="1" customWidth="1"/>
    <col min="5" max="5" width="18.42578125" style="1" customWidth="1"/>
    <col min="6" max="6" width="22.5703125" style="1" customWidth="1"/>
    <col min="7" max="7" width="19.85546875" style="1" customWidth="1"/>
    <col min="8" max="8" width="18.28515625" style="1" customWidth="1"/>
    <col min="9" max="9" width="19.28515625" style="1" customWidth="1"/>
    <col min="10" max="11" width="12.7109375" style="1" customWidth="1"/>
    <col min="12" max="16384" width="11.42578125" style="1"/>
  </cols>
  <sheetData>
    <row r="1" spans="1:8" ht="13.5" thickBot="1" x14ac:dyDescent="0.25"/>
    <row r="2" spans="1:8" ht="25.5" customHeight="1" thickBot="1" x14ac:dyDescent="0.25">
      <c r="B2" s="113" t="s">
        <v>10</v>
      </c>
      <c r="C2" s="114"/>
      <c r="D2" s="114"/>
      <c r="E2" s="114"/>
      <c r="F2" s="114"/>
      <c r="G2" s="115"/>
    </row>
    <row r="4" spans="1:8" ht="13.5" thickBot="1" x14ac:dyDescent="0.25"/>
    <row r="5" spans="1:8" x14ac:dyDescent="0.2">
      <c r="A5" s="103" t="s">
        <v>0</v>
      </c>
      <c r="B5" s="97" t="s">
        <v>15</v>
      </c>
      <c r="C5" s="97" t="s">
        <v>66</v>
      </c>
      <c r="D5" s="97" t="s">
        <v>16</v>
      </c>
      <c r="E5" s="97" t="s">
        <v>1</v>
      </c>
      <c r="F5" s="97" t="s">
        <v>9</v>
      </c>
      <c r="G5" s="99" t="s">
        <v>14</v>
      </c>
      <c r="H5" s="97" t="s">
        <v>3</v>
      </c>
    </row>
    <row r="6" spans="1:8" ht="27" customHeight="1" thickBot="1" x14ac:dyDescent="0.25">
      <c r="A6" s="104"/>
      <c r="B6" s="98"/>
      <c r="C6" s="98"/>
      <c r="D6" s="98"/>
      <c r="E6" s="98"/>
      <c r="F6" s="98"/>
      <c r="G6" s="100"/>
      <c r="H6" s="98"/>
    </row>
    <row r="7" spans="1:8" ht="27.75" customHeight="1" thickBot="1" x14ac:dyDescent="0.25">
      <c r="A7" s="94" t="s">
        <v>4</v>
      </c>
      <c r="B7" s="24" t="s">
        <v>68</v>
      </c>
      <c r="C7" s="25">
        <f>9*150</f>
        <v>1350</v>
      </c>
      <c r="D7" s="25">
        <f>9* (0.8*1.2)/2.4</f>
        <v>3.6000000000000005</v>
      </c>
      <c r="E7" s="26" t="s">
        <v>69</v>
      </c>
      <c r="F7" s="27" t="s">
        <v>70</v>
      </c>
      <c r="G7" s="26">
        <v>80</v>
      </c>
      <c r="H7" s="28">
        <f>(80/65)+0.5</f>
        <v>1.7307692307692308</v>
      </c>
    </row>
    <row r="8" spans="1:8" ht="12.75" customHeight="1" x14ac:dyDescent="0.2">
      <c r="A8" s="116"/>
      <c r="B8" s="5"/>
      <c r="C8" s="5"/>
      <c r="D8" s="101" t="s">
        <v>38</v>
      </c>
      <c r="E8" s="101" t="s">
        <v>39</v>
      </c>
      <c r="F8" s="101" t="s">
        <v>50</v>
      </c>
      <c r="G8" s="97" t="s">
        <v>51</v>
      </c>
      <c r="H8" s="97" t="s">
        <v>52</v>
      </c>
    </row>
    <row r="9" spans="1:8" ht="21.75" customHeight="1" x14ac:dyDescent="0.2">
      <c r="A9" s="116"/>
      <c r="B9" s="6"/>
      <c r="C9" s="6"/>
      <c r="D9" s="102"/>
      <c r="E9" s="102"/>
      <c r="F9" s="102"/>
      <c r="G9" s="98"/>
      <c r="H9" s="98"/>
    </row>
    <row r="10" spans="1:8" ht="13.5" thickBot="1" x14ac:dyDescent="0.25">
      <c r="A10" s="117"/>
      <c r="B10" s="19"/>
      <c r="C10" s="19"/>
      <c r="D10" s="29">
        <f>0.304*G7</f>
        <v>24.32</v>
      </c>
      <c r="E10" s="29">
        <f>17.75*H7</f>
        <v>30.721153846153847</v>
      </c>
      <c r="F10" s="30">
        <f>190.85/7.5*1.73</f>
        <v>44.022733333333328</v>
      </c>
      <c r="G10" s="31">
        <f>SUM(D10:F10)</f>
        <v>99.063887179487182</v>
      </c>
      <c r="H10" s="31">
        <f>G10/G7</f>
        <v>1.2382985897435899</v>
      </c>
    </row>
    <row r="11" spans="1:8" ht="13.5" thickBot="1" x14ac:dyDescent="0.25">
      <c r="A11" s="7"/>
      <c r="B11" s="7"/>
      <c r="C11" s="7"/>
      <c r="D11" s="7"/>
      <c r="E11" s="7"/>
      <c r="F11" s="7"/>
      <c r="G11" s="7"/>
      <c r="H11" s="7"/>
    </row>
    <row r="12" spans="1:8" ht="12.75" customHeight="1" x14ac:dyDescent="0.2">
      <c r="A12" s="103" t="s">
        <v>5</v>
      </c>
      <c r="B12" s="97" t="s">
        <v>15</v>
      </c>
      <c r="C12" s="97" t="s">
        <v>66</v>
      </c>
      <c r="D12" s="97" t="s">
        <v>16</v>
      </c>
      <c r="E12" s="97" t="s">
        <v>1</v>
      </c>
      <c r="F12" s="97" t="s">
        <v>9</v>
      </c>
      <c r="G12" s="99" t="s">
        <v>14</v>
      </c>
      <c r="H12" s="97" t="s">
        <v>3</v>
      </c>
    </row>
    <row r="13" spans="1:8" ht="25.5" customHeight="1" thickBot="1" x14ac:dyDescent="0.25">
      <c r="A13" s="104"/>
      <c r="B13" s="98"/>
      <c r="C13" s="98"/>
      <c r="D13" s="98"/>
      <c r="E13" s="98"/>
      <c r="F13" s="98"/>
      <c r="G13" s="100"/>
      <c r="H13" s="98"/>
    </row>
    <row r="14" spans="1:8" ht="29.25" customHeight="1" thickBot="1" x14ac:dyDescent="0.25">
      <c r="A14" s="94" t="s">
        <v>6</v>
      </c>
      <c r="B14" s="27" t="s">
        <v>71</v>
      </c>
      <c r="C14" s="84">
        <f>16*180</f>
        <v>2880</v>
      </c>
      <c r="D14" s="26">
        <f>(1*1.2)*16/2.4</f>
        <v>8</v>
      </c>
      <c r="E14" s="26" t="s">
        <v>72</v>
      </c>
      <c r="F14" s="27" t="s">
        <v>73</v>
      </c>
      <c r="G14" s="26">
        <v>75</v>
      </c>
      <c r="H14" s="28">
        <f>(75/65)+0.5</f>
        <v>1.6538461538461537</v>
      </c>
    </row>
    <row r="15" spans="1:8" ht="12.75" customHeight="1" x14ac:dyDescent="0.2">
      <c r="A15" s="95"/>
      <c r="B15" s="5"/>
      <c r="C15" s="5"/>
      <c r="D15" s="101" t="s">
        <v>38</v>
      </c>
      <c r="E15" s="101" t="s">
        <v>39</v>
      </c>
      <c r="F15" s="101" t="s">
        <v>50</v>
      </c>
      <c r="G15" s="97" t="s">
        <v>51</v>
      </c>
      <c r="H15" s="97" t="s">
        <v>54</v>
      </c>
    </row>
    <row r="16" spans="1:8" x14ac:dyDescent="0.2">
      <c r="A16" s="95"/>
      <c r="B16" s="6"/>
      <c r="C16" s="6"/>
      <c r="D16" s="102"/>
      <c r="E16" s="102"/>
      <c r="F16" s="102"/>
      <c r="G16" s="98"/>
      <c r="H16" s="98"/>
    </row>
    <row r="17" spans="1:8" ht="13.5" thickBot="1" x14ac:dyDescent="0.25">
      <c r="A17" s="96"/>
      <c r="B17" s="19"/>
      <c r="C17" s="19"/>
      <c r="D17" s="29">
        <f>0.325*G14</f>
        <v>24.375</v>
      </c>
      <c r="E17" s="29">
        <f>20.05*H14</f>
        <v>33.159615384615385</v>
      </c>
      <c r="F17" s="30">
        <f>(180.75/7.5)*1.65</f>
        <v>39.765000000000001</v>
      </c>
      <c r="G17" s="31">
        <f>SUM(D17:F17)</f>
        <v>97.299615384615379</v>
      </c>
      <c r="H17" s="31">
        <f>G17/G14</f>
        <v>1.2973282051282051</v>
      </c>
    </row>
    <row r="18" spans="1:8" ht="13.5" thickBot="1" x14ac:dyDescent="0.25">
      <c r="A18" s="7"/>
      <c r="B18" s="7"/>
      <c r="C18" s="7"/>
      <c r="D18" s="7"/>
      <c r="E18" s="7"/>
      <c r="F18" s="7"/>
      <c r="G18" s="7"/>
      <c r="H18" s="7"/>
    </row>
    <row r="19" spans="1:8" ht="12.75" customHeight="1" x14ac:dyDescent="0.2">
      <c r="A19" s="103" t="s">
        <v>7</v>
      </c>
      <c r="B19" s="97" t="s">
        <v>2</v>
      </c>
      <c r="C19" s="97" t="s">
        <v>66</v>
      </c>
      <c r="D19" s="97" t="s">
        <v>16</v>
      </c>
      <c r="E19" s="97" t="s">
        <v>1</v>
      </c>
      <c r="F19" s="97" t="s">
        <v>9</v>
      </c>
      <c r="G19" s="99" t="s">
        <v>14</v>
      </c>
      <c r="H19" s="97" t="s">
        <v>3</v>
      </c>
    </row>
    <row r="20" spans="1:8" ht="27.75" customHeight="1" thickBot="1" x14ac:dyDescent="0.25">
      <c r="A20" s="104"/>
      <c r="B20" s="98"/>
      <c r="C20" s="98"/>
      <c r="D20" s="98"/>
      <c r="E20" s="98"/>
      <c r="F20" s="98"/>
      <c r="G20" s="100"/>
      <c r="H20" s="98"/>
    </row>
    <row r="21" spans="1:8" ht="29.25" customHeight="1" thickBot="1" x14ac:dyDescent="0.25">
      <c r="A21" s="94" t="s">
        <v>8</v>
      </c>
      <c r="B21" s="27" t="s">
        <v>74</v>
      </c>
      <c r="C21" s="26">
        <f>150*45</f>
        <v>6750</v>
      </c>
      <c r="D21" s="26" t="s">
        <v>75</v>
      </c>
      <c r="E21" s="26" t="s">
        <v>76</v>
      </c>
      <c r="F21" s="27" t="s">
        <v>73</v>
      </c>
      <c r="G21" s="26">
        <v>85</v>
      </c>
      <c r="H21" s="28">
        <f>(85/65)+1.5</f>
        <v>2.8076923076923075</v>
      </c>
    </row>
    <row r="22" spans="1:8" ht="12.75" customHeight="1" x14ac:dyDescent="0.2">
      <c r="A22" s="95"/>
      <c r="B22" s="5"/>
      <c r="C22" s="5"/>
      <c r="D22" s="101" t="s">
        <v>38</v>
      </c>
      <c r="E22" s="101" t="s">
        <v>39</v>
      </c>
      <c r="F22" s="101" t="s">
        <v>50</v>
      </c>
      <c r="G22" s="97" t="s">
        <v>51</v>
      </c>
      <c r="H22" s="97" t="s">
        <v>55</v>
      </c>
    </row>
    <row r="23" spans="1:8" x14ac:dyDescent="0.2">
      <c r="A23" s="95"/>
      <c r="B23" s="6"/>
      <c r="C23" s="6"/>
      <c r="D23" s="102"/>
      <c r="E23" s="102"/>
      <c r="F23" s="102"/>
      <c r="G23" s="98"/>
      <c r="H23" s="98"/>
    </row>
    <row r="24" spans="1:8" ht="13.5" thickBot="1" x14ac:dyDescent="0.25">
      <c r="A24" s="96"/>
      <c r="B24" s="19"/>
      <c r="C24" s="19"/>
      <c r="D24" s="29">
        <f>0.325*G21</f>
        <v>27.625</v>
      </c>
      <c r="E24" s="29">
        <f>20.05*H21</f>
        <v>56.294230769230765</v>
      </c>
      <c r="F24" s="30">
        <f>(180.75/7.5)*H21</f>
        <v>67.66538461538461</v>
      </c>
      <c r="G24" s="31">
        <f>SUM(D24:F24)</f>
        <v>151.58461538461538</v>
      </c>
      <c r="H24" s="31">
        <f>G24/G21</f>
        <v>1.7833484162895927</v>
      </c>
    </row>
    <row r="25" spans="1:8" ht="13.5" thickBot="1" x14ac:dyDescent="0.25">
      <c r="A25" s="7"/>
      <c r="B25" s="7"/>
      <c r="C25" s="7"/>
      <c r="D25" s="7"/>
      <c r="E25" s="7"/>
      <c r="F25" s="7"/>
      <c r="G25" s="7"/>
      <c r="H25" s="7"/>
    </row>
    <row r="26" spans="1:8" ht="12.75" customHeight="1" x14ac:dyDescent="0.2">
      <c r="A26" s="7"/>
      <c r="B26" s="7"/>
      <c r="C26" s="105" t="s">
        <v>53</v>
      </c>
      <c r="D26" s="106"/>
      <c r="E26" s="107"/>
      <c r="F26" s="111" t="s">
        <v>17</v>
      </c>
      <c r="G26" s="7"/>
      <c r="H26" s="7"/>
    </row>
    <row r="27" spans="1:8" ht="13.5" thickBot="1" x14ac:dyDescent="0.25">
      <c r="A27" s="7"/>
      <c r="B27" s="7"/>
      <c r="C27" s="108"/>
      <c r="D27" s="109"/>
      <c r="E27" s="110"/>
      <c r="F27" s="112"/>
      <c r="G27" s="7"/>
      <c r="H27" s="7"/>
    </row>
    <row r="28" spans="1:8" ht="15.75" customHeight="1" thickBot="1" x14ac:dyDescent="0.25">
      <c r="A28" s="7"/>
      <c r="B28" s="7"/>
      <c r="C28" s="40"/>
      <c r="D28" s="41"/>
      <c r="E28" s="42">
        <f>G10+G17+G24</f>
        <v>347.94811794871794</v>
      </c>
      <c r="F28" s="39">
        <f>E28/240</f>
        <v>1.4497838247863248</v>
      </c>
      <c r="G28" s="7"/>
      <c r="H28" s="7"/>
    </row>
  </sheetData>
  <mergeCells count="45">
    <mergeCell ref="A7:A10"/>
    <mergeCell ref="A5:A6"/>
    <mergeCell ref="B5:B6"/>
    <mergeCell ref="C5:C6"/>
    <mergeCell ref="E5:E6"/>
    <mergeCell ref="D5:D6"/>
    <mergeCell ref="B2:G2"/>
    <mergeCell ref="E8:E9"/>
    <mergeCell ref="F8:F9"/>
    <mergeCell ref="G8:G9"/>
    <mergeCell ref="D8:D9"/>
    <mergeCell ref="H8:H9"/>
    <mergeCell ref="H12:H13"/>
    <mergeCell ref="H19:H20"/>
    <mergeCell ref="F5:F6"/>
    <mergeCell ref="G5:G6"/>
    <mergeCell ref="H5:H6"/>
    <mergeCell ref="H15:H16"/>
    <mergeCell ref="G12:G13"/>
    <mergeCell ref="G15:G16"/>
    <mergeCell ref="C26:E27"/>
    <mergeCell ref="F26:F27"/>
    <mergeCell ref="E22:E23"/>
    <mergeCell ref="F22:F23"/>
    <mergeCell ref="E12:E13"/>
    <mergeCell ref="F12:F13"/>
    <mergeCell ref="E15:E16"/>
    <mergeCell ref="F15:F16"/>
    <mergeCell ref="A12:A13"/>
    <mergeCell ref="D12:D13"/>
    <mergeCell ref="D15:D16"/>
    <mergeCell ref="A19:A20"/>
    <mergeCell ref="B19:B20"/>
    <mergeCell ref="B12:B13"/>
    <mergeCell ref="C12:C13"/>
    <mergeCell ref="A21:A24"/>
    <mergeCell ref="A14:A17"/>
    <mergeCell ref="H22:H23"/>
    <mergeCell ref="G22:G23"/>
    <mergeCell ref="C19:C20"/>
    <mergeCell ref="E19:E20"/>
    <mergeCell ref="F19:F20"/>
    <mergeCell ref="G19:G20"/>
    <mergeCell ref="D19:D20"/>
    <mergeCell ref="D22:D23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4294967295" verticalDpi="4294967295" r:id="rId1"/>
  <headerFooter>
    <oddHeader>&amp;LDTE TP GOTRM&amp;C&amp;F</oddHeader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N53"/>
  <sheetViews>
    <sheetView showGridLines="0" topLeftCell="A9" zoomScaleNormal="100" workbookViewId="0">
      <selection activeCell="H27" sqref="H27"/>
    </sheetView>
  </sheetViews>
  <sheetFormatPr baseColWidth="10" defaultRowHeight="12.75" x14ac:dyDescent="0.2"/>
  <cols>
    <col min="1" max="1" width="11.42578125" style="1"/>
    <col min="2" max="2" width="17.140625" style="1" customWidth="1"/>
    <col min="3" max="3" width="16.85546875" style="1" customWidth="1"/>
    <col min="4" max="4" width="18.5703125" style="1" customWidth="1"/>
    <col min="5" max="5" width="19.5703125" style="1" customWidth="1"/>
    <col min="6" max="6" width="20.7109375" style="1" customWidth="1"/>
    <col min="7" max="7" width="19.42578125" style="1" customWidth="1"/>
    <col min="8" max="8" width="18.42578125" style="1" customWidth="1"/>
    <col min="9" max="9" width="1.7109375" style="1" customWidth="1"/>
    <col min="10" max="10" width="25.7109375" style="1" customWidth="1"/>
    <col min="11" max="11" width="13.28515625" style="1" bestFit="1" customWidth="1"/>
    <col min="12" max="12" width="12.140625" style="1" bestFit="1" customWidth="1"/>
    <col min="13" max="16384" width="11.42578125" style="1"/>
  </cols>
  <sheetData>
    <row r="1" spans="1:14" ht="13.5" customHeight="1" thickBot="1" x14ac:dyDescent="0.25"/>
    <row r="2" spans="1:14" ht="15" customHeight="1" thickBot="1" x14ac:dyDescent="0.25">
      <c r="B2" s="134" t="s">
        <v>18</v>
      </c>
      <c r="C2" s="135"/>
      <c r="D2" s="135"/>
      <c r="E2" s="135"/>
      <c r="F2" s="135"/>
      <c r="G2" s="136"/>
    </row>
    <row r="3" spans="1:14" ht="15" customHeight="1" x14ac:dyDescent="0.2"/>
    <row r="4" spans="1:14" ht="13.5" customHeight="1" thickBot="1" x14ac:dyDescent="0.3">
      <c r="I4" s="3"/>
      <c r="J4" s="3"/>
      <c r="K4" s="3"/>
      <c r="L4" s="3"/>
      <c r="M4" s="3"/>
      <c r="N4" s="3"/>
    </row>
    <row r="5" spans="1:14" ht="15" customHeight="1" x14ac:dyDescent="0.25">
      <c r="A5" s="132" t="s">
        <v>0</v>
      </c>
      <c r="B5" s="126" t="s">
        <v>15</v>
      </c>
      <c r="C5" s="126" t="s">
        <v>66</v>
      </c>
      <c r="D5" s="126" t="s">
        <v>16</v>
      </c>
      <c r="E5" s="126" t="s">
        <v>1</v>
      </c>
      <c r="F5" s="126" t="s">
        <v>9</v>
      </c>
      <c r="G5" s="130" t="s">
        <v>14</v>
      </c>
      <c r="H5" s="126" t="s">
        <v>3</v>
      </c>
      <c r="I5" s="3"/>
      <c r="J5" s="3"/>
      <c r="K5" s="3"/>
      <c r="L5" s="3"/>
      <c r="M5" s="3"/>
      <c r="N5" s="3"/>
    </row>
    <row r="6" spans="1:14" ht="26.25" customHeight="1" thickBot="1" x14ac:dyDescent="0.3">
      <c r="A6" s="133"/>
      <c r="B6" s="127"/>
      <c r="C6" s="127"/>
      <c r="D6" s="127"/>
      <c r="E6" s="127"/>
      <c r="F6" s="127"/>
      <c r="G6" s="131"/>
      <c r="H6" s="127"/>
      <c r="I6" s="3"/>
      <c r="J6" s="3"/>
      <c r="K6" s="3"/>
      <c r="L6" s="3"/>
      <c r="M6" s="3"/>
      <c r="N6" s="3"/>
    </row>
    <row r="7" spans="1:14" ht="33.75" customHeight="1" thickBot="1" x14ac:dyDescent="0.3">
      <c r="A7" s="94" t="s">
        <v>19</v>
      </c>
      <c r="B7" s="27" t="s">
        <v>77</v>
      </c>
      <c r="C7" s="26">
        <f>145*10</f>
        <v>1450</v>
      </c>
      <c r="D7" s="25">
        <f>(0.8*1.2)*10/2.4</f>
        <v>4</v>
      </c>
      <c r="E7" s="26" t="s">
        <v>78</v>
      </c>
      <c r="F7" s="27" t="s">
        <v>79</v>
      </c>
      <c r="G7" s="26">
        <v>10</v>
      </c>
      <c r="H7" s="28">
        <f>(10/50)+0.25</f>
        <v>0.45</v>
      </c>
      <c r="I7" s="3"/>
      <c r="J7" s="3"/>
      <c r="K7" s="3"/>
      <c r="L7" s="3"/>
      <c r="M7" s="3"/>
      <c r="N7" s="3"/>
    </row>
    <row r="8" spans="1:14" ht="15.75" customHeight="1" x14ac:dyDescent="0.25">
      <c r="A8" s="95"/>
      <c r="B8" s="71"/>
      <c r="C8" s="71"/>
      <c r="D8" s="128" t="s">
        <v>38</v>
      </c>
      <c r="E8" s="128" t="s">
        <v>39</v>
      </c>
      <c r="F8" s="128" t="s">
        <v>50</v>
      </c>
      <c r="G8" s="126" t="s">
        <v>51</v>
      </c>
      <c r="H8" s="126" t="s">
        <v>52</v>
      </c>
      <c r="I8" s="3"/>
      <c r="J8" s="3"/>
      <c r="K8" s="3"/>
      <c r="L8" s="3"/>
      <c r="M8" s="3"/>
      <c r="N8" s="3"/>
    </row>
    <row r="9" spans="1:14" ht="15" x14ac:dyDescent="0.25">
      <c r="A9" s="95"/>
      <c r="B9" s="72"/>
      <c r="C9" s="72"/>
      <c r="D9" s="129"/>
      <c r="E9" s="129"/>
      <c r="F9" s="129"/>
      <c r="G9" s="127"/>
      <c r="H9" s="127"/>
      <c r="I9" s="3"/>
      <c r="J9" s="3"/>
      <c r="K9" s="3"/>
      <c r="L9" s="3"/>
      <c r="M9" s="3"/>
      <c r="N9" s="3"/>
    </row>
    <row r="10" spans="1:14" ht="15.75" thickBot="1" x14ac:dyDescent="0.3">
      <c r="A10" s="96"/>
      <c r="B10" s="73"/>
      <c r="C10" s="73"/>
      <c r="D10" s="32">
        <f>0.304 * G7</f>
        <v>3.04</v>
      </c>
      <c r="E10" s="32">
        <f>17.75*H7</f>
        <v>7.9874999999999998</v>
      </c>
      <c r="F10" s="33">
        <f>(190.85/7.5)*H7</f>
        <v>11.451000000000001</v>
      </c>
      <c r="G10" s="34">
        <f>SUM(D10:F10)</f>
        <v>22.4785</v>
      </c>
      <c r="H10" s="34">
        <f>G10/G7</f>
        <v>2.2478500000000001</v>
      </c>
      <c r="I10" s="3"/>
      <c r="J10" s="3"/>
      <c r="K10" s="3"/>
      <c r="L10" s="3"/>
      <c r="M10" s="3"/>
      <c r="N10" s="3"/>
    </row>
    <row r="11" spans="1:14" ht="17.100000000000001" customHeight="1" thickBot="1" x14ac:dyDescent="0.3">
      <c r="A11" s="7"/>
      <c r="B11" s="7"/>
      <c r="C11" s="7"/>
      <c r="D11" s="7"/>
      <c r="E11" s="7"/>
      <c r="F11" s="7"/>
      <c r="G11" s="7"/>
      <c r="H11" s="7"/>
      <c r="I11" s="3"/>
      <c r="J11" s="3"/>
      <c r="K11" s="3"/>
      <c r="L11" s="3"/>
      <c r="M11" s="3"/>
      <c r="N11" s="3"/>
    </row>
    <row r="12" spans="1:14" ht="17.100000000000001" customHeight="1" x14ac:dyDescent="0.25">
      <c r="A12" s="132" t="s">
        <v>5</v>
      </c>
      <c r="B12" s="126" t="s">
        <v>15</v>
      </c>
      <c r="C12" s="126" t="s">
        <v>66</v>
      </c>
      <c r="D12" s="126" t="s">
        <v>16</v>
      </c>
      <c r="E12" s="126" t="s">
        <v>1</v>
      </c>
      <c r="F12" s="126" t="s">
        <v>9</v>
      </c>
      <c r="G12" s="130" t="s">
        <v>14</v>
      </c>
      <c r="H12" s="126" t="s">
        <v>3</v>
      </c>
      <c r="I12" s="3"/>
      <c r="J12" s="3"/>
      <c r="K12" s="3"/>
      <c r="L12" s="3"/>
      <c r="M12" s="3"/>
      <c r="N12" s="3"/>
    </row>
    <row r="13" spans="1:14" ht="17.100000000000001" customHeight="1" thickBot="1" x14ac:dyDescent="0.3">
      <c r="A13" s="133"/>
      <c r="B13" s="127"/>
      <c r="C13" s="127"/>
      <c r="D13" s="127"/>
      <c r="E13" s="127"/>
      <c r="F13" s="127"/>
      <c r="G13" s="131"/>
      <c r="H13" s="127"/>
      <c r="I13" s="3"/>
      <c r="J13" s="3"/>
      <c r="K13" s="3"/>
      <c r="L13" s="3"/>
      <c r="M13" s="3"/>
      <c r="N13" s="3"/>
    </row>
    <row r="14" spans="1:14" ht="31.5" customHeight="1" thickBot="1" x14ac:dyDescent="0.3">
      <c r="A14" s="94" t="s">
        <v>20</v>
      </c>
      <c r="B14" s="27" t="s">
        <v>80</v>
      </c>
      <c r="C14" s="26">
        <v>1280</v>
      </c>
      <c r="D14" s="26">
        <f>(1.1*1.2)*8/2.4</f>
        <v>4.4000000000000004</v>
      </c>
      <c r="E14" s="26" t="s">
        <v>69</v>
      </c>
      <c r="F14" s="27" t="s">
        <v>81</v>
      </c>
      <c r="G14" s="26">
        <v>20</v>
      </c>
      <c r="H14" s="28">
        <f>20/50+0.25</f>
        <v>0.65</v>
      </c>
      <c r="I14" s="3"/>
      <c r="J14" s="3"/>
      <c r="K14" s="3"/>
      <c r="L14" s="3"/>
      <c r="M14" s="3"/>
      <c r="N14" s="3"/>
    </row>
    <row r="15" spans="1:14" ht="17.100000000000001" customHeight="1" x14ac:dyDescent="0.25">
      <c r="A15" s="95"/>
      <c r="B15" s="71"/>
      <c r="C15" s="71"/>
      <c r="D15" s="128" t="s">
        <v>38</v>
      </c>
      <c r="E15" s="128" t="s">
        <v>39</v>
      </c>
      <c r="F15" s="128" t="s">
        <v>50</v>
      </c>
      <c r="G15" s="126" t="s">
        <v>56</v>
      </c>
      <c r="H15" s="126" t="s">
        <v>54</v>
      </c>
      <c r="I15" s="3"/>
      <c r="J15" s="3"/>
      <c r="K15" s="3"/>
      <c r="L15" s="3"/>
      <c r="M15" s="3"/>
      <c r="N15" s="3"/>
    </row>
    <row r="16" spans="1:14" ht="17.100000000000001" customHeight="1" x14ac:dyDescent="0.25">
      <c r="A16" s="95"/>
      <c r="B16" s="72"/>
      <c r="C16" s="72"/>
      <c r="D16" s="129"/>
      <c r="E16" s="129"/>
      <c r="F16" s="129"/>
      <c r="G16" s="127"/>
      <c r="H16" s="127"/>
      <c r="I16" s="3"/>
      <c r="J16" s="3"/>
      <c r="K16" s="3"/>
      <c r="L16" s="3"/>
      <c r="M16" s="3"/>
      <c r="N16" s="3"/>
    </row>
    <row r="17" spans="1:14" ht="17.100000000000001" customHeight="1" thickBot="1" x14ac:dyDescent="0.3">
      <c r="A17" s="96"/>
      <c r="B17" s="73"/>
      <c r="C17" s="73"/>
      <c r="D17" s="32">
        <f>0.304*G14</f>
        <v>6.08</v>
      </c>
      <c r="E17" s="32">
        <f>17.9*H14</f>
        <v>11.635</v>
      </c>
      <c r="F17" s="33">
        <f>(181.25/7.5)*H14</f>
        <v>15.708333333333334</v>
      </c>
      <c r="G17" s="34">
        <f>SUM(D17:F17)</f>
        <v>33.423333333333332</v>
      </c>
      <c r="H17" s="34">
        <f>G17/G14</f>
        <v>1.6711666666666667</v>
      </c>
      <c r="I17" s="3"/>
      <c r="J17" s="3"/>
      <c r="K17" s="3"/>
      <c r="L17" s="3"/>
      <c r="M17" s="3"/>
      <c r="N17" s="3"/>
    </row>
    <row r="18" spans="1:14" ht="17.100000000000001" customHeight="1" thickBot="1" x14ac:dyDescent="0.3">
      <c r="A18" s="7"/>
      <c r="B18" s="7"/>
      <c r="C18" s="7"/>
      <c r="D18" s="7"/>
      <c r="E18" s="7"/>
      <c r="F18" s="7"/>
      <c r="G18" s="7"/>
      <c r="H18" s="7"/>
      <c r="I18" s="3"/>
      <c r="J18" s="3"/>
      <c r="K18" s="3"/>
      <c r="L18" s="3"/>
      <c r="M18" s="3"/>
      <c r="N18" s="3"/>
    </row>
    <row r="19" spans="1:14" ht="17.100000000000001" customHeight="1" x14ac:dyDescent="0.25">
      <c r="A19" s="132" t="s">
        <v>7</v>
      </c>
      <c r="B19" s="126" t="s">
        <v>2</v>
      </c>
      <c r="C19" s="126" t="s">
        <v>66</v>
      </c>
      <c r="D19" s="126" t="s">
        <v>16</v>
      </c>
      <c r="E19" s="126" t="s">
        <v>1</v>
      </c>
      <c r="F19" s="126" t="s">
        <v>9</v>
      </c>
      <c r="G19" s="130" t="s">
        <v>14</v>
      </c>
      <c r="H19" s="126" t="s">
        <v>3</v>
      </c>
      <c r="I19" s="3"/>
      <c r="J19" s="3"/>
      <c r="K19" s="3"/>
      <c r="L19" s="3"/>
      <c r="M19" s="3"/>
      <c r="N19" s="3"/>
    </row>
    <row r="20" spans="1:14" ht="17.100000000000001" customHeight="1" thickBot="1" x14ac:dyDescent="0.3">
      <c r="A20" s="133"/>
      <c r="B20" s="127"/>
      <c r="C20" s="127"/>
      <c r="D20" s="127"/>
      <c r="E20" s="127"/>
      <c r="F20" s="127"/>
      <c r="G20" s="131"/>
      <c r="H20" s="127"/>
      <c r="I20" s="3"/>
      <c r="J20" s="3"/>
      <c r="K20" s="3"/>
      <c r="L20" s="3"/>
      <c r="M20" s="3"/>
      <c r="N20" s="3"/>
    </row>
    <row r="21" spans="1:14" ht="34.5" customHeight="1" thickBot="1" x14ac:dyDescent="0.3">
      <c r="A21" s="94" t="s">
        <v>21</v>
      </c>
      <c r="B21" s="27">
        <v>100</v>
      </c>
      <c r="C21" s="26">
        <v>3500</v>
      </c>
      <c r="D21" s="26" t="s">
        <v>75</v>
      </c>
      <c r="E21" s="26" t="s">
        <v>72</v>
      </c>
      <c r="F21" s="27" t="s">
        <v>82</v>
      </c>
      <c r="G21" s="26">
        <v>30</v>
      </c>
      <c r="H21" s="28">
        <f>G21/50+1</f>
        <v>1.6</v>
      </c>
      <c r="I21" s="3"/>
      <c r="J21" s="3"/>
      <c r="K21" s="3"/>
      <c r="L21" s="3"/>
      <c r="M21" s="3"/>
      <c r="N21" s="3"/>
    </row>
    <row r="22" spans="1:14" ht="6.75" customHeight="1" x14ac:dyDescent="0.25">
      <c r="A22" s="95"/>
      <c r="B22" s="71"/>
      <c r="C22" s="71"/>
      <c r="D22" s="128" t="s">
        <v>38</v>
      </c>
      <c r="E22" s="128" t="s">
        <v>39</v>
      </c>
      <c r="F22" s="128" t="s">
        <v>50</v>
      </c>
      <c r="G22" s="126" t="s">
        <v>57</v>
      </c>
      <c r="H22" s="126" t="s">
        <v>55</v>
      </c>
      <c r="I22" s="3"/>
      <c r="J22" s="3"/>
      <c r="K22" s="3"/>
      <c r="L22" s="3"/>
      <c r="M22" s="3"/>
      <c r="N22" s="3"/>
    </row>
    <row r="23" spans="1:14" ht="17.100000000000001" customHeight="1" x14ac:dyDescent="0.25">
      <c r="A23" s="95"/>
      <c r="B23" s="72"/>
      <c r="C23" s="72"/>
      <c r="D23" s="129"/>
      <c r="E23" s="129"/>
      <c r="F23" s="129"/>
      <c r="G23" s="127"/>
      <c r="H23" s="127"/>
      <c r="I23" s="3"/>
      <c r="J23" s="3"/>
      <c r="K23" s="3"/>
      <c r="L23" s="3"/>
      <c r="M23" s="3"/>
      <c r="N23" s="3"/>
    </row>
    <row r="24" spans="1:14" ht="22.5" customHeight="1" thickBot="1" x14ac:dyDescent="0.3">
      <c r="A24" s="96"/>
      <c r="B24" s="73"/>
      <c r="C24" s="73"/>
      <c r="D24" s="32">
        <f>0.325*G21</f>
        <v>9.75</v>
      </c>
      <c r="E24" s="32">
        <f>20.05*H21</f>
        <v>32.080000000000005</v>
      </c>
      <c r="F24" s="33">
        <f>(180.75/7.5)*H21</f>
        <v>38.56</v>
      </c>
      <c r="G24" s="34">
        <f>SUM(D24:F24)</f>
        <v>80.390000000000015</v>
      </c>
      <c r="H24" s="34">
        <f>G24/G21</f>
        <v>2.6796666666666673</v>
      </c>
      <c r="I24" s="3"/>
      <c r="J24" s="3"/>
      <c r="K24" s="3"/>
      <c r="L24" s="3"/>
      <c r="M24" s="3"/>
      <c r="N24" s="3"/>
    </row>
    <row r="25" spans="1:14" ht="15.75" customHeight="1" thickBot="1" x14ac:dyDescent="0.3">
      <c r="A25" s="7"/>
      <c r="B25" s="7"/>
      <c r="C25" s="7"/>
      <c r="D25" s="7"/>
      <c r="E25" s="7"/>
      <c r="F25" s="7"/>
      <c r="G25" s="7"/>
      <c r="H25" s="7"/>
      <c r="I25" s="3"/>
      <c r="J25" s="3"/>
      <c r="K25" s="3"/>
      <c r="L25" s="3"/>
      <c r="M25" s="3"/>
      <c r="N25" s="3"/>
    </row>
    <row r="26" spans="1:14" ht="15" customHeight="1" x14ac:dyDescent="0.25">
      <c r="A26" s="7"/>
      <c r="B26" s="7"/>
      <c r="C26" s="118" t="s">
        <v>64</v>
      </c>
      <c r="D26" s="119"/>
      <c r="E26" s="120"/>
      <c r="F26" s="124" t="s">
        <v>17</v>
      </c>
      <c r="G26" s="7"/>
      <c r="H26" s="7"/>
      <c r="I26" s="3"/>
      <c r="J26" s="3"/>
      <c r="K26" s="3"/>
      <c r="L26" s="3"/>
      <c r="M26" s="3"/>
      <c r="N26" s="3"/>
    </row>
    <row r="27" spans="1:14" ht="15.75" thickBot="1" x14ac:dyDescent="0.3">
      <c r="A27" s="7"/>
      <c r="B27" s="7"/>
      <c r="C27" s="121"/>
      <c r="D27" s="122"/>
      <c r="E27" s="123"/>
      <c r="F27" s="125"/>
      <c r="G27" s="7"/>
      <c r="H27" s="7"/>
      <c r="I27" s="3"/>
      <c r="J27" s="3"/>
      <c r="K27" s="3"/>
      <c r="L27" s="3"/>
      <c r="M27" s="3"/>
      <c r="N27" s="3"/>
    </row>
    <row r="28" spans="1:14" ht="15.75" thickBot="1" x14ac:dyDescent="0.3">
      <c r="A28" s="7"/>
      <c r="B28" s="7"/>
      <c r="C28" s="35"/>
      <c r="D28" s="36"/>
      <c r="E28" s="37">
        <f>G10+G17+G24</f>
        <v>136.29183333333333</v>
      </c>
      <c r="F28" s="38">
        <f>E28/50</f>
        <v>2.7258366666666665</v>
      </c>
      <c r="G28" s="7"/>
      <c r="H28" s="7"/>
      <c r="I28" s="3"/>
      <c r="J28" s="3"/>
      <c r="K28" s="3"/>
      <c r="L28" s="3"/>
      <c r="M28" s="3"/>
      <c r="N28" s="3"/>
    </row>
    <row r="29" spans="1:14" ht="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15" x14ac:dyDescent="0.25">
      <c r="A31" s="3"/>
      <c r="B31" s="3"/>
      <c r="C31" s="3"/>
      <c r="D31" s="3"/>
      <c r="E31" s="3"/>
      <c r="F31" s="20"/>
      <c r="G31" s="3"/>
      <c r="H31" s="3"/>
      <c r="I31" s="3"/>
      <c r="J31" s="3"/>
      <c r="K31" s="3"/>
      <c r="L31" s="3"/>
      <c r="M31" s="3"/>
      <c r="N31" s="3"/>
    </row>
    <row r="32" spans="1:14" ht="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6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s="2" customFormat="1" ht="15" x14ac:dyDescent="0.25">
      <c r="A36" s="3"/>
      <c r="B36" s="3"/>
      <c r="C36" s="3"/>
      <c r="D36" s="3"/>
      <c r="E36" s="3"/>
      <c r="F36" s="3"/>
      <c r="G36" s="3"/>
      <c r="H36" s="3"/>
      <c r="I36" s="4"/>
      <c r="J36" s="4"/>
      <c r="K36" s="4"/>
      <c r="L36" s="4"/>
      <c r="M36" s="4"/>
      <c r="N36" s="4"/>
    </row>
    <row r="37" spans="1:14" ht="1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6.9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6.9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5" x14ac:dyDescent="0.25">
      <c r="A46" s="3"/>
      <c r="B46" s="3"/>
      <c r="C46" s="3"/>
      <c r="D46" s="3"/>
      <c r="E46" s="3"/>
      <c r="F46" s="3"/>
      <c r="G46" s="3"/>
      <c r="H46" s="3"/>
    </row>
    <row r="47" spans="1:14" ht="6.95" customHeight="1" x14ac:dyDescent="0.25">
      <c r="A47" s="3"/>
      <c r="B47" s="3"/>
      <c r="C47" s="3"/>
      <c r="D47" s="3"/>
      <c r="E47" s="3"/>
      <c r="F47" s="3"/>
      <c r="G47" s="3"/>
      <c r="H47" s="3"/>
    </row>
    <row r="48" spans="1:14" ht="15" x14ac:dyDescent="0.25">
      <c r="A48" s="3"/>
      <c r="B48" s="3"/>
      <c r="C48" s="3"/>
      <c r="D48" s="3"/>
      <c r="E48" s="3"/>
      <c r="F48" s="3"/>
      <c r="G48" s="3"/>
      <c r="H48" s="3"/>
    </row>
    <row r="49" spans="1:8" ht="15" x14ac:dyDescent="0.25">
      <c r="A49" s="3"/>
      <c r="B49" s="3"/>
      <c r="C49" s="3"/>
      <c r="D49" s="3"/>
      <c r="E49" s="3"/>
      <c r="F49" s="3"/>
      <c r="G49" s="3"/>
      <c r="H49" s="3"/>
    </row>
    <row r="50" spans="1:8" ht="15" x14ac:dyDescent="0.25">
      <c r="A50" s="3"/>
      <c r="B50" s="3"/>
      <c r="C50" s="3"/>
      <c r="D50" s="3"/>
      <c r="E50" s="3"/>
      <c r="F50" s="3"/>
      <c r="G50" s="3"/>
      <c r="H50" s="3"/>
    </row>
    <row r="51" spans="1:8" ht="15" x14ac:dyDescent="0.25">
      <c r="A51" s="3"/>
      <c r="B51" s="3"/>
      <c r="C51" s="3"/>
      <c r="D51" s="3"/>
      <c r="E51" s="3"/>
      <c r="F51" s="3"/>
      <c r="G51" s="3"/>
      <c r="H51" s="3"/>
    </row>
    <row r="52" spans="1:8" ht="15" x14ac:dyDescent="0.25">
      <c r="A52" s="3"/>
      <c r="B52" s="3"/>
      <c r="C52" s="3"/>
      <c r="D52" s="3"/>
      <c r="E52" s="3"/>
      <c r="F52" s="3"/>
      <c r="G52" s="3"/>
      <c r="H52" s="3"/>
    </row>
    <row r="53" spans="1:8" ht="15" x14ac:dyDescent="0.25">
      <c r="A53" s="3"/>
      <c r="B53" s="3"/>
      <c r="C53" s="3"/>
      <c r="D53" s="3"/>
      <c r="E53" s="3"/>
      <c r="F53" s="3"/>
      <c r="G53" s="3"/>
      <c r="H53" s="3"/>
    </row>
  </sheetData>
  <mergeCells count="45">
    <mergeCell ref="A21:A24"/>
    <mergeCell ref="H22:H23"/>
    <mergeCell ref="G22:G23"/>
    <mergeCell ref="C19:C20"/>
    <mergeCell ref="E19:E20"/>
    <mergeCell ref="F19:F20"/>
    <mergeCell ref="G19:G20"/>
    <mergeCell ref="D19:D20"/>
    <mergeCell ref="E22:E23"/>
    <mergeCell ref="F22:F23"/>
    <mergeCell ref="B2:G2"/>
    <mergeCell ref="E8:E9"/>
    <mergeCell ref="F8:F9"/>
    <mergeCell ref="G8:G9"/>
    <mergeCell ref="F5:F6"/>
    <mergeCell ref="G5:G6"/>
    <mergeCell ref="A7:A10"/>
    <mergeCell ref="A5:A6"/>
    <mergeCell ref="B5:B6"/>
    <mergeCell ref="C5:C6"/>
    <mergeCell ref="E5:E6"/>
    <mergeCell ref="D5:D6"/>
    <mergeCell ref="A14:A17"/>
    <mergeCell ref="A12:A13"/>
    <mergeCell ref="D12:D13"/>
    <mergeCell ref="A19:A20"/>
    <mergeCell ref="B19:B20"/>
    <mergeCell ref="B12:B13"/>
    <mergeCell ref="C12:C13"/>
    <mergeCell ref="C26:E27"/>
    <mergeCell ref="F26:F27"/>
    <mergeCell ref="H8:H9"/>
    <mergeCell ref="H5:H6"/>
    <mergeCell ref="D8:D9"/>
    <mergeCell ref="D15:D16"/>
    <mergeCell ref="D22:D23"/>
    <mergeCell ref="H12:H13"/>
    <mergeCell ref="E15:E16"/>
    <mergeCell ref="F15:F16"/>
    <mergeCell ref="G15:G16"/>
    <mergeCell ref="H15:H16"/>
    <mergeCell ref="E12:E13"/>
    <mergeCell ref="F12:F13"/>
    <mergeCell ref="G12:G13"/>
    <mergeCell ref="H19:H20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4294967295" verticalDpi="4294967295" r:id="rId1"/>
  <headerFooter>
    <oddHeader>&amp;LDTE TP GOTRM &amp;C&amp;F</oddHead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H17"/>
  <sheetViews>
    <sheetView showGridLines="0" topLeftCell="A5" zoomScaleNormal="100" workbookViewId="0">
      <selection activeCell="H7" sqref="H7:H10"/>
    </sheetView>
  </sheetViews>
  <sheetFormatPr baseColWidth="10" defaultRowHeight="12.75" x14ac:dyDescent="0.2"/>
  <cols>
    <col min="1" max="1" width="14.85546875" style="1" customWidth="1"/>
    <col min="2" max="2" width="17.42578125" style="1" customWidth="1"/>
    <col min="3" max="3" width="17.28515625" style="1" customWidth="1"/>
    <col min="4" max="5" width="15" style="1" customWidth="1"/>
    <col min="6" max="6" width="19.7109375" style="1" customWidth="1"/>
    <col min="7" max="7" width="15.5703125" style="1" customWidth="1"/>
    <col min="8" max="8" width="17" style="1" customWidth="1"/>
    <col min="9" max="16384" width="11.42578125" style="1"/>
  </cols>
  <sheetData>
    <row r="1" spans="1:8" ht="13.5" thickBot="1" x14ac:dyDescent="0.25"/>
    <row r="2" spans="1:8" ht="13.5" thickBot="1" x14ac:dyDescent="0.25">
      <c r="B2" s="137" t="s">
        <v>26</v>
      </c>
      <c r="C2" s="138"/>
      <c r="D2" s="138"/>
      <c r="E2" s="138"/>
      <c r="F2" s="138"/>
      <c r="G2" s="139"/>
    </row>
    <row r="4" spans="1:8" ht="13.5" thickBot="1" x14ac:dyDescent="0.25"/>
    <row r="5" spans="1:8" x14ac:dyDescent="0.2">
      <c r="A5" s="142" t="s">
        <v>22</v>
      </c>
      <c r="B5" s="144" t="s">
        <v>15</v>
      </c>
      <c r="C5" s="144" t="s">
        <v>66</v>
      </c>
      <c r="D5" s="144" t="s">
        <v>16</v>
      </c>
      <c r="E5" s="144" t="s">
        <v>1</v>
      </c>
      <c r="F5" s="144" t="s">
        <v>9</v>
      </c>
      <c r="G5" s="146" t="s">
        <v>14</v>
      </c>
      <c r="H5" s="160" t="s">
        <v>3</v>
      </c>
    </row>
    <row r="6" spans="1:8" ht="13.5" thickBot="1" x14ac:dyDescent="0.25">
      <c r="A6" s="143"/>
      <c r="B6" s="145"/>
      <c r="C6" s="145"/>
      <c r="D6" s="145"/>
      <c r="E6" s="145"/>
      <c r="F6" s="145"/>
      <c r="G6" s="147"/>
      <c r="H6" s="161"/>
    </row>
    <row r="7" spans="1:8" ht="62.25" customHeight="1" thickBot="1" x14ac:dyDescent="0.25">
      <c r="A7" s="8" t="s">
        <v>23</v>
      </c>
      <c r="B7" s="43" t="s">
        <v>77</v>
      </c>
      <c r="C7" s="44">
        <f>10*135</f>
        <v>1350</v>
      </c>
      <c r="D7" s="44">
        <f>0.8*1.2*10/2.4</f>
        <v>4</v>
      </c>
      <c r="E7" s="44" t="s">
        <v>76</v>
      </c>
      <c r="F7" s="51"/>
      <c r="G7" s="156">
        <v>50</v>
      </c>
      <c r="H7" s="158">
        <f>(50/65)+3.5</f>
        <v>4.2692307692307692</v>
      </c>
    </row>
    <row r="8" spans="1:8" ht="45.75" customHeight="1" thickBot="1" x14ac:dyDescent="0.25">
      <c r="A8" s="10" t="s">
        <v>8</v>
      </c>
      <c r="B8" s="45" t="s">
        <v>83</v>
      </c>
      <c r="C8" s="46">
        <f>12*80</f>
        <v>960</v>
      </c>
      <c r="D8" s="47">
        <f>(0.8*0.8)*12/2.4</f>
        <v>3.2000000000000006</v>
      </c>
      <c r="E8" s="48" t="s">
        <v>76</v>
      </c>
      <c r="F8" s="52" t="s">
        <v>85</v>
      </c>
      <c r="G8" s="156"/>
      <c r="H8" s="158"/>
    </row>
    <row r="9" spans="1:8" ht="30.75" customHeight="1" thickBot="1" x14ac:dyDescent="0.25">
      <c r="A9" s="10" t="s">
        <v>24</v>
      </c>
      <c r="B9" s="45" t="s">
        <v>84</v>
      </c>
      <c r="C9" s="46">
        <f>50*25</f>
        <v>1250</v>
      </c>
      <c r="D9" s="47" t="s">
        <v>75</v>
      </c>
      <c r="E9" s="48" t="s">
        <v>76</v>
      </c>
      <c r="F9" s="52"/>
      <c r="G9" s="156"/>
      <c r="H9" s="158"/>
    </row>
    <row r="10" spans="1:8" ht="30.75" customHeight="1" thickBot="1" x14ac:dyDescent="0.25">
      <c r="A10" s="8"/>
      <c r="B10" s="11" t="s">
        <v>25</v>
      </c>
      <c r="C10" s="49">
        <f>SUM(C7:C9)</f>
        <v>3560</v>
      </c>
      <c r="D10" s="50"/>
      <c r="E10" s="12"/>
      <c r="F10" s="53"/>
      <c r="G10" s="157"/>
      <c r="H10" s="159"/>
    </row>
    <row r="11" spans="1:8" ht="30.75" customHeight="1" x14ac:dyDescent="0.2">
      <c r="A11" s="8"/>
      <c r="B11" s="21"/>
      <c r="C11" s="21"/>
      <c r="D11" s="140" t="s">
        <v>38</v>
      </c>
      <c r="E11" s="140" t="s">
        <v>39</v>
      </c>
      <c r="F11" s="140" t="s">
        <v>50</v>
      </c>
      <c r="G11" s="144" t="s">
        <v>58</v>
      </c>
      <c r="H11" s="144" t="s">
        <v>59</v>
      </c>
    </row>
    <row r="12" spans="1:8" ht="6.95" customHeight="1" x14ac:dyDescent="0.2">
      <c r="A12" s="8"/>
      <c r="B12" s="13"/>
      <c r="C12" s="13"/>
      <c r="D12" s="141"/>
      <c r="E12" s="141"/>
      <c r="F12" s="141"/>
      <c r="G12" s="162"/>
      <c r="H12" s="162"/>
    </row>
    <row r="13" spans="1:8" ht="19.5" customHeight="1" thickBot="1" x14ac:dyDescent="0.25">
      <c r="A13" s="9"/>
      <c r="B13" s="14"/>
      <c r="C13" s="14"/>
      <c r="D13" s="32">
        <f>0.3045*G7</f>
        <v>15.225</v>
      </c>
      <c r="E13" s="32">
        <f>26.11*H7</f>
        <v>111.46961538461538</v>
      </c>
      <c r="F13" s="33">
        <f>(230.45/7.5)*H7</f>
        <v>131.17923076923077</v>
      </c>
      <c r="G13" s="34">
        <f>SUM(D13:F13)</f>
        <v>257.87384615384616</v>
      </c>
      <c r="H13" s="54">
        <f>G13/G7</f>
        <v>5.1574769230769233</v>
      </c>
    </row>
    <row r="14" spans="1:8" ht="13.5" thickBot="1" x14ac:dyDescent="0.25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148" t="s">
        <v>65</v>
      </c>
      <c r="D15" s="149"/>
      <c r="E15" s="150"/>
      <c r="F15" s="154" t="s">
        <v>17</v>
      </c>
      <c r="G15" s="7"/>
      <c r="H15" s="7"/>
    </row>
    <row r="16" spans="1:8" ht="13.5" thickBot="1" x14ac:dyDescent="0.25">
      <c r="A16" s="7"/>
      <c r="B16" s="7"/>
      <c r="C16" s="151"/>
      <c r="D16" s="152"/>
      <c r="E16" s="153"/>
      <c r="F16" s="155"/>
      <c r="G16" s="7"/>
      <c r="H16" s="7"/>
    </row>
    <row r="17" spans="1:8" ht="13.5" thickBot="1" x14ac:dyDescent="0.25">
      <c r="A17" s="7"/>
      <c r="B17" s="7"/>
      <c r="C17" s="35"/>
      <c r="D17" s="34">
        <f>SUM(A17:C17)</f>
        <v>0</v>
      </c>
      <c r="E17" s="34">
        <f>D13+E13+F13</f>
        <v>257.87384615384616</v>
      </c>
      <c r="F17" s="54">
        <f>G13/G7</f>
        <v>5.1574769230769233</v>
      </c>
      <c r="G17" s="7"/>
      <c r="H17" s="7"/>
    </row>
  </sheetData>
  <mergeCells count="18">
    <mergeCell ref="C15:E16"/>
    <mergeCell ref="F15:F16"/>
    <mergeCell ref="G7:G10"/>
    <mergeCell ref="H7:H10"/>
    <mergeCell ref="H5:H6"/>
    <mergeCell ref="E11:E12"/>
    <mergeCell ref="F11:F12"/>
    <mergeCell ref="G11:G12"/>
    <mergeCell ref="H11:H12"/>
    <mergeCell ref="B2:G2"/>
    <mergeCell ref="D11:D1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&amp;LDTE TP GOTRM&amp;C&amp;F</oddHeader>
    <oddFooter>&amp;C&amp;A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51"/>
  <sheetViews>
    <sheetView showGridLines="0" tabSelected="1" topLeftCell="A32" zoomScale="130" zoomScaleNormal="130" workbookViewId="0">
      <selection activeCell="H27" sqref="H27"/>
    </sheetView>
  </sheetViews>
  <sheetFormatPr baseColWidth="10" defaultRowHeight="15" x14ac:dyDescent="0.25"/>
  <cols>
    <col min="2" max="2" width="16.42578125" bestFit="1" customWidth="1"/>
    <col min="3" max="3" width="16.7109375" bestFit="1" customWidth="1"/>
    <col min="4" max="4" width="16.42578125" customWidth="1"/>
    <col min="5" max="5" width="13.7109375" customWidth="1"/>
    <col min="6" max="6" width="15" customWidth="1"/>
    <col min="7" max="7" width="19.42578125" customWidth="1"/>
    <col min="8" max="8" width="16.5703125" bestFit="1" customWidth="1"/>
  </cols>
  <sheetData>
    <row r="1" spans="2:7" ht="15.75" thickBot="1" x14ac:dyDescent="0.3"/>
    <row r="2" spans="2:7" ht="15.75" thickBot="1" x14ac:dyDescent="0.3">
      <c r="B2" s="163" t="s">
        <v>63</v>
      </c>
      <c r="C2" s="164"/>
      <c r="D2" s="164"/>
      <c r="E2" s="164"/>
      <c r="F2" s="164"/>
      <c r="G2" s="165"/>
    </row>
    <row r="3" spans="2:7" ht="15.75" thickBot="1" x14ac:dyDescent="0.3"/>
    <row r="4" spans="2:7" ht="15.75" thickBot="1" x14ac:dyDescent="0.3">
      <c r="B4" s="163" t="s">
        <v>32</v>
      </c>
      <c r="C4" s="164"/>
      <c r="D4" s="164"/>
      <c r="E4" s="164"/>
      <c r="F4" s="164"/>
      <c r="G4" s="165"/>
    </row>
    <row r="5" spans="2:7" ht="15.75" thickBot="1" x14ac:dyDescent="0.3"/>
    <row r="6" spans="2:7" ht="30.75" thickBot="1" x14ac:dyDescent="0.3">
      <c r="C6" s="79" t="s">
        <v>27</v>
      </c>
      <c r="D6" s="80" t="s">
        <v>67</v>
      </c>
      <c r="E6" s="80" t="s">
        <v>62</v>
      </c>
      <c r="F6" s="80" t="s">
        <v>29</v>
      </c>
      <c r="G6" s="82" t="s">
        <v>30</v>
      </c>
    </row>
    <row r="7" spans="2:7" x14ac:dyDescent="0.25">
      <c r="B7" s="170" t="s">
        <v>11</v>
      </c>
      <c r="C7" s="171"/>
      <c r="D7" s="171"/>
      <c r="E7" s="171"/>
      <c r="F7" s="171"/>
      <c r="G7" s="172"/>
    </row>
    <row r="8" spans="2:7" x14ac:dyDescent="0.25">
      <c r="B8" s="74" t="s">
        <v>0</v>
      </c>
      <c r="C8" s="55" t="s">
        <v>79</v>
      </c>
      <c r="D8" s="55">
        <v>1350</v>
      </c>
      <c r="E8" s="55">
        <v>3.6</v>
      </c>
      <c r="F8" s="55" t="s">
        <v>69</v>
      </c>
      <c r="G8" s="169">
        <v>1.45</v>
      </c>
    </row>
    <row r="9" spans="2:7" x14ac:dyDescent="0.25">
      <c r="B9" s="74" t="s">
        <v>5</v>
      </c>
      <c r="C9" s="55" t="s">
        <v>86</v>
      </c>
      <c r="D9" s="55">
        <v>2880</v>
      </c>
      <c r="E9" s="55">
        <v>8</v>
      </c>
      <c r="F9" s="55" t="s">
        <v>72</v>
      </c>
      <c r="G9" s="169"/>
    </row>
    <row r="10" spans="2:7" ht="15.75" thickBot="1" x14ac:dyDescent="0.3">
      <c r="B10" s="74" t="s">
        <v>7</v>
      </c>
      <c r="C10" s="55" t="s">
        <v>87</v>
      </c>
      <c r="D10" s="55">
        <v>6750</v>
      </c>
      <c r="E10" s="55"/>
      <c r="F10" s="55" t="s">
        <v>76</v>
      </c>
      <c r="G10" s="169"/>
    </row>
    <row r="11" spans="2:7" x14ac:dyDescent="0.25">
      <c r="B11" s="170" t="s">
        <v>12</v>
      </c>
      <c r="C11" s="171"/>
      <c r="D11" s="171"/>
      <c r="E11" s="171"/>
      <c r="F11" s="171"/>
      <c r="G11" s="172"/>
    </row>
    <row r="12" spans="2:7" x14ac:dyDescent="0.25">
      <c r="B12" s="74" t="s">
        <v>0</v>
      </c>
      <c r="C12" s="55" t="s">
        <v>79</v>
      </c>
      <c r="D12" s="55">
        <v>1450</v>
      </c>
      <c r="E12" s="55">
        <v>4</v>
      </c>
      <c r="F12" s="55" t="s">
        <v>78</v>
      </c>
      <c r="G12" s="169">
        <v>2.2719999999999998</v>
      </c>
    </row>
    <row r="13" spans="2:7" x14ac:dyDescent="0.25">
      <c r="B13" s="74" t="s">
        <v>5</v>
      </c>
      <c r="C13" s="55" t="s">
        <v>88</v>
      </c>
      <c r="D13" s="55">
        <v>1280</v>
      </c>
      <c r="E13" s="55">
        <v>2.2000000000000002</v>
      </c>
      <c r="F13" s="55" t="s">
        <v>69</v>
      </c>
      <c r="G13" s="169"/>
    </row>
    <row r="14" spans="2:7" ht="15.75" thickBot="1" x14ac:dyDescent="0.3">
      <c r="B14" s="74" t="s">
        <v>7</v>
      </c>
      <c r="C14" s="55" t="s">
        <v>89</v>
      </c>
      <c r="D14" s="55">
        <v>3500</v>
      </c>
      <c r="E14" s="55"/>
      <c r="F14" s="55" t="s">
        <v>72</v>
      </c>
      <c r="G14" s="169"/>
    </row>
    <row r="15" spans="2:7" x14ac:dyDescent="0.25">
      <c r="B15" s="170" t="s">
        <v>13</v>
      </c>
      <c r="C15" s="171"/>
      <c r="D15" s="171"/>
      <c r="E15" s="171"/>
      <c r="F15" s="171"/>
      <c r="G15" s="172"/>
    </row>
    <row r="16" spans="2:7" ht="15.75" thickBot="1" x14ac:dyDescent="0.3">
      <c r="B16" s="75" t="s">
        <v>22</v>
      </c>
      <c r="C16" s="56" t="s">
        <v>85</v>
      </c>
      <c r="D16" s="56">
        <v>3560</v>
      </c>
      <c r="E16" s="56">
        <v>5.6</v>
      </c>
      <c r="F16" s="56" t="s">
        <v>76</v>
      </c>
      <c r="G16" s="57">
        <v>5.1980000000000004</v>
      </c>
    </row>
    <row r="17" spans="1:8" ht="15.75" thickBot="1" x14ac:dyDescent="0.3">
      <c r="F17" s="76" t="s">
        <v>31</v>
      </c>
      <c r="G17" s="58">
        <f>AVERAGE(G16+G12+G8)/3</f>
        <v>2.9733333333333332</v>
      </c>
    </row>
    <row r="18" spans="1:8" ht="15.75" thickBot="1" x14ac:dyDescent="0.3"/>
    <row r="19" spans="1:8" ht="15.75" customHeight="1" thickBot="1" x14ac:dyDescent="0.3">
      <c r="B19" s="163" t="s">
        <v>33</v>
      </c>
      <c r="C19" s="164"/>
      <c r="D19" s="164"/>
      <c r="E19" s="164"/>
      <c r="F19" s="164"/>
      <c r="G19" s="164"/>
      <c r="H19" s="165"/>
    </row>
    <row r="20" spans="1:8" ht="60.75" customHeight="1" thickBot="1" x14ac:dyDescent="0.3">
      <c r="B20" s="79" t="s">
        <v>37</v>
      </c>
      <c r="C20" s="80" t="s">
        <v>34</v>
      </c>
      <c r="D20" s="80" t="s">
        <v>35</v>
      </c>
      <c r="E20" s="80" t="s">
        <v>36</v>
      </c>
      <c r="F20" s="81" t="s">
        <v>43</v>
      </c>
      <c r="G20" s="82" t="s">
        <v>40</v>
      </c>
      <c r="H20" s="83" t="s">
        <v>41</v>
      </c>
    </row>
    <row r="21" spans="1:8" ht="15.75" thickBot="1" x14ac:dyDescent="0.3">
      <c r="A21" s="77" t="s">
        <v>0</v>
      </c>
      <c r="B21" s="60" t="s">
        <v>90</v>
      </c>
      <c r="C21" s="61" t="s">
        <v>91</v>
      </c>
      <c r="D21" s="61" t="s">
        <v>78</v>
      </c>
      <c r="E21" s="61">
        <v>5</v>
      </c>
      <c r="F21" s="18">
        <v>65</v>
      </c>
      <c r="G21" s="18">
        <v>0.25</v>
      </c>
      <c r="H21" s="85">
        <v>0.5</v>
      </c>
    </row>
    <row r="22" spans="1:8" x14ac:dyDescent="0.25">
      <c r="B22" s="62"/>
      <c r="C22" s="55" t="s">
        <v>92</v>
      </c>
      <c r="D22" s="55" t="s">
        <v>69</v>
      </c>
      <c r="E22" s="55">
        <v>40</v>
      </c>
      <c r="F22" s="16"/>
      <c r="G22" s="59">
        <v>0.5</v>
      </c>
      <c r="H22" s="86">
        <v>1.1200000000000001</v>
      </c>
    </row>
    <row r="23" spans="1:8" ht="15.75" thickBot="1" x14ac:dyDescent="0.3">
      <c r="B23" s="63"/>
      <c r="C23" s="56" t="s">
        <v>93</v>
      </c>
      <c r="D23" s="56" t="s">
        <v>76</v>
      </c>
      <c r="E23" s="56">
        <v>40</v>
      </c>
      <c r="F23" s="17"/>
      <c r="G23" s="22">
        <v>3.5</v>
      </c>
      <c r="H23" s="87">
        <v>4.12</v>
      </c>
    </row>
    <row r="24" spans="1:8" ht="15.75" thickBot="1" x14ac:dyDescent="0.3">
      <c r="B24" s="166" t="s">
        <v>42</v>
      </c>
      <c r="C24" s="167"/>
      <c r="D24" s="168"/>
      <c r="E24" s="64">
        <v>25</v>
      </c>
      <c r="F24" s="78" t="s">
        <v>46</v>
      </c>
      <c r="G24" s="65" t="s">
        <v>94</v>
      </c>
      <c r="H24" s="88">
        <v>0.38</v>
      </c>
    </row>
    <row r="25" spans="1:8" ht="45.75" thickBot="1" x14ac:dyDescent="0.3">
      <c r="B25" s="79" t="s">
        <v>44</v>
      </c>
      <c r="C25" s="80" t="s">
        <v>45</v>
      </c>
      <c r="D25" s="15"/>
      <c r="E25" s="80" t="s">
        <v>47</v>
      </c>
      <c r="F25" s="81" t="s">
        <v>48</v>
      </c>
      <c r="G25" s="82" t="s">
        <v>49</v>
      </c>
      <c r="H25" s="83" t="s">
        <v>28</v>
      </c>
    </row>
    <row r="26" spans="1:8" ht="15.75" thickBot="1" x14ac:dyDescent="0.3">
      <c r="B26" s="22">
        <v>110</v>
      </c>
      <c r="C26" s="89">
        <v>6.1150000000000002</v>
      </c>
      <c r="E26" s="67">
        <f>0.345*B26</f>
        <v>37.949999999999996</v>
      </c>
      <c r="F26" s="68">
        <f>26.11*C26</f>
        <v>159.66265000000001</v>
      </c>
      <c r="G26" s="68">
        <f>(230.45/7.5)*C26</f>
        <v>187.89356666666669</v>
      </c>
      <c r="H26" s="69">
        <f>(E26+F26+G26)/B26</f>
        <v>3.5046019696969695</v>
      </c>
    </row>
    <row r="28" spans="1:8" ht="15.75" thickBot="1" x14ac:dyDescent="0.3"/>
    <row r="29" spans="1:8" ht="15.75" thickBot="1" x14ac:dyDescent="0.3">
      <c r="B29" s="163" t="s">
        <v>33</v>
      </c>
      <c r="C29" s="164"/>
      <c r="D29" s="164"/>
      <c r="E29" s="164"/>
      <c r="F29" s="164"/>
      <c r="G29" s="164"/>
      <c r="H29" s="165"/>
    </row>
    <row r="30" spans="1:8" ht="45.75" thickBot="1" x14ac:dyDescent="0.3">
      <c r="B30" s="79" t="s">
        <v>37</v>
      </c>
      <c r="C30" s="80" t="s">
        <v>97</v>
      </c>
      <c r="D30" s="80" t="s">
        <v>35</v>
      </c>
      <c r="E30" s="80" t="s">
        <v>36</v>
      </c>
      <c r="F30" s="81" t="s">
        <v>43</v>
      </c>
      <c r="G30" s="82" t="s">
        <v>40</v>
      </c>
      <c r="H30" s="83" t="s">
        <v>41</v>
      </c>
    </row>
    <row r="31" spans="1:8" ht="15.75" thickBot="1" x14ac:dyDescent="0.3">
      <c r="A31" s="77" t="s">
        <v>5</v>
      </c>
      <c r="B31" s="60" t="s">
        <v>82</v>
      </c>
      <c r="C31" s="61" t="s">
        <v>91</v>
      </c>
      <c r="D31" s="61" t="s">
        <v>69</v>
      </c>
      <c r="E31" s="61">
        <v>5</v>
      </c>
      <c r="F31" s="61">
        <v>65</v>
      </c>
      <c r="G31" s="61">
        <v>0.25</v>
      </c>
      <c r="H31" s="90">
        <v>0.5</v>
      </c>
    </row>
    <row r="32" spans="1:8" x14ac:dyDescent="0.25">
      <c r="B32" s="62"/>
      <c r="C32" s="55" t="s">
        <v>92</v>
      </c>
      <c r="D32" s="55" t="s">
        <v>72</v>
      </c>
      <c r="E32" s="55">
        <v>40</v>
      </c>
      <c r="F32" s="55"/>
      <c r="G32" s="55">
        <v>0.5</v>
      </c>
      <c r="H32" s="91">
        <v>1.1200000000000001</v>
      </c>
    </row>
    <row r="33" spans="1:8" ht="15.75" thickBot="1" x14ac:dyDescent="0.3">
      <c r="B33" s="63"/>
      <c r="C33" s="56"/>
      <c r="D33" s="56"/>
      <c r="E33" s="56"/>
      <c r="F33" s="56"/>
      <c r="G33" s="56"/>
      <c r="H33" s="88"/>
    </row>
    <row r="34" spans="1:8" ht="15.75" thickBot="1" x14ac:dyDescent="0.3">
      <c r="B34" s="166" t="s">
        <v>42</v>
      </c>
      <c r="C34" s="167"/>
      <c r="D34" s="168"/>
      <c r="E34" s="64">
        <v>40</v>
      </c>
      <c r="F34" s="78" t="s">
        <v>46</v>
      </c>
      <c r="G34" s="65" t="s">
        <v>76</v>
      </c>
      <c r="H34" s="92">
        <v>0.62</v>
      </c>
    </row>
    <row r="35" spans="1:8" ht="45.75" thickBot="1" x14ac:dyDescent="0.3">
      <c r="B35" s="79" t="s">
        <v>44</v>
      </c>
      <c r="C35" s="80" t="s">
        <v>45</v>
      </c>
      <c r="D35" s="15"/>
      <c r="E35" s="80" t="s">
        <v>47</v>
      </c>
      <c r="F35" s="81" t="s">
        <v>48</v>
      </c>
      <c r="G35" s="82" t="s">
        <v>49</v>
      </c>
      <c r="H35" s="83" t="s">
        <v>28</v>
      </c>
    </row>
    <row r="36" spans="1:8" ht="15.75" thickBot="1" x14ac:dyDescent="0.3">
      <c r="B36" s="22">
        <v>85</v>
      </c>
      <c r="C36" s="89">
        <v>2.2309999999999999</v>
      </c>
      <c r="E36" s="67">
        <v>27.63</v>
      </c>
      <c r="F36" s="68">
        <v>44.73</v>
      </c>
      <c r="G36" s="68">
        <v>53.76</v>
      </c>
      <c r="H36" s="69">
        <v>1.48</v>
      </c>
    </row>
    <row r="37" spans="1:8" ht="15.75" thickBot="1" x14ac:dyDescent="0.3"/>
    <row r="38" spans="1:8" ht="15.75" thickBot="1" x14ac:dyDescent="0.3">
      <c r="B38" s="163" t="s">
        <v>33</v>
      </c>
      <c r="C38" s="164"/>
      <c r="D38" s="164"/>
      <c r="E38" s="164"/>
      <c r="F38" s="164"/>
      <c r="G38" s="164"/>
      <c r="H38" s="165"/>
    </row>
    <row r="39" spans="1:8" ht="45.75" thickBot="1" x14ac:dyDescent="0.3">
      <c r="B39" s="79" t="s">
        <v>37</v>
      </c>
      <c r="C39" s="80" t="s">
        <v>34</v>
      </c>
      <c r="D39" s="80" t="s">
        <v>35</v>
      </c>
      <c r="E39" s="80" t="s">
        <v>36</v>
      </c>
      <c r="F39" s="81" t="s">
        <v>43</v>
      </c>
      <c r="G39" s="82" t="s">
        <v>40</v>
      </c>
      <c r="H39" s="83" t="s">
        <v>41</v>
      </c>
    </row>
    <row r="40" spans="1:8" ht="15.75" thickBot="1" x14ac:dyDescent="0.3">
      <c r="A40" s="77" t="s">
        <v>7</v>
      </c>
      <c r="B40" s="60" t="s">
        <v>82</v>
      </c>
      <c r="C40" s="61" t="s">
        <v>91</v>
      </c>
      <c r="D40" s="61" t="s">
        <v>72</v>
      </c>
      <c r="E40" s="61">
        <v>5</v>
      </c>
      <c r="F40" s="61">
        <v>65</v>
      </c>
      <c r="G40" s="61">
        <v>1</v>
      </c>
      <c r="H40" s="90">
        <v>1.25</v>
      </c>
    </row>
    <row r="41" spans="1:8" x14ac:dyDescent="0.25">
      <c r="B41" s="62"/>
      <c r="C41" s="55" t="s">
        <v>92</v>
      </c>
      <c r="D41" s="55" t="s">
        <v>95</v>
      </c>
      <c r="E41" s="55">
        <v>40</v>
      </c>
      <c r="F41" s="55"/>
      <c r="G41" s="55">
        <v>1.5</v>
      </c>
      <c r="H41" s="91">
        <v>2.12</v>
      </c>
    </row>
    <row r="42" spans="1:8" ht="15.75" thickBot="1" x14ac:dyDescent="0.3">
      <c r="B42" s="63"/>
      <c r="C42" s="56"/>
      <c r="D42" s="56"/>
      <c r="E42" s="56"/>
      <c r="F42" s="56"/>
      <c r="G42" s="56"/>
      <c r="H42" s="93"/>
    </row>
    <row r="43" spans="1:8" ht="15.75" thickBot="1" x14ac:dyDescent="0.3">
      <c r="B43" s="166" t="s">
        <v>42</v>
      </c>
      <c r="C43" s="167"/>
      <c r="D43" s="168"/>
      <c r="E43" s="64">
        <v>40</v>
      </c>
      <c r="F43" s="78" t="s">
        <v>46</v>
      </c>
      <c r="G43" s="65" t="s">
        <v>96</v>
      </c>
      <c r="H43" s="88">
        <v>0.62</v>
      </c>
    </row>
    <row r="44" spans="1:8" ht="45.75" thickBot="1" x14ac:dyDescent="0.3">
      <c r="B44" s="79" t="s">
        <v>44</v>
      </c>
      <c r="C44" s="80" t="s">
        <v>45</v>
      </c>
      <c r="D44" s="15"/>
      <c r="E44" s="80" t="s">
        <v>47</v>
      </c>
      <c r="F44" s="81" t="s">
        <v>48</v>
      </c>
      <c r="G44" s="82" t="s">
        <v>49</v>
      </c>
      <c r="H44" s="83" t="s">
        <v>28</v>
      </c>
    </row>
    <row r="45" spans="1:8" ht="15.75" thickBot="1" x14ac:dyDescent="0.3">
      <c r="B45" s="22">
        <v>85</v>
      </c>
      <c r="C45" s="89">
        <v>3.9809999999999999</v>
      </c>
      <c r="E45" s="67">
        <v>27.63</v>
      </c>
      <c r="F45" s="68">
        <v>79.81</v>
      </c>
      <c r="G45" s="68">
        <v>95.94</v>
      </c>
      <c r="H45" s="69">
        <v>2.39</v>
      </c>
    </row>
    <row r="46" spans="1:8" ht="15.75" thickBot="1" x14ac:dyDescent="0.3"/>
    <row r="47" spans="1:8" ht="15.75" thickBot="1" x14ac:dyDescent="0.3">
      <c r="B47" s="163" t="s">
        <v>61</v>
      </c>
      <c r="C47" s="164"/>
      <c r="D47" s="164"/>
      <c r="E47" s="164"/>
      <c r="F47" s="164"/>
      <c r="G47" s="164"/>
      <c r="H47" s="165"/>
    </row>
    <row r="48" spans="1:8" ht="45.75" thickBot="1" x14ac:dyDescent="0.3">
      <c r="B48" s="79" t="s">
        <v>44</v>
      </c>
      <c r="C48" s="80" t="s">
        <v>45</v>
      </c>
      <c r="D48" s="80"/>
      <c r="E48" s="80" t="s">
        <v>47</v>
      </c>
      <c r="F48" s="81" t="s">
        <v>48</v>
      </c>
      <c r="G48" s="82" t="s">
        <v>49</v>
      </c>
      <c r="H48" s="83" t="s">
        <v>60</v>
      </c>
    </row>
    <row r="49" spans="2:8" ht="15.75" thickBot="1" x14ac:dyDescent="0.3">
      <c r="B49" s="22">
        <v>280</v>
      </c>
      <c r="C49" s="66">
        <v>12.327</v>
      </c>
      <c r="E49" s="67">
        <v>93.2</v>
      </c>
      <c r="F49" s="68">
        <v>284.20999999999998</v>
      </c>
      <c r="G49" s="68">
        <v>337.6</v>
      </c>
      <c r="H49" s="70">
        <v>2.5539999999999998</v>
      </c>
    </row>
    <row r="51" spans="2:8" x14ac:dyDescent="0.25">
      <c r="H51" s="23"/>
    </row>
  </sheetData>
  <mergeCells count="14">
    <mergeCell ref="G12:G14"/>
    <mergeCell ref="B15:G15"/>
    <mergeCell ref="B24:D24"/>
    <mergeCell ref="B19:H19"/>
    <mergeCell ref="B2:G2"/>
    <mergeCell ref="B4:G4"/>
    <mergeCell ref="G8:G10"/>
    <mergeCell ref="B7:G7"/>
    <mergeCell ref="B11:G11"/>
    <mergeCell ref="B29:H29"/>
    <mergeCell ref="B34:D34"/>
    <mergeCell ref="B38:H38"/>
    <mergeCell ref="B43:D43"/>
    <mergeCell ref="B47:H4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Header>&amp;LDTE TP GOTRM &amp;C&amp;F&amp;R&amp;P</oddHeader>
    <oddFooter>&amp;C&amp;A</oddFooter>
  </headerFooter>
  <rowBreaks count="1" manualBreakCount="1">
    <brk id="2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58" workbookViewId="0">
      <selection activeCell="D1" sqref="D1:O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RAMASSES BOEUFDOR</vt:lpstr>
      <vt:lpstr>RAMASSES MARTIN-GUIBERT</vt:lpstr>
      <vt:lpstr>RAMASSES GELPLUS</vt:lpstr>
      <vt:lpstr>REORGANISATION RAMASSES</vt:lpstr>
      <vt:lpstr>Feuil1</vt:lpstr>
    </vt:vector>
  </TitlesOfParts>
  <Company>AFPA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Matthias AROULAPIN</cp:lastModifiedBy>
  <cp:lastPrinted>2022-02-17T15:35:45Z</cp:lastPrinted>
  <dcterms:created xsi:type="dcterms:W3CDTF">2021-12-14T09:57:01Z</dcterms:created>
  <dcterms:modified xsi:type="dcterms:W3CDTF">2024-06-17T15:10:34Z</dcterms:modified>
</cp:coreProperties>
</file>