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310"/>
  </bookViews>
  <sheets>
    <sheet name="| BdF | Créat. &amp; Estim MJ 2.134" sheetId="11" r:id="rId1"/>
    <sheet name="| BdF | NbTirs recevables 2.134" sheetId="12" r:id="rId2"/>
    <sheet name="| Duel |  Créat. &amp; Estim. Build" sheetId="3" r:id="rId3"/>
    <sheet name="| BdF | Créat. &amp; Estim. BuildAF" sheetId="1" state="hidden" r:id="rId4"/>
    <sheet name="| BdF | Nb Tirs recevablesAF" sheetId="2" state="hidden" r:id="rId5"/>
    <sheet name="| Vitesse |Formule" sheetId="15" r:id="rId6"/>
    <sheet name="Régénération PR &amp; PV " sheetId="17" r:id="rId7"/>
    <sheet name="Construction" sheetId="18" r:id="rId8"/>
    <sheet name="Feuil2" sheetId="14" state="hidden" r:id="rId9"/>
  </sheets>
  <definedNames>
    <definedName name="_xlnm._FilterDatabase" localSheetId="8" hidden="1">Feuil2!$Q$1:$Q$897</definedName>
  </definedNames>
  <calcPr calcId="125725"/>
</workbook>
</file>

<file path=xl/calcChain.xml><?xml version="1.0" encoding="utf-8"?>
<calcChain xmlns="http://schemas.openxmlformats.org/spreadsheetml/2006/main">
  <c r="K16" i="3"/>
  <c r="K21"/>
  <c r="K22"/>
  <c r="K23"/>
  <c r="S21" i="18"/>
  <c r="S20"/>
  <c r="S19"/>
  <c r="T19"/>
  <c r="T21"/>
  <c r="T20"/>
  <c r="S31"/>
  <c r="S32"/>
  <c r="S33"/>
  <c r="S34"/>
  <c r="S30"/>
  <c r="S28"/>
  <c r="S27"/>
  <c r="S26"/>
  <c r="S25"/>
  <c r="L9"/>
  <c r="K31"/>
  <c r="L31" s="1"/>
  <c r="K32"/>
  <c r="L32" s="1"/>
  <c r="K33"/>
  <c r="L33" s="1"/>
  <c r="K34"/>
  <c r="L34" s="1"/>
  <c r="K29"/>
  <c r="L29" s="1"/>
  <c r="K30"/>
  <c r="L30" s="1"/>
  <c r="K28"/>
  <c r="L28" s="1"/>
  <c r="K27"/>
  <c r="L27" s="1"/>
  <c r="K26"/>
  <c r="L26" s="1"/>
  <c r="K25"/>
  <c r="L25" s="1"/>
  <c r="K20"/>
  <c r="L20"/>
  <c r="L19"/>
  <c r="L17"/>
  <c r="L16"/>
  <c r="L15"/>
  <c r="L14"/>
  <c r="L13"/>
  <c r="L12"/>
  <c r="L11"/>
  <c r="L10"/>
  <c r="K18"/>
  <c r="L18"/>
  <c r="K14"/>
  <c r="K13"/>
  <c r="K12"/>
  <c r="K11"/>
  <c r="K10"/>
  <c r="K9"/>
  <c r="K15"/>
  <c r="K16"/>
  <c r="K17"/>
  <c r="K19"/>
  <c r="F7"/>
  <c r="F6"/>
  <c r="F5"/>
  <c r="G3" i="17"/>
  <c r="AE21" i="3"/>
  <c r="M20" i="14"/>
  <c r="L20"/>
  <c r="O15" i="11"/>
  <c r="V15"/>
  <c r="T15"/>
  <c r="S15"/>
  <c r="Q15"/>
  <c r="M15"/>
  <c r="N29" i="3"/>
  <c r="S29"/>
  <c r="R29"/>
  <c r="P29"/>
  <c r="R28"/>
  <c r="AD29"/>
  <c r="AD28"/>
  <c r="AG16"/>
  <c r="AG15"/>
  <c r="AG14"/>
  <c r="AG13"/>
  <c r="AG12"/>
  <c r="AG11"/>
  <c r="AG10"/>
  <c r="AG9"/>
  <c r="AG8"/>
  <c r="AE16"/>
  <c r="AE15"/>
  <c r="AE14"/>
  <c r="AE13"/>
  <c r="AE12"/>
  <c r="AE11"/>
  <c r="AE10"/>
  <c r="AE9"/>
  <c r="AE8"/>
  <c r="AC16"/>
  <c r="AC15"/>
  <c r="AC14"/>
  <c r="AC13"/>
  <c r="AC12"/>
  <c r="AC11"/>
  <c r="AC10"/>
  <c r="AC9"/>
  <c r="AC8"/>
  <c r="AB8"/>
  <c r="U29"/>
  <c r="AF8"/>
  <c r="AD8"/>
  <c r="AA29"/>
  <c r="Y29"/>
  <c r="Y30" s="1"/>
  <c r="AA28"/>
  <c r="W29"/>
  <c r="W30" s="1"/>
  <c r="AH8"/>
  <c r="X9"/>
  <c r="AI8"/>
  <c r="AJ8"/>
  <c r="Q10"/>
  <c r="R10"/>
  <c r="S10"/>
  <c r="T10"/>
  <c r="U10"/>
  <c r="V10"/>
  <c r="W10"/>
  <c r="X10"/>
  <c r="Y10"/>
  <c r="Z10"/>
  <c r="AA10"/>
  <c r="AB10"/>
  <c r="AD10"/>
  <c r="AF10"/>
  <c r="AH10"/>
  <c r="AI10"/>
  <c r="Q9"/>
  <c r="R9"/>
  <c r="S9"/>
  <c r="T9"/>
  <c r="U9"/>
  <c r="V9"/>
  <c r="W9"/>
  <c r="Y9"/>
  <c r="Z9"/>
  <c r="AA9"/>
  <c r="AB9"/>
  <c r="AD9"/>
  <c r="AF9"/>
  <c r="AH9"/>
  <c r="AI9"/>
  <c r="Q16"/>
  <c r="R16"/>
  <c r="S16"/>
  <c r="T16"/>
  <c r="U16"/>
  <c r="V16"/>
  <c r="W16"/>
  <c r="X16"/>
  <c r="Y16"/>
  <c r="Z16"/>
  <c r="AA16"/>
  <c r="AB16"/>
  <c r="AD16"/>
  <c r="AF16"/>
  <c r="AH16"/>
  <c r="AI16"/>
  <c r="Q15"/>
  <c r="R15"/>
  <c r="S15"/>
  <c r="T15"/>
  <c r="U15"/>
  <c r="V15"/>
  <c r="W15"/>
  <c r="X15"/>
  <c r="Y15"/>
  <c r="Z15"/>
  <c r="AA15"/>
  <c r="AB15"/>
  <c r="AD15"/>
  <c r="AF15"/>
  <c r="AH15"/>
  <c r="AI15"/>
  <c r="Q14"/>
  <c r="R14"/>
  <c r="S14"/>
  <c r="T14"/>
  <c r="U14"/>
  <c r="V14"/>
  <c r="W14"/>
  <c r="X14"/>
  <c r="Y14"/>
  <c r="Z14"/>
  <c r="AA14"/>
  <c r="AB14"/>
  <c r="AD14"/>
  <c r="AF14"/>
  <c r="AH14"/>
  <c r="AI14"/>
  <c r="AJ16"/>
  <c r="AJ15"/>
  <c r="AJ14"/>
  <c r="Q13"/>
  <c r="R13"/>
  <c r="S13"/>
  <c r="T13"/>
  <c r="U13"/>
  <c r="V13"/>
  <c r="W13"/>
  <c r="X13"/>
  <c r="Y13"/>
  <c r="Z13"/>
  <c r="AA13"/>
  <c r="AB13"/>
  <c r="AD13"/>
  <c r="AF13"/>
  <c r="AH13"/>
  <c r="AI13"/>
  <c r="Q12"/>
  <c r="R12"/>
  <c r="S12"/>
  <c r="T12"/>
  <c r="U12"/>
  <c r="V12"/>
  <c r="W12"/>
  <c r="X12"/>
  <c r="Y12"/>
  <c r="Z12"/>
  <c r="AA12"/>
  <c r="AB12"/>
  <c r="AD12"/>
  <c r="AF12"/>
  <c r="AH12"/>
  <c r="AI12"/>
  <c r="Q11"/>
  <c r="R11"/>
  <c r="S11"/>
  <c r="T11"/>
  <c r="U11"/>
  <c r="V11"/>
  <c r="W11"/>
  <c r="X11"/>
  <c r="Y11"/>
  <c r="Z11"/>
  <c r="AA11"/>
  <c r="AB11"/>
  <c r="AD11"/>
  <c r="AF11"/>
  <c r="AH11"/>
  <c r="AI11"/>
  <c r="AJ13"/>
  <c r="AJ12"/>
  <c r="AJ11"/>
  <c r="AJ9"/>
  <c r="Q8"/>
  <c r="R8"/>
  <c r="S8"/>
  <c r="T8"/>
  <c r="U8"/>
  <c r="V8"/>
  <c r="W8"/>
  <c r="X8"/>
  <c r="Y8"/>
  <c r="Z8"/>
  <c r="AA8"/>
  <c r="AJ10"/>
  <c r="C11" i="18" l="1"/>
  <c r="O12" s="1"/>
  <c r="N12" s="1"/>
  <c r="C10"/>
  <c r="H3" i="17"/>
  <c r="F7" s="1"/>
  <c r="Q20"/>
  <c r="Q30" s="1"/>
  <c r="U9"/>
  <c r="U15" s="1"/>
  <c r="Q23"/>
  <c r="Q25" s="1"/>
  <c r="Q21"/>
  <c r="Q29" s="1"/>
  <c r="U10"/>
  <c r="U16" s="1"/>
  <c r="I6" i="3"/>
  <c r="G22" i="14"/>
  <c r="AB18" i="3"/>
  <c r="AF18"/>
  <c r="H11" i="15"/>
  <c r="H10"/>
  <c r="H9"/>
  <c r="H8"/>
  <c r="H7"/>
  <c r="H6"/>
  <c r="G31" i="14"/>
  <c r="J4"/>
  <c r="J6" s="1"/>
  <c r="O4"/>
  <c r="O6" s="1"/>
  <c r="N4"/>
  <c r="N6" s="1"/>
  <c r="M4"/>
  <c r="M6" s="1"/>
  <c r="L4"/>
  <c r="L6" s="1"/>
  <c r="K4"/>
  <c r="K6" s="1"/>
  <c r="H4"/>
  <c r="AQ150" i="11"/>
  <c r="AQ149"/>
  <c r="AQ148"/>
  <c r="AQ147"/>
  <c r="AQ146"/>
  <c r="AQ145"/>
  <c r="AQ144"/>
  <c r="AQ143"/>
  <c r="AQ142"/>
  <c r="AQ141"/>
  <c r="AQ140"/>
  <c r="AQ139"/>
  <c r="AQ138"/>
  <c r="AQ137"/>
  <c r="AQ136"/>
  <c r="AQ135"/>
  <c r="AQ134"/>
  <c r="AQ133"/>
  <c r="AQ132"/>
  <c r="AQ131"/>
  <c r="AQ130"/>
  <c r="AQ129"/>
  <c r="AQ128"/>
  <c r="AQ127"/>
  <c r="AQ126"/>
  <c r="AQ125"/>
  <c r="AQ124"/>
  <c r="AQ123"/>
  <c r="AQ122"/>
  <c r="AQ121"/>
  <c r="AQ120"/>
  <c r="AQ119"/>
  <c r="AQ118"/>
  <c r="AQ117"/>
  <c r="AQ116"/>
  <c r="AQ115"/>
  <c r="AQ114"/>
  <c r="AQ113"/>
  <c r="AQ112"/>
  <c r="AQ111"/>
  <c r="AQ110"/>
  <c r="AQ109"/>
  <c r="AQ108"/>
  <c r="AQ107"/>
  <c r="AQ106"/>
  <c r="AQ105"/>
  <c r="AQ104"/>
  <c r="AQ103"/>
  <c r="AQ102"/>
  <c r="AQ101"/>
  <c r="AQ100"/>
  <c r="AQ99"/>
  <c r="AQ98"/>
  <c r="AQ97"/>
  <c r="AQ96"/>
  <c r="AQ95"/>
  <c r="AQ94"/>
  <c r="AQ93"/>
  <c r="AQ92"/>
  <c r="AQ91"/>
  <c r="AQ90"/>
  <c r="AQ89"/>
  <c r="AQ88"/>
  <c r="AQ87"/>
  <c r="AQ86"/>
  <c r="AQ85"/>
  <c r="AQ84"/>
  <c r="AQ83"/>
  <c r="AQ82"/>
  <c r="AQ81"/>
  <c r="AQ80"/>
  <c r="AQ79"/>
  <c r="AQ78"/>
  <c r="AQ77"/>
  <c r="AQ76"/>
  <c r="AQ75"/>
  <c r="AQ74"/>
  <c r="AQ73"/>
  <c r="AQ72"/>
  <c r="AQ71"/>
  <c r="AQ70"/>
  <c r="AQ69"/>
  <c r="AQ68"/>
  <c r="AQ67"/>
  <c r="AQ66"/>
  <c r="AQ65"/>
  <c r="AQ64"/>
  <c r="AQ63"/>
  <c r="AQ62"/>
  <c r="AQ61"/>
  <c r="AQ60"/>
  <c r="AQ59"/>
  <c r="AQ58"/>
  <c r="AQ57"/>
  <c r="AQ56"/>
  <c r="AQ55"/>
  <c r="AQ54"/>
  <c r="AQ53"/>
  <c r="AQ52"/>
  <c r="AQ51"/>
  <c r="AQ50"/>
  <c r="AQ49"/>
  <c r="AQ48"/>
  <c r="AQ47"/>
  <c r="AQ46"/>
  <c r="AQ45"/>
  <c r="AQ44"/>
  <c r="AQ43"/>
  <c r="AQ42"/>
  <c r="AQ41"/>
  <c r="AQ40"/>
  <c r="AQ39"/>
  <c r="AQ38"/>
  <c r="AQ37"/>
  <c r="AQ36"/>
  <c r="AQ35"/>
  <c r="AQ34"/>
  <c r="AQ33"/>
  <c r="AQ32"/>
  <c r="AQ31"/>
  <c r="AQ30"/>
  <c r="V30"/>
  <c r="L15" s="1"/>
  <c r="M30"/>
  <c r="L30"/>
  <c r="AQ29"/>
  <c r="AQ28"/>
  <c r="AQ27"/>
  <c r="AQ26"/>
  <c r="AQ25"/>
  <c r="V25"/>
  <c r="T25"/>
  <c r="S7" s="1"/>
  <c r="S25"/>
  <c r="Q25"/>
  <c r="O25"/>
  <c r="M25"/>
  <c r="AQ24"/>
  <c r="AQ23"/>
  <c r="AQ22"/>
  <c r="AQ21"/>
  <c r="AQ20"/>
  <c r="AQ19"/>
  <c r="AQ18"/>
  <c r="AQ17"/>
  <c r="AQ16"/>
  <c r="AQ15"/>
  <c r="AQ14"/>
  <c r="AQ13"/>
  <c r="AQ12"/>
  <c r="AQ11"/>
  <c r="AQ10"/>
  <c r="S10"/>
  <c r="AQ9"/>
  <c r="S9"/>
  <c r="AQ8"/>
  <c r="S8"/>
  <c r="AQ7"/>
  <c r="AQ6"/>
  <c r="S6"/>
  <c r="AQ5"/>
  <c r="AQ4"/>
  <c r="AQ3"/>
  <c r="AQ2"/>
  <c r="C6" i="3"/>
  <c r="D6"/>
  <c r="I4" s="1"/>
  <c r="E6"/>
  <c r="F6"/>
  <c r="G6"/>
  <c r="H6"/>
  <c r="J6"/>
  <c r="K6"/>
  <c r="I14"/>
  <c r="K14"/>
  <c r="P34"/>
  <c r="Q34"/>
  <c r="R34"/>
  <c r="P35"/>
  <c r="Q35"/>
  <c r="R35"/>
  <c r="P36"/>
  <c r="Q36"/>
  <c r="R36"/>
  <c r="P39"/>
  <c r="Q39"/>
  <c r="R39"/>
  <c r="P40"/>
  <c r="Q40"/>
  <c r="R40"/>
  <c r="P41"/>
  <c r="Q41"/>
  <c r="R41"/>
  <c r="P44"/>
  <c r="Q44"/>
  <c r="R44"/>
  <c r="P45"/>
  <c r="Q45"/>
  <c r="R45"/>
  <c r="P46"/>
  <c r="Q46"/>
  <c r="R46"/>
  <c r="V30" i="1"/>
  <c r="AQ98"/>
  <c r="AQ15"/>
  <c r="AQ16"/>
  <c r="AQ17"/>
  <c r="AQ18"/>
  <c r="AQ19"/>
  <c r="AQ20"/>
  <c r="AQ21"/>
  <c r="AQ22"/>
  <c r="AQ23"/>
  <c r="AQ24"/>
  <c r="AQ25"/>
  <c r="AQ26"/>
  <c r="AQ27"/>
  <c r="AQ28"/>
  <c r="AQ29"/>
  <c r="AQ30"/>
  <c r="AQ31"/>
  <c r="AQ32"/>
  <c r="AQ33"/>
  <c r="AQ34"/>
  <c r="AQ35"/>
  <c r="AQ36"/>
  <c r="AQ37"/>
  <c r="AQ38"/>
  <c r="AQ39"/>
  <c r="AQ40"/>
  <c r="AQ41"/>
  <c r="AQ42"/>
  <c r="AQ43"/>
  <c r="AQ44"/>
  <c r="AQ45"/>
  <c r="AQ46"/>
  <c r="AQ47"/>
  <c r="AQ48"/>
  <c r="AQ49"/>
  <c r="AQ50"/>
  <c r="AQ51"/>
  <c r="AQ52"/>
  <c r="AQ53"/>
  <c r="AQ54"/>
  <c r="AQ55"/>
  <c r="AQ56"/>
  <c r="AQ57"/>
  <c r="AQ58"/>
  <c r="AQ59"/>
  <c r="AQ60"/>
  <c r="AQ61"/>
  <c r="AQ62"/>
  <c r="AQ63"/>
  <c r="AQ64"/>
  <c r="AQ65"/>
  <c r="AQ66"/>
  <c r="AQ67"/>
  <c r="AQ68"/>
  <c r="AQ69"/>
  <c r="AQ70"/>
  <c r="AQ71"/>
  <c r="AQ72"/>
  <c r="AQ73"/>
  <c r="AQ74"/>
  <c r="AQ75"/>
  <c r="AQ76"/>
  <c r="AQ77"/>
  <c r="AQ78"/>
  <c r="AQ79"/>
  <c r="AQ80"/>
  <c r="AQ81"/>
  <c r="AQ82"/>
  <c r="AQ83"/>
  <c r="AQ84"/>
  <c r="AQ85"/>
  <c r="AQ86"/>
  <c r="AQ87"/>
  <c r="AQ88"/>
  <c r="AQ89"/>
  <c r="AQ90"/>
  <c r="AQ91"/>
  <c r="AQ92"/>
  <c r="AQ93"/>
  <c r="AQ94"/>
  <c r="AQ95"/>
  <c r="AQ96"/>
  <c r="AQ97"/>
  <c r="AQ99"/>
  <c r="AQ100"/>
  <c r="AQ101"/>
  <c r="AQ102"/>
  <c r="AQ103"/>
  <c r="AQ104"/>
  <c r="AQ105"/>
  <c r="AQ106"/>
  <c r="AQ107"/>
  <c r="AQ108"/>
  <c r="AQ109"/>
  <c r="AQ110"/>
  <c r="AQ111"/>
  <c r="AQ112"/>
  <c r="AQ113"/>
  <c r="AQ114"/>
  <c r="AQ115"/>
  <c r="AQ116"/>
  <c r="AQ117"/>
  <c r="AQ118"/>
  <c r="AQ119"/>
  <c r="AQ120"/>
  <c r="AQ121"/>
  <c r="AQ122"/>
  <c r="AQ123"/>
  <c r="AQ124"/>
  <c r="AQ125"/>
  <c r="AQ126"/>
  <c r="AQ127"/>
  <c r="AQ128"/>
  <c r="AQ129"/>
  <c r="AQ130"/>
  <c r="AQ131"/>
  <c r="AQ132"/>
  <c r="AQ133"/>
  <c r="AQ134"/>
  <c r="AQ135"/>
  <c r="AQ136"/>
  <c r="AQ137"/>
  <c r="AQ138"/>
  <c r="AQ139"/>
  <c r="AQ140"/>
  <c r="AQ141"/>
  <c r="AQ142"/>
  <c r="AQ143"/>
  <c r="AQ144"/>
  <c r="AQ145"/>
  <c r="AQ146"/>
  <c r="AQ147"/>
  <c r="AQ148"/>
  <c r="AQ149"/>
  <c r="AQ150"/>
  <c r="AQ3"/>
  <c r="AQ4"/>
  <c r="AQ5"/>
  <c r="AQ6"/>
  <c r="AQ7"/>
  <c r="AQ8"/>
  <c r="AQ9"/>
  <c r="AQ10"/>
  <c r="AQ11"/>
  <c r="AQ12"/>
  <c r="AQ13"/>
  <c r="AQ14"/>
  <c r="AQ2"/>
  <c r="O18" i="18" l="1"/>
  <c r="N15"/>
  <c r="N18"/>
  <c r="O11"/>
  <c r="N11" s="1"/>
  <c r="O33"/>
  <c r="N33" s="1"/>
  <c r="O25"/>
  <c r="N25" s="1"/>
  <c r="N14"/>
  <c r="O14"/>
  <c r="O10"/>
  <c r="N10" s="1"/>
  <c r="O31"/>
  <c r="N31" s="1"/>
  <c r="O17"/>
  <c r="N17" s="1"/>
  <c r="O34"/>
  <c r="N34" s="1"/>
  <c r="O16"/>
  <c r="N16" s="1"/>
  <c r="O29"/>
  <c r="N29" s="1"/>
  <c r="O20"/>
  <c r="N20" s="1"/>
  <c r="O32"/>
  <c r="N32" s="1"/>
  <c r="O27"/>
  <c r="N27" s="1"/>
  <c r="O13"/>
  <c r="N13" s="1"/>
  <c r="O30"/>
  <c r="N30" s="1"/>
  <c r="O15"/>
  <c r="O28"/>
  <c r="N28" s="1"/>
  <c r="O19"/>
  <c r="N19" s="1"/>
  <c r="O9"/>
  <c r="N9" s="1"/>
  <c r="O26"/>
  <c r="N26" s="1"/>
  <c r="F15" i="17"/>
  <c r="H15" s="1"/>
  <c r="K7" i="3"/>
  <c r="AI22" s="1"/>
  <c r="X6"/>
  <c r="AC7" s="1"/>
  <c r="L25" i="11"/>
  <c r="F30" i="17"/>
  <c r="C30" s="1"/>
  <c r="F6"/>
  <c r="C6" s="1"/>
  <c r="F29"/>
  <c r="C29" s="1"/>
  <c r="F25"/>
  <c r="G25" s="1"/>
  <c r="F23"/>
  <c r="G23" s="1"/>
  <c r="F14"/>
  <c r="D14" s="1"/>
  <c r="F16"/>
  <c r="N16" s="1"/>
  <c r="T7"/>
  <c r="R7"/>
  <c r="P7"/>
  <c r="N7"/>
  <c r="L7"/>
  <c r="J7"/>
  <c r="H7"/>
  <c r="D7"/>
  <c r="U7"/>
  <c r="S7"/>
  <c r="Q7"/>
  <c r="O7"/>
  <c r="M7"/>
  <c r="K7"/>
  <c r="I7"/>
  <c r="G7"/>
  <c r="E7"/>
  <c r="C7"/>
  <c r="F10"/>
  <c r="G10" s="1"/>
  <c r="F9"/>
  <c r="D9" s="1"/>
  <c r="F20"/>
  <c r="F21"/>
  <c r="N21" s="1"/>
  <c r="Q24"/>
  <c r="F24" s="1"/>
  <c r="C24" s="1"/>
  <c r="Q28"/>
  <c r="F28" s="1"/>
  <c r="C28" s="1"/>
  <c r="Q22"/>
  <c r="F22" s="1"/>
  <c r="E22" s="1"/>
  <c r="Q26"/>
  <c r="F26" s="1"/>
  <c r="C26" s="1"/>
  <c r="U13"/>
  <c r="F13" s="1"/>
  <c r="M13" s="1"/>
  <c r="U17"/>
  <c r="F17" s="1"/>
  <c r="Q17" s="1"/>
  <c r="U11"/>
  <c r="F11" s="1"/>
  <c r="Q11" s="1"/>
  <c r="U14"/>
  <c r="U18"/>
  <c r="F18" s="1"/>
  <c r="Q27"/>
  <c r="F27" s="1"/>
  <c r="O27" s="1"/>
  <c r="Q31"/>
  <c r="F31" s="1"/>
  <c r="U12"/>
  <c r="F12" s="1"/>
  <c r="P21" i="3"/>
  <c r="AA21" s="1"/>
  <c r="U22"/>
  <c r="U21"/>
  <c r="AF24"/>
  <c r="H12" i="15"/>
  <c r="H13" s="1"/>
  <c r="B20" s="1"/>
  <c r="K7" i="11"/>
  <c r="AB19" s="1"/>
  <c r="S30"/>
  <c r="I4" i="14"/>
  <c r="K10" i="11"/>
  <c r="AD19" s="1"/>
  <c r="K4" i="12"/>
  <c r="L11" s="1"/>
  <c r="AN25" i="11"/>
  <c r="AN23"/>
  <c r="AN24"/>
  <c r="L7"/>
  <c r="AB20" s="1"/>
  <c r="L10"/>
  <c r="S5"/>
  <c r="AO2" s="1"/>
  <c r="W21" i="3"/>
  <c r="W22"/>
  <c r="P22"/>
  <c r="AA22" s="1"/>
  <c r="V25" i="1"/>
  <c r="S9" s="1"/>
  <c r="T25"/>
  <c r="S7" s="1"/>
  <c r="S25"/>
  <c r="S10" s="1"/>
  <c r="Q25"/>
  <c r="S8" s="1"/>
  <c r="O25"/>
  <c r="S6" s="1"/>
  <c r="M25"/>
  <c r="M30"/>
  <c r="L30"/>
  <c r="M30" i="17" l="1"/>
  <c r="D16"/>
  <c r="O25"/>
  <c r="K23"/>
  <c r="I25"/>
  <c r="I15"/>
  <c r="D30"/>
  <c r="K15"/>
  <c r="J15"/>
  <c r="N15"/>
  <c r="K14"/>
  <c r="P15"/>
  <c r="O15"/>
  <c r="S15"/>
  <c r="E15"/>
  <c r="Q15"/>
  <c r="G15"/>
  <c r="T15"/>
  <c r="R15"/>
  <c r="C15"/>
  <c r="M15"/>
  <c r="D24"/>
  <c r="O29"/>
  <c r="L15"/>
  <c r="D15"/>
  <c r="S16"/>
  <c r="M16"/>
  <c r="M29"/>
  <c r="K25"/>
  <c r="K29"/>
  <c r="I16"/>
  <c r="G29"/>
  <c r="J16"/>
  <c r="G16"/>
  <c r="T16"/>
  <c r="I29"/>
  <c r="C16"/>
  <c r="P16"/>
  <c r="M25"/>
  <c r="K31"/>
  <c r="N31"/>
  <c r="I31"/>
  <c r="C31"/>
  <c r="O31"/>
  <c r="P12"/>
  <c r="S12"/>
  <c r="C12"/>
  <c r="H12"/>
  <c r="K12"/>
  <c r="L12"/>
  <c r="O12"/>
  <c r="T12"/>
  <c r="D12"/>
  <c r="G12"/>
  <c r="E18"/>
  <c r="L18"/>
  <c r="S18"/>
  <c r="C18"/>
  <c r="Q18"/>
  <c r="P18"/>
  <c r="T18"/>
  <c r="D18"/>
  <c r="K18"/>
  <c r="N18"/>
  <c r="I18"/>
  <c r="H18"/>
  <c r="O18"/>
  <c r="R18"/>
  <c r="M18"/>
  <c r="G18"/>
  <c r="J18"/>
  <c r="T14"/>
  <c r="O23"/>
  <c r="I23"/>
  <c r="AG7" i="3"/>
  <c r="AE7"/>
  <c r="AB7"/>
  <c r="W7"/>
  <c r="AA7"/>
  <c r="AD7"/>
  <c r="X7"/>
  <c r="AF7"/>
  <c r="Z7"/>
  <c r="Y7"/>
  <c r="AH7"/>
  <c r="M11" i="17"/>
  <c r="D26"/>
  <c r="Q16"/>
  <c r="K16"/>
  <c r="H16"/>
  <c r="M23"/>
  <c r="K26"/>
  <c r="M31"/>
  <c r="C23"/>
  <c r="C25"/>
  <c r="E26"/>
  <c r="G31"/>
  <c r="R16"/>
  <c r="O16"/>
  <c r="L16"/>
  <c r="E16"/>
  <c r="O24"/>
  <c r="D22"/>
  <c r="J31"/>
  <c r="G27"/>
  <c r="M22"/>
  <c r="M17"/>
  <c r="G28"/>
  <c r="D28"/>
  <c r="E14"/>
  <c r="J14"/>
  <c r="R14"/>
  <c r="N14"/>
  <c r="E13"/>
  <c r="K13"/>
  <c r="P13"/>
  <c r="G13"/>
  <c r="L13"/>
  <c r="R13"/>
  <c r="D13"/>
  <c r="O13"/>
  <c r="C13"/>
  <c r="H13"/>
  <c r="N13"/>
  <c r="S13"/>
  <c r="J13"/>
  <c r="T13"/>
  <c r="I14"/>
  <c r="Q13"/>
  <c r="O14"/>
  <c r="H14"/>
  <c r="G22"/>
  <c r="O26"/>
  <c r="K28"/>
  <c r="G30"/>
  <c r="H22"/>
  <c r="H24"/>
  <c r="H26"/>
  <c r="H28"/>
  <c r="L30"/>
  <c r="J26"/>
  <c r="N30"/>
  <c r="E24"/>
  <c r="I26"/>
  <c r="K27"/>
  <c r="M28"/>
  <c r="J24"/>
  <c r="E29"/>
  <c r="D29"/>
  <c r="L29"/>
  <c r="N29"/>
  <c r="H29"/>
  <c r="P29"/>
  <c r="J29"/>
  <c r="E12"/>
  <c r="I12"/>
  <c r="Q12"/>
  <c r="J12"/>
  <c r="R12"/>
  <c r="N12"/>
  <c r="M12"/>
  <c r="E17"/>
  <c r="K17"/>
  <c r="P17"/>
  <c r="G17"/>
  <c r="L17"/>
  <c r="R17"/>
  <c r="J17"/>
  <c r="T17"/>
  <c r="C17"/>
  <c r="H17"/>
  <c r="N17"/>
  <c r="S17"/>
  <c r="D17"/>
  <c r="O17"/>
  <c r="I28"/>
  <c r="C21"/>
  <c r="M14"/>
  <c r="C14"/>
  <c r="S14"/>
  <c r="L14"/>
  <c r="K22"/>
  <c r="G24"/>
  <c r="I27"/>
  <c r="O28"/>
  <c r="K30"/>
  <c r="H30"/>
  <c r="L22"/>
  <c r="L24"/>
  <c r="L26"/>
  <c r="L28"/>
  <c r="P30"/>
  <c r="N26"/>
  <c r="I24"/>
  <c r="M26"/>
  <c r="E30"/>
  <c r="N24"/>
  <c r="E23"/>
  <c r="D23"/>
  <c r="L23"/>
  <c r="N23"/>
  <c r="H23"/>
  <c r="P23"/>
  <c r="J23"/>
  <c r="E31"/>
  <c r="D31"/>
  <c r="P31"/>
  <c r="L31"/>
  <c r="H31"/>
  <c r="N28"/>
  <c r="E27"/>
  <c r="D27"/>
  <c r="L27"/>
  <c r="N27"/>
  <c r="J27"/>
  <c r="H27"/>
  <c r="P27"/>
  <c r="E11"/>
  <c r="G11"/>
  <c r="L11"/>
  <c r="R11"/>
  <c r="C11"/>
  <c r="H11"/>
  <c r="N11"/>
  <c r="S11"/>
  <c r="K11"/>
  <c r="D11"/>
  <c r="J11"/>
  <c r="O11"/>
  <c r="T11"/>
  <c r="P11"/>
  <c r="C22"/>
  <c r="J22"/>
  <c r="N22"/>
  <c r="Q14"/>
  <c r="I11"/>
  <c r="I13"/>
  <c r="G14"/>
  <c r="I17"/>
  <c r="P14"/>
  <c r="O22"/>
  <c r="K24"/>
  <c r="G26"/>
  <c r="M27"/>
  <c r="O30"/>
  <c r="J30"/>
  <c r="P22"/>
  <c r="P24"/>
  <c r="P26"/>
  <c r="P28"/>
  <c r="J28"/>
  <c r="I22"/>
  <c r="M24"/>
  <c r="C27"/>
  <c r="E28"/>
  <c r="I30"/>
  <c r="E25"/>
  <c r="D25"/>
  <c r="L25"/>
  <c r="N25"/>
  <c r="H25"/>
  <c r="P25"/>
  <c r="J25"/>
  <c r="O21"/>
  <c r="Q9"/>
  <c r="O9"/>
  <c r="L9"/>
  <c r="H9"/>
  <c r="E9"/>
  <c r="I9"/>
  <c r="G9"/>
  <c r="C9"/>
  <c r="S9"/>
  <c r="M9"/>
  <c r="J9"/>
  <c r="T9"/>
  <c r="R9"/>
  <c r="P9"/>
  <c r="N9"/>
  <c r="K9"/>
  <c r="J21"/>
  <c r="I21"/>
  <c r="K21"/>
  <c r="D21"/>
  <c r="G21"/>
  <c r="P21"/>
  <c r="M21"/>
  <c r="E21"/>
  <c r="E10"/>
  <c r="S10"/>
  <c r="J10"/>
  <c r="T10"/>
  <c r="R10"/>
  <c r="P10"/>
  <c r="N10"/>
  <c r="K10"/>
  <c r="Q10"/>
  <c r="O10"/>
  <c r="H10"/>
  <c r="I10"/>
  <c r="D10"/>
  <c r="L21"/>
  <c r="E20"/>
  <c r="P20"/>
  <c r="O20"/>
  <c r="L20"/>
  <c r="G20"/>
  <c r="D20"/>
  <c r="N20"/>
  <c r="I20"/>
  <c r="M20"/>
  <c r="J20"/>
  <c r="K20"/>
  <c r="H20"/>
  <c r="C20"/>
  <c r="H21"/>
  <c r="S6"/>
  <c r="I6"/>
  <c r="T6"/>
  <c r="R6"/>
  <c r="P6"/>
  <c r="N6"/>
  <c r="L6"/>
  <c r="J6"/>
  <c r="H6"/>
  <c r="D6"/>
  <c r="U6"/>
  <c r="Q6"/>
  <c r="M6"/>
  <c r="G6"/>
  <c r="O6"/>
  <c r="K6"/>
  <c r="E6"/>
  <c r="M10"/>
  <c r="C10"/>
  <c r="L10"/>
  <c r="U7" i="3"/>
  <c r="AI7"/>
  <c r="V7"/>
  <c r="T7"/>
  <c r="AJ7"/>
  <c r="S7"/>
  <c r="R7"/>
  <c r="Q7"/>
  <c r="B19" i="15"/>
  <c r="I6" i="14"/>
  <c r="E22"/>
  <c r="E28"/>
  <c r="E8"/>
  <c r="J7" i="11"/>
  <c r="J7" i="12" s="1"/>
  <c r="J11" i="11"/>
  <c r="G8" i="14"/>
  <c r="E10"/>
  <c r="E11" s="1"/>
  <c r="O14" i="12"/>
  <c r="O10" i="11"/>
  <c r="AJ17"/>
  <c r="AD20"/>
  <c r="AB25"/>
  <c r="AD29"/>
  <c r="AD26"/>
  <c r="AJ29"/>
  <c r="AB16"/>
  <c r="AJ20"/>
  <c r="AD17"/>
  <c r="AJ23"/>
  <c r="AJ26"/>
  <c r="AD23"/>
  <c r="J10"/>
  <c r="J9" i="12" s="1"/>
  <c r="AD16" i="11"/>
  <c r="AJ22"/>
  <c r="AJ28"/>
  <c r="AJ25"/>
  <c r="AJ19"/>
  <c r="AD10"/>
  <c r="AB10"/>
  <c r="Y10"/>
  <c r="W10"/>
  <c r="AD7"/>
  <c r="AD28"/>
  <c r="AJ16"/>
  <c r="AD25"/>
  <c r="AD22"/>
  <c r="AE10"/>
  <c r="AC10"/>
  <c r="Z10"/>
  <c r="X10"/>
  <c r="AE7"/>
  <c r="AC7"/>
  <c r="AB7"/>
  <c r="Z7"/>
  <c r="Y7"/>
  <c r="X7"/>
  <c r="W7"/>
  <c r="AB29"/>
  <c r="AB23"/>
  <c r="AH23"/>
  <c r="AH26"/>
  <c r="AH29"/>
  <c r="AH20"/>
  <c r="AH17"/>
  <c r="AB26"/>
  <c r="AH22"/>
  <c r="AH25"/>
  <c r="AH28"/>
  <c r="AB28"/>
  <c r="AH19"/>
  <c r="AH16"/>
  <c r="AB22"/>
  <c r="AE9"/>
  <c r="AC9"/>
  <c r="Z9"/>
  <c r="X9"/>
  <c r="AE6"/>
  <c r="AC6"/>
  <c r="AB6"/>
  <c r="Z6"/>
  <c r="Y6"/>
  <c r="X6"/>
  <c r="W6"/>
  <c r="AD9"/>
  <c r="AB9"/>
  <c r="Y9"/>
  <c r="W9"/>
  <c r="AD6"/>
  <c r="AB17"/>
  <c r="K10" i="1"/>
  <c r="AD28" s="1"/>
  <c r="L10"/>
  <c r="L7"/>
  <c r="K7"/>
  <c r="AN23"/>
  <c r="AN25"/>
  <c r="AN24"/>
  <c r="L25"/>
  <c r="S5"/>
  <c r="P6" s="1"/>
  <c r="L15"/>
  <c r="K4" i="2" s="1"/>
  <c r="S30" i="1"/>
  <c r="E29" i="14" l="1"/>
  <c r="E31"/>
  <c r="E32" s="1"/>
  <c r="E30"/>
  <c r="G16"/>
  <c r="G17" s="1"/>
  <c r="H15"/>
  <c r="H16" s="1"/>
  <c r="E24"/>
  <c r="E25"/>
  <c r="E26" s="1"/>
  <c r="E23"/>
  <c r="P8" i="11"/>
  <c r="L11"/>
  <c r="G11" i="14"/>
  <c r="E13"/>
  <c r="E14" s="1"/>
  <c r="E12"/>
  <c r="E18"/>
  <c r="G13"/>
  <c r="F10"/>
  <c r="G12"/>
  <c r="G18"/>
  <c r="J15" i="12"/>
  <c r="J17"/>
  <c r="L11" i="2"/>
  <c r="O10" i="1"/>
  <c r="AD25"/>
  <c r="AB25"/>
  <c r="AB26"/>
  <c r="AJ19"/>
  <c r="AJ16"/>
  <c r="AD22"/>
  <c r="AD19" s="1"/>
  <c r="AJ25"/>
  <c r="AJ28"/>
  <c r="AJ22"/>
  <c r="AH23"/>
  <c r="AH20"/>
  <c r="AH17"/>
  <c r="AD26"/>
  <c r="AB23"/>
  <c r="AB20" s="1"/>
  <c r="AH26"/>
  <c r="AH29"/>
  <c r="AH19"/>
  <c r="AH16"/>
  <c r="AB22"/>
  <c r="AB19" s="1"/>
  <c r="AH25"/>
  <c r="AH22"/>
  <c r="AH28"/>
  <c r="AJ20"/>
  <c r="AJ17"/>
  <c r="AD23"/>
  <c r="AD20" s="1"/>
  <c r="AJ26"/>
  <c r="AJ23"/>
  <c r="AJ29"/>
  <c r="P5"/>
  <c r="P7"/>
  <c r="J7"/>
  <c r="J7" i="2" s="1"/>
  <c r="J10" i="1"/>
  <c r="AB29"/>
  <c r="AB17"/>
  <c r="AD16"/>
  <c r="AD29"/>
  <c r="AD17"/>
  <c r="AE9"/>
  <c r="AB28"/>
  <c r="AB16"/>
  <c r="AC9"/>
  <c r="Y9"/>
  <c r="AC6"/>
  <c r="AB9"/>
  <c r="X9"/>
  <c r="X6"/>
  <c r="Y6"/>
  <c r="W9"/>
  <c r="Z9"/>
  <c r="AE6"/>
  <c r="Z6"/>
  <c r="AD9"/>
  <c r="AD6"/>
  <c r="AB6"/>
  <c r="W6"/>
  <c r="AD10"/>
  <c r="AB10"/>
  <c r="Y10"/>
  <c r="W10"/>
  <c r="AD7"/>
  <c r="AB7"/>
  <c r="Y7"/>
  <c r="W7"/>
  <c r="AE10"/>
  <c r="AC10"/>
  <c r="Z10"/>
  <c r="X10"/>
  <c r="AE7"/>
  <c r="AC7"/>
  <c r="Z7"/>
  <c r="X7"/>
  <c r="P7" i="11" l="1"/>
  <c r="P5"/>
  <c r="P6"/>
  <c r="E19" i="14"/>
  <c r="E20" s="1"/>
  <c r="E17"/>
  <c r="G19"/>
  <c r="O14" i="2"/>
  <c r="J9"/>
  <c r="J17" l="1"/>
  <c r="J15"/>
</calcChain>
</file>

<file path=xl/sharedStrings.xml><?xml version="1.0" encoding="utf-8"?>
<sst xmlns="http://schemas.openxmlformats.org/spreadsheetml/2006/main" count="677" uniqueCount="316">
  <si>
    <t>Classe du Personnage</t>
  </si>
  <si>
    <t>Personne Premium</t>
  </si>
  <si>
    <t>Niveau du Personnage</t>
  </si>
  <si>
    <t>Création ou Estimation du Build</t>
  </si>
  <si>
    <t>RESISTANCE</t>
  </si>
  <si>
    <t>ATTAQUE</t>
  </si>
  <si>
    <t>DEFENSE</t>
  </si>
  <si>
    <t>CHANCE 
D'ESQUIVER</t>
  </si>
  <si>
    <t>CHANCE
DE TOUCHER</t>
  </si>
  <si>
    <t>DEGATS</t>
  </si>
  <si>
    <t>Moyen</t>
  </si>
  <si>
    <t>Minimum</t>
  </si>
  <si>
    <t>Maximum</t>
  </si>
  <si>
    <t>BONUS DE CLASSE</t>
  </si>
  <si>
    <t>Diriger</t>
  </si>
  <si>
    <t>Viser</t>
  </si>
  <si>
    <t>Eviter</t>
  </si>
  <si>
    <t>Pieger</t>
  </si>
  <si>
    <t>Distance</t>
  </si>
  <si>
    <t>Réussite</t>
  </si>
  <si>
    <t>Case</t>
  </si>
  <si>
    <t>Oui</t>
  </si>
  <si>
    <t>Dégâts de l'arme</t>
  </si>
  <si>
    <t>Minimum :</t>
  </si>
  <si>
    <t>Maximum :</t>
  </si>
  <si>
    <t>Résistance de Set</t>
  </si>
  <si>
    <t>Bonus de Set</t>
  </si>
  <si>
    <t>Défense :</t>
  </si>
  <si>
    <t>Attaque :</t>
  </si>
  <si>
    <t>Point de Vie</t>
  </si>
  <si>
    <t>Se Cacher</t>
  </si>
  <si>
    <t>INDIQUEZ VOS POINTS D'APTITUDES EN :</t>
  </si>
  <si>
    <t>PdV Réels</t>
  </si>
  <si>
    <t>RÉSUMÉ DE LA DISTRIBUTION</t>
  </si>
  <si>
    <t>FORCE</t>
  </si>
  <si>
    <t>Éviter</t>
  </si>
  <si>
    <t>HABILITÉ</t>
  </si>
  <si>
    <t>MOBILITÉ</t>
  </si>
  <si>
    <t>Piéger</t>
  </si>
  <si>
    <t>DISTRIBUEZ VOS POINTS</t>
  </si>
  <si>
    <t>CHARISME</t>
  </si>
  <si>
    <t>INDIQUEZ LES POINTS APPORTÉS PAR VOTRE TENUE EN :</t>
  </si>
  <si>
    <t>INDIQUEZ LE NOMBRE DE POINTS A DISTRIBUER</t>
  </si>
  <si>
    <t>ATTRIBUTS</t>
  </si>
  <si>
    <t>APTITUDES</t>
  </si>
  <si>
    <t xml:space="preserve">ATTRIBUTS : </t>
  </si>
  <si>
    <t xml:space="preserve">APTITUDES : </t>
  </si>
  <si>
    <t>POINTS RESTANTS A DISTRIBUER</t>
  </si>
  <si>
    <t>PV de Base</t>
  </si>
  <si>
    <t>Sur une Tour d'une autre Classe :</t>
  </si>
  <si>
    <t>Sur la Tour de sa propre Classe :</t>
  </si>
  <si>
    <t>Sur un Rempart :</t>
  </si>
  <si>
    <t>PV Réels</t>
  </si>
  <si>
    <t>Soldat</t>
  </si>
  <si>
    <t>Estimation</t>
  </si>
  <si>
    <t>ECART ENTRE "PIEGER" ET "SE CACHER"</t>
  </si>
  <si>
    <t>CHANCE DE TOUCHER EN FONCTION DE LA DISTANCE DE L'ADVERSAIRE</t>
  </si>
  <si>
    <t>SELON LE PLACEMENT SUR LE FORT</t>
  </si>
  <si>
    <t>Création</t>
  </si>
  <si>
    <t>Aventurier</t>
  </si>
  <si>
    <t>Duelliste</t>
  </si>
  <si>
    <t>Ouvrier</t>
  </si>
  <si>
    <t>Sur le Drapeau :</t>
  </si>
  <si>
    <t>Sur le Pourtour du Drapeau :</t>
  </si>
  <si>
    <t>Non</t>
  </si>
  <si>
    <t>Renforcement / Bonus Set - Dégâts</t>
  </si>
  <si>
    <t>BONUS POUR LES 4 VOISINS</t>
  </si>
  <si>
    <t>+</t>
  </si>
  <si>
    <t>STATISTIQUES DIVERSES SUR</t>
  </si>
  <si>
    <t>Les Statistiques sont données pour un fort totalement construit.</t>
  </si>
  <si>
    <t>T</t>
  </si>
  <si>
    <t>Tour Classe</t>
  </si>
  <si>
    <t>E</t>
  </si>
  <si>
    <t>Tour</t>
  </si>
  <si>
    <t>Mur</t>
  </si>
  <si>
    <t>Porte</t>
  </si>
  <si>
    <t>Drapeau</t>
  </si>
  <si>
    <t>Cont drap</t>
  </si>
  <si>
    <t>PETIT FORT</t>
  </si>
  <si>
    <t>BP</t>
  </si>
  <si>
    <t>DEPOt</t>
  </si>
  <si>
    <t>Caser</t>
  </si>
  <si>
    <t>A l'Extérieur :</t>
  </si>
  <si>
    <t>Sur la Porte :</t>
  </si>
  <si>
    <t>Sur le Toit du Dépôt de ressource :</t>
  </si>
  <si>
    <t>Sur le Toit du Bâtiment Principal :</t>
  </si>
  <si>
    <t>Sur le Toit de la Caserne :</t>
  </si>
  <si>
    <t>PV</t>
  </si>
  <si>
    <t>Nombre estimé de Duellistes adverses</t>
  </si>
  <si>
    <t>Dégât moyen des tirs ennemis (Hors CC)</t>
  </si>
  <si>
    <t>Tu as</t>
  </si>
  <si>
    <t>RENSEIGNEMENTS PRÉALABLES</t>
  </si>
  <si>
    <t>RENSEIGNEMENTS PREALABLES</t>
  </si>
  <si>
    <t>STATISTIQUES</t>
  </si>
  <si>
    <t>tirs avant d'être KO</t>
  </si>
  <si>
    <t>Dégât moyen des Duellistes Full-Diriger</t>
  </si>
  <si>
    <t xml:space="preserve">En théorie, </t>
  </si>
  <si>
    <t>pourrais être</t>
  </si>
  <si>
    <t xml:space="preserve">  le tir normal maximal recevable</t>
  </si>
  <si>
    <t>PV en moyenne</t>
  </si>
  <si>
    <t>En Attaque les CC seraient de</t>
  </si>
  <si>
    <t>En Défense les CC seraient de</t>
  </si>
  <si>
    <t>En Attaque tu pourrais encaisser</t>
  </si>
  <si>
    <t>En Défense tu pourrais encaisser</t>
  </si>
  <si>
    <t>?</t>
  </si>
  <si>
    <t>Tir maxium :</t>
  </si>
  <si>
    <t>Tir minimum :</t>
  </si>
  <si>
    <t>Tir moyen :</t>
  </si>
  <si>
    <t>Tête</t>
  </si>
  <si>
    <t>Epaule</t>
  </si>
  <si>
    <t>Bras</t>
  </si>
  <si>
    <t>Si la valeur du Puis. / Tirer &lt; de 50 au T/R de l'adversaire</t>
  </si>
  <si>
    <t>Si la valeur du Puis. / Tirer = au T/R de l'adversaire</t>
  </si>
  <si>
    <t>1,15 pour épaules</t>
  </si>
  <si>
    <t>1 coeff pour bras</t>
  </si>
  <si>
    <t>1,50 coeff de la tete</t>
  </si>
  <si>
    <t>1,75coeff multi si +100 que le T/R</t>
  </si>
  <si>
    <t>50 renfo</t>
  </si>
  <si>
    <t>Si la valeur du Puis. / Tirer &gt; de 100  au T/R de l'adversaire</t>
  </si>
  <si>
    <t>200 deg arme max</t>
  </si>
  <si>
    <t>VALEURS DES TIRS</t>
  </si>
  <si>
    <t>(200+50)x1.75x1.50 = 656 health points</t>
  </si>
  <si>
    <t>Pour que ton tir ait une chance d'être optimum, l'advsersaire doit avoir une resistance maximum de :</t>
  </si>
  <si>
    <t>Tactique</t>
  </si>
  <si>
    <t>Prestance</t>
  </si>
  <si>
    <t>de moyenne  )</t>
  </si>
  <si>
    <t>(</t>
  </si>
  <si>
    <t>et</t>
  </si>
  <si>
    <t>Face aux Feu</t>
  </si>
  <si>
    <t>Tirer</t>
  </si>
  <si>
    <t>ou</t>
  </si>
  <si>
    <t>Face aux CàC</t>
  </si>
  <si>
    <t>HABILITE</t>
  </si>
  <si>
    <t>Tu subiras les tirs maximum de l'adversaire, s'il atteint entre :</t>
  </si>
  <si>
    <t>Ta  résistance moyenne …</t>
  </si>
  <si>
    <t>Réflexe</t>
  </si>
  <si>
    <t>MOBILITE</t>
  </si>
  <si>
    <t>Puissance</t>
  </si>
  <si>
    <t>Ténacité</t>
  </si>
  <si>
    <t>P. de Vie</t>
  </si>
  <si>
    <t>TENUE</t>
  </si>
  <si>
    <t>BUILD</t>
  </si>
  <si>
    <t>Aptitudes :</t>
  </si>
  <si>
    <t>Attributs :</t>
  </si>
  <si>
    <t>Points restant à distribuer :</t>
  </si>
  <si>
    <t>Aptitudes à distribuer :</t>
  </si>
  <si>
    <t>Renforcement dégâts :</t>
  </si>
  <si>
    <t>Attributs à distribuer :</t>
  </si>
  <si>
    <t>Arme dégât Maximum :</t>
  </si>
  <si>
    <t>Type de Duel :</t>
  </si>
  <si>
    <t>Niveau :</t>
  </si>
  <si>
    <t>Arme Dégât Minimum :</t>
  </si>
  <si>
    <t>NON</t>
  </si>
  <si>
    <t>Es-tu Premium ? :</t>
  </si>
  <si>
    <t>Es-tu Soldat ? :</t>
  </si>
  <si>
    <t>A RENSEIGNER !</t>
  </si>
  <si>
    <t>Ton bonus Soldat te donnerait une tactique d'une valeur de :</t>
  </si>
  <si>
    <t xml:space="preserve">Weapon damage </t>
  </si>
  <si>
    <t xml:space="preserve">Damage – Resistance </t>
  </si>
  <si>
    <t>Points de vie réels</t>
  </si>
  <si>
    <t>Tu aurais</t>
  </si>
  <si>
    <t>ESTIMATION THÉORIQUE DU NOMBRE DE TIRS RECEVABLES</t>
  </si>
  <si>
    <t>Resistance de l'adversaire (T/R)</t>
  </si>
  <si>
    <t>Dégât que tu peux infliger à la tête</t>
  </si>
  <si>
    <t>Dégât que tu peux infliger à l'épaule</t>
  </si>
  <si>
    <t>STATISTIQUES DIVERSES</t>
  </si>
  <si>
    <t>Dégat que tu peux infliger au bras</t>
  </si>
  <si>
    <t>Multiplicateur</t>
  </si>
  <si>
    <t>MOYEN FORT</t>
  </si>
  <si>
    <t>Xdegat 2-134 abandonnée</t>
  </si>
  <si>
    <t>ATT 150</t>
  </si>
  <si>
    <t>Degat Arme</t>
  </si>
  <si>
    <t>300*SC/PV</t>
  </si>
  <si>
    <t>300+PI/PV</t>
  </si>
  <si>
    <t>ARM+((ARM*DI)/PV)</t>
  </si>
  <si>
    <t>P4/ARM</t>
  </si>
  <si>
    <t>APT</t>
  </si>
  <si>
    <t>Tu peux avoir</t>
  </si>
  <si>
    <t>Cb veux-tu de PV ?</t>
  </si>
  <si>
    <t xml:space="preserve">Alors il te faut </t>
  </si>
  <si>
    <t xml:space="preserve">Ta resistance maximum en Attaque peut être de </t>
  </si>
  <si>
    <t xml:space="preserve">avec </t>
  </si>
  <si>
    <t>Ta resistance maximum en Defense peut être de</t>
  </si>
  <si>
    <t>Ton tir max peut atteindre</t>
  </si>
  <si>
    <t>avec</t>
  </si>
  <si>
    <t xml:space="preserve">PV max et </t>
  </si>
  <si>
    <t>Ton coeff dégat serait de</t>
  </si>
  <si>
    <t>En distribuant le reste des Pts en 25%</t>
  </si>
  <si>
    <t>En Full PV tu aurais</t>
  </si>
  <si>
    <t>et donc</t>
  </si>
  <si>
    <t>0 En PI</t>
  </si>
  <si>
    <t>0 En SC</t>
  </si>
  <si>
    <t>0 En DI</t>
  </si>
  <si>
    <t>En Full diriger tu aurais</t>
  </si>
  <si>
    <t>0 point en PV"</t>
  </si>
  <si>
    <t>Classe</t>
  </si>
  <si>
    <t>Vitesse Monture</t>
  </si>
  <si>
    <t>Renseignements préalables</t>
  </si>
  <si>
    <t>Monde</t>
  </si>
  <si>
    <t>Bonus Vitesse Set</t>
  </si>
  <si>
    <t>Classique</t>
  </si>
  <si>
    <t>Valeur Renforcement</t>
  </si>
  <si>
    <t xml:space="preserve">Valeur </t>
  </si>
  <si>
    <t>Avec vos renseignements, votre vitesse est de :</t>
  </si>
  <si>
    <t>Medaille Personnage</t>
  </si>
  <si>
    <t>Médaille Vitesse</t>
  </si>
  <si>
    <t>CALCULEZ VOTRE VITESSE</t>
  </si>
  <si>
    <t>Niveau de duel :</t>
  </si>
  <si>
    <t>Tu peux dueller ou être duellé par un joueur dont le niveau de duel est compris entre :</t>
  </si>
  <si>
    <r>
      <t>en</t>
    </r>
    <r>
      <rPr>
        <b/>
        <sz val="9"/>
        <color rgb="FF0070C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Puissance</t>
    </r>
  </si>
  <si>
    <r>
      <t xml:space="preserve">en </t>
    </r>
    <r>
      <rPr>
        <b/>
        <sz val="9"/>
        <color rgb="FF0070C0"/>
        <rFont val="Calibri"/>
        <family val="2"/>
        <scheme val="minor"/>
      </rPr>
      <t>Tirer</t>
    </r>
  </si>
  <si>
    <t>1*</t>
  </si>
  <si>
    <t>2*</t>
  </si>
  <si>
    <t>3*</t>
  </si>
  <si>
    <t>4*</t>
  </si>
  <si>
    <t>5*</t>
  </si>
  <si>
    <t>PR</t>
  </si>
  <si>
    <t>6*</t>
  </si>
  <si>
    <t>Combien de PV ?</t>
  </si>
  <si>
    <t>Combien de PR ?</t>
  </si>
  <si>
    <t>0h15</t>
  </si>
  <si>
    <t>0h30</t>
  </si>
  <si>
    <t>0h45</t>
  </si>
  <si>
    <t>1h00</t>
  </si>
  <si>
    <t>1h15</t>
  </si>
  <si>
    <t>A l'Hotel</t>
  </si>
  <si>
    <t>A la Caserne</t>
  </si>
  <si>
    <t>1h30</t>
  </si>
  <si>
    <t>2h00</t>
  </si>
  <si>
    <t>2h30</t>
  </si>
  <si>
    <t>3h00</t>
  </si>
  <si>
    <t>3h30</t>
  </si>
  <si>
    <t>4h00</t>
  </si>
  <si>
    <t>4h30</t>
  </si>
  <si>
    <t>5h00</t>
  </si>
  <si>
    <t>5h30</t>
  </si>
  <si>
    <t>6h00</t>
  </si>
  <si>
    <t>6h30</t>
  </si>
  <si>
    <t>7h00</t>
  </si>
  <si>
    <t>7h30</t>
  </si>
  <si>
    <t>8h00</t>
  </si>
  <si>
    <t>PV Maximum :</t>
  </si>
  <si>
    <t>% de Régénération</t>
  </si>
  <si>
    <t>VIP Repos intense ?</t>
  </si>
  <si>
    <t>En activitee</t>
  </si>
  <si>
    <t>Ton viser sera de :</t>
  </si>
  <si>
    <t>de l'adversaire :</t>
  </si>
  <si>
    <t>En tenue :</t>
  </si>
  <si>
    <t>Point de construction</t>
  </si>
  <si>
    <t>Point de travail :</t>
  </si>
  <si>
    <t>Motivation :</t>
  </si>
  <si>
    <t>Pts</t>
  </si>
  <si>
    <t>%</t>
  </si>
  <si>
    <t>1 heure</t>
  </si>
  <si>
    <t>Durée de travail:</t>
  </si>
  <si>
    <t>Bâtiments</t>
  </si>
  <si>
    <t>Salle Polyvalente</t>
  </si>
  <si>
    <t>Marché</t>
  </si>
  <si>
    <t>Logements</t>
  </si>
  <si>
    <t>Banque</t>
  </si>
  <si>
    <t>Hôtel</t>
  </si>
  <si>
    <t>Armurier</t>
  </si>
  <si>
    <t>Tailleur</t>
  </si>
  <si>
    <t>Magasin général</t>
  </si>
  <si>
    <t>Croque-mort</t>
  </si>
  <si>
    <t>Église</t>
  </si>
  <si>
    <t>Shérif</t>
  </si>
  <si>
    <t>Cinéma</t>
  </si>
  <si>
    <t>VILLE</t>
  </si>
  <si>
    <t>Niveau actuel</t>
  </si>
  <si>
    <t>Pts Construction pour le niveau suivant</t>
  </si>
  <si>
    <t>Pts Construction total</t>
  </si>
  <si>
    <t>Après ton agrandissement</t>
  </si>
  <si>
    <t>Batiment Principal</t>
  </si>
  <si>
    <t>Caserne</t>
  </si>
  <si>
    <t>Digue de protection</t>
  </si>
  <si>
    <t>Tour Aventuriers</t>
  </si>
  <si>
    <t>Tour Duellistes</t>
  </si>
  <si>
    <t>Tour Ouvriers</t>
  </si>
  <si>
    <t>Tour Soldats</t>
  </si>
  <si>
    <t>Dépôt de matières</t>
  </si>
  <si>
    <t>FORT</t>
  </si>
  <si>
    <t>VOTRE PERSONNAGE</t>
  </si>
  <si>
    <t>Avancement actuel</t>
  </si>
  <si>
    <t>CONSTRUCTION DE VILLES ET FORTS</t>
  </si>
  <si>
    <t>Pour construire tu auras besoin de :</t>
  </si>
  <si>
    <t>-</t>
  </si>
  <si>
    <t>INFO CONSTRUCTION DE FORT !</t>
  </si>
  <si>
    <t>Boites à Outils</t>
  </si>
  <si>
    <t>Scies</t>
  </si>
  <si>
    <t>Cartes</t>
  </si>
  <si>
    <t>Ballots d'étoffe</t>
  </si>
  <si>
    <t>Cotons</t>
  </si>
  <si>
    <t>Marteaux</t>
  </si>
  <si>
    <t>Bêches</t>
  </si>
  <si>
    <t>Pièges à castor</t>
  </si>
  <si>
    <t>Bois</t>
  </si>
  <si>
    <t>Drapeaux du Nord</t>
  </si>
  <si>
    <t>Drapeaux du Sud</t>
  </si>
  <si>
    <t>Lassos</t>
  </si>
  <si>
    <t>Marteau de Forgeron</t>
  </si>
  <si>
    <t>Clous</t>
  </si>
  <si>
    <t>Rabots</t>
  </si>
  <si>
    <t>dix</t>
  </si>
  <si>
    <t>Fanions</t>
  </si>
  <si>
    <t>Cloches</t>
  </si>
  <si>
    <t>Cors du Postillon</t>
  </si>
  <si>
    <t>Pétroles</t>
  </si>
  <si>
    <t>Cartouches</t>
  </si>
  <si>
    <t>Whiskys</t>
  </si>
  <si>
    <t>DEBLOCAGE DES NIVEAUX DE BATIMENTS</t>
  </si>
  <si>
    <t>Choix du Batiment</t>
  </si>
  <si>
    <t>Niveau</t>
  </si>
  <si>
    <t>Il te faudra :</t>
  </si>
  <si>
    <t>OUI</t>
  </si>
  <si>
    <t>Feu</t>
  </si>
</sst>
</file>

<file path=xl/styles.xml><?xml version="1.0" encoding="utf-8"?>
<styleSheet xmlns="http://schemas.openxmlformats.org/spreadsheetml/2006/main">
  <numFmts count="1">
    <numFmt numFmtId="164" formatCode="0.0"/>
  </numFmts>
  <fonts count="7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i/>
      <sz val="10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EACA44"/>
      <name val="Calibri"/>
      <family val="2"/>
      <scheme val="minor"/>
    </font>
    <font>
      <b/>
      <sz val="10"/>
      <color rgb="FFEACA44"/>
      <name val="Calibri"/>
      <family val="2"/>
      <scheme val="minor"/>
    </font>
    <font>
      <b/>
      <sz val="8"/>
      <color rgb="FFEACA44"/>
      <name val="Calibri"/>
      <family val="2"/>
      <scheme val="minor"/>
    </font>
    <font>
      <sz val="11"/>
      <name val="Calibri"/>
      <family val="2"/>
      <scheme val="minor"/>
    </font>
    <font>
      <b/>
      <sz val="7"/>
      <color rgb="FFEACA44"/>
      <name val="Calibri"/>
      <family val="2"/>
      <scheme val="minor"/>
    </font>
    <font>
      <b/>
      <i/>
      <sz val="11"/>
      <color rgb="FFEACA44"/>
      <name val="Calibri"/>
      <family val="2"/>
      <scheme val="minor"/>
    </font>
    <font>
      <i/>
      <sz val="11"/>
      <color rgb="FFEACA4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9"/>
      <color rgb="FF0070C0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rgb="FF7030A0"/>
      <name val="Calibri"/>
      <family val="2"/>
      <scheme val="minor"/>
    </font>
    <font>
      <b/>
      <i/>
      <sz val="10"/>
      <color theme="9" tint="-0.249977111117893"/>
      <name val="Calibri"/>
      <family val="2"/>
      <scheme val="minor"/>
    </font>
    <font>
      <b/>
      <sz val="11"/>
      <color rgb="FFEACA4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i/>
      <sz val="9"/>
      <color theme="0" tint="-0.499984740745262"/>
      <name val="Calibri"/>
      <family val="2"/>
      <scheme val="minor"/>
    </font>
    <font>
      <sz val="11"/>
      <color rgb="FFFFFFCC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0"/>
      <color rgb="FFFFFFCC"/>
      <name val="Calibri"/>
      <family val="2"/>
      <scheme val="minor"/>
    </font>
    <font>
      <b/>
      <sz val="8"/>
      <color rgb="FFFFFFCC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0"/>
      <color rgb="FFFFFFCC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505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i/>
      <sz val="10"/>
      <color rgb="FFFF5050"/>
      <name val="Calibri"/>
      <family val="2"/>
      <scheme val="minor"/>
    </font>
    <font>
      <b/>
      <i/>
      <sz val="10"/>
      <color rgb="FF00B0F0"/>
      <name val="Calibri"/>
      <family val="2"/>
      <scheme val="minor"/>
    </font>
    <font>
      <sz val="16"/>
      <color theme="1"/>
      <name val="DriftType"/>
    </font>
    <font>
      <sz val="11"/>
      <color theme="0" tint="-4.9989318521683403E-2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10"/>
      <name val="Calibri"/>
      <family val="2"/>
    </font>
    <font>
      <i/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6"/>
      <color rgb="FFFFC611"/>
      <name val="Viner Hand ITC"/>
      <family val="4"/>
    </font>
  </fonts>
  <fills count="2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rgb="FFEACA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gradientFill degree="90">
        <stop position="0">
          <color rgb="FFFF5050"/>
        </stop>
        <stop position="1">
          <color theme="3" tint="0.80001220740379042"/>
        </stop>
      </gradientFill>
    </fill>
    <fill>
      <patternFill patternType="solid">
        <fgColor theme="0" tint="-0.499984740745262"/>
        <bgColor indexed="64"/>
      </patternFill>
    </fill>
  </fills>
  <borders count="1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dotted">
        <color auto="1"/>
      </right>
      <top style="hair">
        <color auto="1"/>
      </top>
      <bottom/>
      <diagonal/>
    </border>
    <border>
      <left style="dotted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dotted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/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dashDotDot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67" fillId="0" borderId="0" applyNumberFormat="0" applyFill="0" applyBorder="0" applyAlignment="0" applyProtection="0">
      <alignment vertical="top"/>
      <protection locked="0"/>
    </xf>
  </cellStyleXfs>
  <cellXfs count="805">
    <xf numFmtId="0" fontId="0" fillId="0" borderId="0" xfId="0"/>
    <xf numFmtId="0" fontId="1" fillId="5" borderId="0" xfId="0" applyFont="1" applyFill="1" applyProtection="1">
      <protection hidden="1"/>
    </xf>
    <xf numFmtId="0" fontId="1" fillId="5" borderId="0" xfId="0" applyFont="1" applyFill="1" applyAlignment="1" applyProtection="1">
      <alignment horizontal="left" vertical="center"/>
      <protection hidden="1"/>
    </xf>
    <xf numFmtId="0" fontId="1" fillId="5" borderId="0" xfId="0" applyFont="1" applyFill="1" applyBorder="1" applyAlignment="1" applyProtection="1">
      <alignment horizontal="left" vertical="center"/>
      <protection hidden="1"/>
    </xf>
    <xf numFmtId="0" fontId="2" fillId="5" borderId="0" xfId="0" applyFont="1" applyFill="1" applyAlignment="1" applyProtection="1">
      <alignment horizontal="left" vertical="center"/>
      <protection hidden="1"/>
    </xf>
    <xf numFmtId="0" fontId="2" fillId="5" borderId="0" xfId="0" applyFont="1" applyFill="1" applyProtection="1">
      <protection hidden="1"/>
    </xf>
    <xf numFmtId="0" fontId="0" fillId="0" borderId="0" xfId="0" applyProtection="1">
      <protection hidden="1"/>
    </xf>
    <xf numFmtId="0" fontId="1" fillId="2" borderId="1" xfId="0" applyFont="1" applyFill="1" applyBorder="1" applyProtection="1"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2" fillId="2" borderId="2" xfId="0" applyFont="1" applyFill="1" applyBorder="1" applyProtection="1">
      <protection hidden="1"/>
    </xf>
    <xf numFmtId="0" fontId="2" fillId="2" borderId="3" xfId="0" applyFont="1" applyFill="1" applyBorder="1" applyProtection="1">
      <protection hidden="1"/>
    </xf>
    <xf numFmtId="0" fontId="1" fillId="2" borderId="4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0" fontId="1" fillId="2" borderId="5" xfId="0" applyFont="1" applyFill="1" applyBorder="1" applyAlignment="1" applyProtection="1">
      <alignment horizontal="left" vertical="center"/>
      <protection hidden="1"/>
    </xf>
    <xf numFmtId="0" fontId="1" fillId="2" borderId="4" xfId="0" applyFont="1" applyFill="1" applyBorder="1" applyAlignment="1" applyProtection="1">
      <alignment horizontal="left" vertical="center"/>
      <protection hidden="1"/>
    </xf>
    <xf numFmtId="0" fontId="1" fillId="2" borderId="0" xfId="0" applyFont="1" applyFill="1" applyBorder="1" applyAlignment="1" applyProtection="1">
      <alignment horizontal="left" vertical="center"/>
      <protection hidden="1"/>
    </xf>
    <xf numFmtId="0" fontId="1" fillId="2" borderId="0" xfId="0" applyFont="1" applyFill="1" applyBorder="1" applyProtection="1">
      <protection hidden="1"/>
    </xf>
    <xf numFmtId="0" fontId="2" fillId="2" borderId="5" xfId="0" applyFont="1" applyFill="1" applyBorder="1" applyProtection="1">
      <protection hidden="1"/>
    </xf>
    <xf numFmtId="0" fontId="6" fillId="2" borderId="0" xfId="0" applyFont="1" applyFill="1" applyBorder="1" applyProtection="1">
      <protection hidden="1"/>
    </xf>
    <xf numFmtId="0" fontId="0" fillId="5" borderId="0" xfId="0" applyFill="1" applyProtection="1">
      <protection hidden="1"/>
    </xf>
    <xf numFmtId="0" fontId="9" fillId="2" borderId="0" xfId="0" applyFont="1" applyFill="1" applyBorder="1" applyAlignment="1" applyProtection="1">
      <alignment horizontal="left" vertical="center"/>
      <protection hidden="1"/>
    </xf>
    <xf numFmtId="0" fontId="4" fillId="2" borderId="0" xfId="0" applyFont="1" applyFill="1" applyBorder="1" applyAlignment="1" applyProtection="1">
      <alignment horizontal="left" vertical="center"/>
      <protection hidden="1"/>
    </xf>
    <xf numFmtId="0" fontId="5" fillId="2" borderId="35" xfId="0" applyFont="1" applyFill="1" applyBorder="1" applyAlignment="1" applyProtection="1">
      <alignment horizontal="center" vertical="center"/>
      <protection hidden="1"/>
    </xf>
    <xf numFmtId="1" fontId="5" fillId="2" borderId="36" xfId="0" applyNumberFormat="1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2" borderId="23" xfId="0" applyFont="1" applyFill="1" applyBorder="1" applyAlignment="1" applyProtection="1">
      <alignment horizontal="center" vertical="center"/>
      <protection hidden="1"/>
    </xf>
    <xf numFmtId="0" fontId="5" fillId="3" borderId="22" xfId="0" applyFont="1" applyFill="1" applyBorder="1" applyAlignment="1" applyProtection="1">
      <alignment vertical="center"/>
      <protection hidden="1"/>
    </xf>
    <xf numFmtId="0" fontId="5" fillId="3" borderId="33" xfId="0" applyFont="1" applyFill="1" applyBorder="1" applyAlignment="1" applyProtection="1">
      <alignment horizontal="center" vertical="center"/>
      <protection hidden="1"/>
    </xf>
    <xf numFmtId="0" fontId="5" fillId="3" borderId="23" xfId="0" applyFont="1" applyFill="1" applyBorder="1" applyAlignment="1" applyProtection="1">
      <alignment vertical="center"/>
      <protection hidden="1"/>
    </xf>
    <xf numFmtId="1" fontId="5" fillId="2" borderId="23" xfId="0" applyNumberFormat="1" applyFont="1" applyFill="1" applyBorder="1" applyAlignment="1" applyProtection="1">
      <alignment horizontal="center" vertical="center"/>
      <protection hidden="1"/>
    </xf>
    <xf numFmtId="2" fontId="5" fillId="3" borderId="23" xfId="0" applyNumberFormat="1" applyFont="1" applyFill="1" applyBorder="1" applyAlignment="1" applyProtection="1">
      <alignment horizontal="center" vertical="center"/>
      <protection hidden="1"/>
    </xf>
    <xf numFmtId="1" fontId="5" fillId="3" borderId="22" xfId="0" applyNumberFormat="1" applyFont="1" applyFill="1" applyBorder="1" applyAlignment="1" applyProtection="1">
      <alignment horizontal="center" vertical="center"/>
      <protection hidden="1"/>
    </xf>
    <xf numFmtId="2" fontId="5" fillId="3" borderId="33" xfId="0" applyNumberFormat="1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1" fontId="5" fillId="2" borderId="29" xfId="0" applyNumberFormat="1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Alignment="1" applyProtection="1">
      <alignment horizontal="right" vertical="center"/>
      <protection hidden="1"/>
    </xf>
    <xf numFmtId="0" fontId="5" fillId="2" borderId="33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right" vertical="center"/>
      <protection hidden="1"/>
    </xf>
    <xf numFmtId="0" fontId="5" fillId="4" borderId="22" xfId="0" applyFont="1" applyFill="1" applyBorder="1" applyAlignment="1" applyProtection="1">
      <alignment horizontal="center" vertical="center"/>
      <protection hidden="1"/>
    </xf>
    <xf numFmtId="11" fontId="5" fillId="4" borderId="33" xfId="0" applyNumberFormat="1" applyFont="1" applyFill="1" applyBorder="1" applyAlignment="1" applyProtection="1">
      <alignment horizontal="center" vertical="center"/>
      <protection hidden="1"/>
    </xf>
    <xf numFmtId="0" fontId="5" fillId="4" borderId="23" xfId="0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5" xfId="0" applyFill="1" applyBorder="1" applyProtection="1">
      <protection hidden="1"/>
    </xf>
    <xf numFmtId="1" fontId="5" fillId="4" borderId="24" xfId="0" applyNumberFormat="1" applyFont="1" applyFill="1" applyBorder="1" applyAlignment="1" applyProtection="1">
      <alignment horizontal="center" vertical="center"/>
      <protection hidden="1"/>
    </xf>
    <xf numFmtId="2" fontId="5" fillId="4" borderId="34" xfId="0" applyNumberFormat="1" applyFont="1" applyFill="1" applyBorder="1" applyAlignment="1" applyProtection="1">
      <alignment horizontal="center" vertical="center"/>
      <protection hidden="1"/>
    </xf>
    <xf numFmtId="2" fontId="5" fillId="4" borderId="26" xfId="0" applyNumberFormat="1" applyFont="1" applyFill="1" applyBorder="1" applyAlignment="1" applyProtection="1">
      <alignment horizontal="center" vertical="center"/>
      <protection hidden="1"/>
    </xf>
    <xf numFmtId="1" fontId="5" fillId="2" borderId="26" xfId="0" applyNumberFormat="1" applyFont="1" applyFill="1" applyBorder="1" applyAlignment="1" applyProtection="1">
      <alignment horizontal="center" vertical="center"/>
      <protection hidden="1"/>
    </xf>
    <xf numFmtId="0" fontId="5" fillId="2" borderId="30" xfId="0" applyFont="1" applyFill="1" applyBorder="1" applyAlignment="1" applyProtection="1">
      <alignment horizontal="center" vertical="center"/>
      <protection hidden="1"/>
    </xf>
    <xf numFmtId="1" fontId="5" fillId="2" borderId="31" xfId="0" applyNumberFormat="1" applyFont="1" applyFill="1" applyBorder="1" applyAlignment="1" applyProtection="1">
      <alignment horizontal="center" vertical="center"/>
      <protection hidden="1"/>
    </xf>
    <xf numFmtId="0" fontId="5" fillId="2" borderId="24" xfId="0" applyFont="1" applyFill="1" applyBorder="1" applyAlignment="1" applyProtection="1">
      <alignment horizontal="center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left" vertical="center"/>
      <protection hidden="1"/>
    </xf>
    <xf numFmtId="0" fontId="1" fillId="2" borderId="7" xfId="0" applyFont="1" applyFill="1" applyBorder="1" applyAlignment="1" applyProtection="1">
      <alignment horizontal="left" vertical="center"/>
      <protection hidden="1"/>
    </xf>
    <xf numFmtId="0" fontId="2" fillId="2" borderId="7" xfId="0" applyFont="1" applyFill="1" applyBorder="1" applyAlignment="1" applyProtection="1">
      <alignment horizontal="left" vertical="center"/>
      <protection hidden="1"/>
    </xf>
    <xf numFmtId="0" fontId="2" fillId="2" borderId="7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2" fillId="2" borderId="4" xfId="0" applyFont="1" applyFill="1" applyBorder="1" applyProtection="1">
      <protection hidden="1"/>
    </xf>
    <xf numFmtId="0" fontId="1" fillId="2" borderId="6" xfId="0" applyFont="1" applyFill="1" applyBorder="1" applyProtection="1">
      <protection hidden="1"/>
    </xf>
    <xf numFmtId="0" fontId="1" fillId="2" borderId="8" xfId="0" applyFont="1" applyFill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Protection="1">
      <protection hidden="1"/>
    </xf>
    <xf numFmtId="0" fontId="1" fillId="5" borderId="0" xfId="0" applyFont="1" applyFill="1" applyBorder="1" applyProtection="1">
      <protection hidden="1"/>
    </xf>
    <xf numFmtId="0" fontId="5" fillId="7" borderId="1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vertical="center"/>
      <protection hidden="1"/>
    </xf>
    <xf numFmtId="0" fontId="2" fillId="2" borderId="23" xfId="0" applyFont="1" applyFill="1" applyBorder="1" applyProtection="1">
      <protection hidden="1"/>
    </xf>
    <xf numFmtId="0" fontId="6" fillId="2" borderId="1" xfId="0" applyFont="1" applyFill="1" applyBorder="1" applyProtection="1">
      <protection hidden="1"/>
    </xf>
    <xf numFmtId="0" fontId="6" fillId="2" borderId="3" xfId="0" applyFont="1" applyFill="1" applyBorder="1" applyAlignment="1" applyProtection="1">
      <alignment horizontal="left" vertical="center"/>
      <protection hidden="1"/>
    </xf>
    <xf numFmtId="0" fontId="5" fillId="7" borderId="15" xfId="0" applyFont="1" applyFill="1" applyBorder="1" applyAlignment="1" applyProtection="1">
      <alignment horizontal="center" vertical="center"/>
      <protection hidden="1"/>
    </xf>
    <xf numFmtId="0" fontId="6" fillId="2" borderId="4" xfId="0" applyFont="1" applyFill="1" applyBorder="1" applyProtection="1">
      <protection hidden="1"/>
    </xf>
    <xf numFmtId="0" fontId="6" fillId="2" borderId="0" xfId="0" applyFont="1" applyFill="1" applyBorder="1" applyAlignment="1" applyProtection="1">
      <alignment horizontal="left" vertical="center"/>
      <protection hidden="1"/>
    </xf>
    <xf numFmtId="0" fontId="6" fillId="2" borderId="5" xfId="0" applyFont="1" applyFill="1" applyBorder="1" applyAlignment="1" applyProtection="1">
      <alignment horizontal="left" vertical="center"/>
      <protection hidden="1"/>
    </xf>
    <xf numFmtId="0" fontId="2" fillId="2" borderId="8" xfId="0" applyFont="1" applyFill="1" applyBorder="1" applyProtection="1"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10" fillId="3" borderId="0" xfId="0" applyFont="1" applyFill="1" applyBorder="1" applyAlignment="1" applyProtection="1">
      <alignment horizontal="right" vertical="center"/>
      <protection hidden="1"/>
    </xf>
    <xf numFmtId="0" fontId="6" fillId="2" borderId="5" xfId="0" applyFont="1" applyFill="1" applyBorder="1" applyProtection="1"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Border="1" applyAlignment="1" applyProtection="1">
      <alignment horizontal="right" vertical="center"/>
      <protection hidden="1"/>
    </xf>
    <xf numFmtId="0" fontId="6" fillId="7" borderId="0" xfId="0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Border="1" applyAlignment="1" applyProtection="1">
      <alignment horizontal="right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10" fillId="4" borderId="0" xfId="0" applyFont="1" applyFill="1" applyBorder="1" applyAlignment="1" applyProtection="1">
      <alignment horizontal="right" vertical="center"/>
      <protection hidden="1"/>
    </xf>
    <xf numFmtId="0" fontId="5" fillId="3" borderId="10" xfId="0" applyFont="1" applyFill="1" applyBorder="1" applyAlignment="1" applyProtection="1">
      <alignment horizontal="center" vertical="center"/>
      <protection hidden="1"/>
    </xf>
    <xf numFmtId="0" fontId="6" fillId="6" borderId="0" xfId="0" applyFont="1" applyFill="1" applyBorder="1" applyAlignment="1" applyProtection="1">
      <alignment horizontal="center" vertical="center"/>
      <protection hidden="1"/>
    </xf>
    <xf numFmtId="0" fontId="10" fillId="6" borderId="0" xfId="0" applyFont="1" applyFill="1" applyBorder="1" applyAlignment="1" applyProtection="1">
      <alignment horizontal="right" vertical="center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6" fillId="2" borderId="6" xfId="0" applyFont="1" applyFill="1" applyBorder="1" applyProtection="1">
      <protection hidden="1"/>
    </xf>
    <xf numFmtId="0" fontId="6" fillId="2" borderId="7" xfId="0" applyFont="1" applyFill="1" applyBorder="1" applyProtection="1">
      <protection hidden="1"/>
    </xf>
    <xf numFmtId="0" fontId="6" fillId="2" borderId="8" xfId="0" applyFont="1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0" xfId="0" applyFill="1" applyBorder="1" applyAlignment="1" applyProtection="1">
      <alignment vertical="center"/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right" vertical="center"/>
      <protection hidden="1"/>
    </xf>
    <xf numFmtId="0" fontId="5" fillId="2" borderId="15" xfId="0" applyFont="1" applyFill="1" applyBorder="1" applyAlignment="1" applyProtection="1">
      <alignment horizontal="center" vertical="center"/>
      <protection hidden="1"/>
    </xf>
    <xf numFmtId="0" fontId="5" fillId="2" borderId="13" xfId="0" applyFont="1" applyFill="1" applyBorder="1" applyAlignment="1" applyProtection="1">
      <alignment vertical="center" wrapText="1"/>
      <protection hidden="1"/>
    </xf>
    <xf numFmtId="0" fontId="5" fillId="2" borderId="16" xfId="0" applyFont="1" applyFill="1" applyBorder="1" applyAlignment="1" applyProtection="1">
      <alignment vertical="center" wrapText="1"/>
      <protection hidden="1"/>
    </xf>
    <xf numFmtId="1" fontId="5" fillId="2" borderId="16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16" xfId="0" applyFill="1" applyBorder="1" applyAlignment="1" applyProtection="1">
      <protection hidden="1"/>
    </xf>
    <xf numFmtId="0" fontId="0" fillId="2" borderId="14" xfId="0" applyFill="1" applyBorder="1" applyAlignment="1" applyProtection="1">
      <protection hidden="1"/>
    </xf>
    <xf numFmtId="0" fontId="0" fillId="2" borderId="6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5" fillId="3" borderId="9" xfId="0" applyFont="1" applyFill="1" applyBorder="1" applyAlignment="1" applyProtection="1">
      <alignment horizontal="center" vertical="center"/>
      <protection locked="0" hidden="1"/>
    </xf>
    <xf numFmtId="0" fontId="5" fillId="2" borderId="9" xfId="0" applyFont="1" applyFill="1" applyBorder="1" applyAlignment="1" applyProtection="1">
      <alignment horizontal="center" vertical="center"/>
      <protection locked="0" hidden="1"/>
    </xf>
    <xf numFmtId="0" fontId="5" fillId="7" borderId="15" xfId="0" applyFont="1" applyFill="1" applyBorder="1" applyAlignment="1" applyProtection="1">
      <alignment horizontal="center" vertical="center"/>
      <protection locked="0" hidden="1"/>
    </xf>
    <xf numFmtId="164" fontId="5" fillId="3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23" xfId="0" applyNumberFormat="1" applyFont="1" applyFill="1" applyBorder="1" applyAlignment="1" applyProtection="1">
      <alignment horizontal="center" vertical="center"/>
      <protection hidden="1"/>
    </xf>
    <xf numFmtId="164" fontId="5" fillId="4" borderId="0" xfId="0" applyNumberFormat="1" applyFont="1" applyFill="1" applyBorder="1" applyAlignment="1" applyProtection="1">
      <alignment horizontal="center" vertical="center"/>
      <protection hidden="1"/>
    </xf>
    <xf numFmtId="164" fontId="5" fillId="4" borderId="23" xfId="0" applyNumberFormat="1" applyFont="1" applyFill="1" applyBorder="1" applyAlignment="1" applyProtection="1">
      <alignment horizontal="center" vertical="center"/>
      <protection hidden="1"/>
    </xf>
    <xf numFmtId="164" fontId="5" fillId="4" borderId="25" xfId="0" applyNumberFormat="1" applyFont="1" applyFill="1" applyBorder="1" applyAlignment="1" applyProtection="1">
      <alignment horizontal="center" vertical="center"/>
      <protection hidden="1"/>
    </xf>
    <xf numFmtId="164" fontId="5" fillId="4" borderId="26" xfId="0" applyNumberFormat="1" applyFont="1" applyFill="1" applyBorder="1" applyAlignment="1" applyProtection="1">
      <alignment horizontal="center" vertical="center"/>
      <protection hidden="1"/>
    </xf>
    <xf numFmtId="0" fontId="12" fillId="8" borderId="0" xfId="0" applyFont="1" applyFill="1" applyProtection="1">
      <protection hidden="1"/>
    </xf>
    <xf numFmtId="0" fontId="10" fillId="2" borderId="9" xfId="0" applyFont="1" applyFill="1" applyBorder="1" applyAlignment="1" applyProtection="1">
      <alignment horizontal="center" vertical="center"/>
      <protection locked="0" hidden="1"/>
    </xf>
    <xf numFmtId="0" fontId="10" fillId="2" borderId="9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10" xfId="0" applyFont="1" applyFill="1" applyBorder="1" applyAlignment="1" applyProtection="1">
      <alignment horizontal="center" vertical="center"/>
      <protection locked="0" hidden="1"/>
    </xf>
    <xf numFmtId="0" fontId="5" fillId="2" borderId="0" xfId="0" applyFont="1" applyFill="1" applyBorder="1" applyAlignment="1" applyProtection="1">
      <alignment horizontal="center"/>
      <protection hidden="1"/>
    </xf>
    <xf numFmtId="0" fontId="5" fillId="7" borderId="9" xfId="0" applyFont="1" applyFill="1" applyBorder="1" applyAlignment="1" applyProtection="1">
      <alignment horizontal="center"/>
      <protection locked="0" hidden="1"/>
    </xf>
    <xf numFmtId="0" fontId="5" fillId="4" borderId="9" xfId="0" applyFont="1" applyFill="1" applyBorder="1" applyAlignment="1" applyProtection="1">
      <alignment horizontal="center"/>
      <protection locked="0" hidden="1"/>
    </xf>
    <xf numFmtId="0" fontId="5" fillId="6" borderId="9" xfId="0" applyFont="1" applyFill="1" applyBorder="1" applyAlignment="1" applyProtection="1">
      <alignment horizontal="center"/>
      <protection locked="0" hidden="1"/>
    </xf>
    <xf numFmtId="0" fontId="12" fillId="5" borderId="0" xfId="0" applyFont="1" applyFill="1" applyProtection="1">
      <protection hidden="1"/>
    </xf>
    <xf numFmtId="0" fontId="7" fillId="2" borderId="7" xfId="0" applyFont="1" applyFill="1" applyBorder="1" applyAlignment="1" applyProtection="1">
      <alignment horizontal="right" vertical="center"/>
      <protection hidden="1"/>
    </xf>
    <xf numFmtId="0" fontId="10" fillId="2" borderId="48" xfId="0" applyFont="1" applyFill="1" applyBorder="1" applyAlignment="1" applyProtection="1">
      <alignment horizontal="center" vertical="center"/>
      <protection locked="0" hidden="1"/>
    </xf>
    <xf numFmtId="2" fontId="6" fillId="2" borderId="24" xfId="0" applyNumberFormat="1" applyFont="1" applyFill="1" applyBorder="1" applyAlignment="1" applyProtection="1">
      <alignment horizontal="right"/>
      <protection hidden="1"/>
    </xf>
    <xf numFmtId="0" fontId="12" fillId="8" borderId="0" xfId="0" applyNumberFormat="1" applyFont="1" applyFill="1" applyProtection="1">
      <protection hidden="1"/>
    </xf>
    <xf numFmtId="1" fontId="12" fillId="8" borderId="0" xfId="0" applyNumberFormat="1" applyFont="1" applyFill="1" applyProtection="1"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vertical="center"/>
      <protection hidden="1"/>
    </xf>
    <xf numFmtId="0" fontId="1" fillId="2" borderId="20" xfId="0" applyFont="1" applyFill="1" applyBorder="1" applyProtection="1">
      <protection hidden="1"/>
    </xf>
    <xf numFmtId="0" fontId="0" fillId="2" borderId="0" xfId="0" applyFill="1"/>
    <xf numFmtId="0" fontId="0" fillId="5" borderId="0" xfId="0" applyFill="1"/>
    <xf numFmtId="0" fontId="1" fillId="2" borderId="22" xfId="0" applyFont="1" applyFill="1" applyBorder="1" applyProtection="1">
      <protection hidden="1"/>
    </xf>
    <xf numFmtId="0" fontId="14" fillId="5" borderId="0" xfId="0" applyFont="1" applyFill="1" applyProtection="1">
      <protection hidden="1"/>
    </xf>
    <xf numFmtId="0" fontId="6" fillId="5" borderId="0" xfId="0" applyFont="1" applyFill="1"/>
    <xf numFmtId="0" fontId="1" fillId="5" borderId="0" xfId="0" applyFont="1" applyFill="1"/>
    <xf numFmtId="0" fontId="0" fillId="2" borderId="4" xfId="0" applyFill="1" applyBorder="1"/>
    <xf numFmtId="0" fontId="6" fillId="2" borderId="0" xfId="0" applyFont="1" applyFill="1" applyBorder="1" applyAlignment="1">
      <alignment vertical="center"/>
    </xf>
    <xf numFmtId="1" fontId="15" fillId="3" borderId="22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 vertical="center"/>
    </xf>
    <xf numFmtId="1" fontId="3" fillId="4" borderId="24" xfId="0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0" xfId="0" applyFill="1" applyBorder="1"/>
    <xf numFmtId="0" fontId="0" fillId="2" borderId="5" xfId="0" applyFill="1" applyBorder="1"/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/>
    <xf numFmtId="0" fontId="6" fillId="2" borderId="0" xfId="0" applyFont="1" applyFill="1" applyBorder="1"/>
    <xf numFmtId="0" fontId="16" fillId="2" borderId="0" xfId="0" applyFont="1" applyFill="1" applyBorder="1"/>
    <xf numFmtId="0" fontId="17" fillId="2" borderId="0" xfId="0" applyFont="1" applyFill="1" applyBorder="1"/>
    <xf numFmtId="0" fontId="1" fillId="2" borderId="4" xfId="0" applyFont="1" applyFill="1" applyBorder="1"/>
    <xf numFmtId="0" fontId="5" fillId="2" borderId="0" xfId="0" applyFont="1" applyFill="1" applyBorder="1" applyAlignment="1" applyProtection="1">
      <alignment horizontal="center" vertical="center"/>
      <protection hidden="1"/>
    </xf>
    <xf numFmtId="0" fontId="5" fillId="7" borderId="9" xfId="0" applyFont="1" applyFill="1" applyBorder="1" applyAlignment="1" applyProtection="1">
      <alignment horizontal="center" vertical="center"/>
      <protection locked="0" hidden="1"/>
    </xf>
    <xf numFmtId="0" fontId="5" fillId="7" borderId="0" xfId="0" applyFont="1" applyFill="1" applyBorder="1" applyAlignment="1" applyProtection="1">
      <alignment horizontal="center" vertical="center"/>
      <protection hidden="1"/>
    </xf>
    <xf numFmtId="0" fontId="5" fillId="4" borderId="9" xfId="0" applyFont="1" applyFill="1" applyBorder="1" applyAlignment="1" applyProtection="1">
      <alignment horizontal="center" vertical="center"/>
      <protection locked="0" hidden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5" fillId="6" borderId="9" xfId="0" applyFont="1" applyFill="1" applyBorder="1" applyAlignment="1" applyProtection="1">
      <alignment horizontal="center" vertical="center"/>
      <protection locked="0" hidden="1"/>
    </xf>
    <xf numFmtId="0" fontId="12" fillId="5" borderId="0" xfId="0" applyFont="1" applyFill="1"/>
    <xf numFmtId="0" fontId="6" fillId="2" borderId="0" xfId="0" applyFont="1" applyFill="1" applyBorder="1" applyAlignment="1">
      <alignment horizontal="center" vertical="center"/>
    </xf>
    <xf numFmtId="0" fontId="18" fillId="5" borderId="0" xfId="0" applyFont="1" applyFill="1"/>
    <xf numFmtId="0" fontId="14" fillId="5" borderId="0" xfId="0" applyFont="1" applyFill="1"/>
    <xf numFmtId="0" fontId="0" fillId="2" borderId="7" xfId="0" applyFill="1" applyBorder="1"/>
    <xf numFmtId="0" fontId="6" fillId="3" borderId="0" xfId="0" applyFont="1" applyFill="1" applyBorder="1" applyAlignment="1">
      <alignment vertical="center"/>
    </xf>
    <xf numFmtId="0" fontId="6" fillId="4" borderId="25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 vertical="center"/>
    </xf>
    <xf numFmtId="0" fontId="19" fillId="2" borderId="0" xfId="0" applyFont="1" applyFill="1" applyBorder="1" applyAlignment="1">
      <alignment vertical="center"/>
    </xf>
    <xf numFmtId="0" fontId="0" fillId="3" borderId="23" xfId="0" applyFill="1" applyBorder="1" applyAlignment="1">
      <alignment vertical="center"/>
    </xf>
    <xf numFmtId="0" fontId="0" fillId="4" borderId="26" xfId="0" applyFill="1" applyBorder="1" applyAlignment="1">
      <alignment vertical="center"/>
    </xf>
    <xf numFmtId="0" fontId="12" fillId="5" borderId="0" xfId="0" applyFont="1" applyFill="1" applyBorder="1"/>
    <xf numFmtId="0" fontId="6" fillId="5" borderId="0" xfId="0" applyFont="1" applyFill="1" applyBorder="1"/>
    <xf numFmtId="0" fontId="0" fillId="5" borderId="0" xfId="0" applyFill="1" applyBorder="1"/>
    <xf numFmtId="0" fontId="16" fillId="5" borderId="0" xfId="0" applyFont="1" applyFill="1" applyBorder="1"/>
    <xf numFmtId="0" fontId="17" fillId="5" borderId="0" xfId="0" applyFont="1" applyFill="1" applyBorder="1"/>
    <xf numFmtId="0" fontId="6" fillId="5" borderId="0" xfId="0" applyFont="1" applyFill="1" applyBorder="1" applyAlignment="1">
      <alignment vertical="center"/>
    </xf>
    <xf numFmtId="0" fontId="1" fillId="5" borderId="0" xfId="0" applyFont="1" applyFill="1" applyBorder="1"/>
    <xf numFmtId="0" fontId="6" fillId="5" borderId="0" xfId="0" applyFont="1" applyFill="1" applyBorder="1" applyAlignment="1">
      <alignment horizontal="right"/>
    </xf>
    <xf numFmtId="0" fontId="16" fillId="5" borderId="0" xfId="0" applyFont="1" applyFill="1" applyBorder="1" applyAlignment="1">
      <alignment horizontal="right"/>
    </xf>
    <xf numFmtId="0" fontId="6" fillId="5" borderId="0" xfId="0" applyFont="1" applyFill="1" applyBorder="1" applyAlignment="1">
      <alignment horizontal="left"/>
    </xf>
    <xf numFmtId="1" fontId="12" fillId="5" borderId="0" xfId="0" applyNumberFormat="1" applyFont="1" applyFill="1"/>
    <xf numFmtId="0" fontId="0" fillId="0" borderId="0" xfId="0" applyProtection="1"/>
    <xf numFmtId="0" fontId="0" fillId="9" borderId="0" xfId="0" applyFill="1" applyProtection="1"/>
    <xf numFmtId="0" fontId="0" fillId="9" borderId="0" xfId="0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0" fillId="10" borderId="0" xfId="0" applyFill="1" applyProtection="1"/>
    <xf numFmtId="0" fontId="0" fillId="9" borderId="0" xfId="0" applyFill="1" applyAlignment="1" applyProtection="1">
      <alignment horizontal="right"/>
    </xf>
    <xf numFmtId="0" fontId="22" fillId="9" borderId="0" xfId="0" applyFont="1" applyFill="1" applyAlignment="1" applyProtection="1">
      <alignment horizontal="center" vertical="center"/>
    </xf>
    <xf numFmtId="0" fontId="22" fillId="9" borderId="0" xfId="0" applyFont="1" applyFill="1" applyProtection="1"/>
    <xf numFmtId="0" fontId="22" fillId="9" borderId="0" xfId="0" applyFont="1" applyFill="1" applyBorder="1" applyProtection="1"/>
    <xf numFmtId="0" fontId="22" fillId="9" borderId="0" xfId="0" applyFont="1" applyFill="1" applyBorder="1" applyAlignment="1" applyProtection="1">
      <alignment horizontal="center" vertical="center"/>
    </xf>
    <xf numFmtId="1" fontId="23" fillId="9" borderId="0" xfId="0" applyNumberFormat="1" applyFont="1" applyFill="1" applyBorder="1" applyAlignment="1" applyProtection="1">
      <alignment horizontal="center" vertical="center"/>
    </xf>
    <xf numFmtId="0" fontId="23" fillId="9" borderId="0" xfId="0" applyFont="1" applyFill="1" applyBorder="1" applyAlignment="1" applyProtection="1">
      <alignment horizontal="right" vertical="center"/>
    </xf>
    <xf numFmtId="0" fontId="23" fillId="9" borderId="0" xfId="0" applyFont="1" applyFill="1" applyBorder="1" applyAlignment="1" applyProtection="1">
      <alignment horizontal="center" vertical="center"/>
    </xf>
    <xf numFmtId="0" fontId="22" fillId="9" borderId="0" xfId="0" applyFont="1" applyFill="1" applyBorder="1" applyAlignment="1" applyProtection="1">
      <alignment horizontal="right"/>
    </xf>
    <xf numFmtId="0" fontId="25" fillId="9" borderId="0" xfId="0" applyFont="1" applyFill="1" applyBorder="1" applyProtection="1"/>
    <xf numFmtId="0" fontId="0" fillId="9" borderId="0" xfId="0" applyFill="1" applyBorder="1" applyProtection="1"/>
    <xf numFmtId="0" fontId="6" fillId="9" borderId="0" xfId="0" applyFont="1" applyFill="1" applyBorder="1" applyAlignment="1" applyProtection="1">
      <alignment horizontal="right" vertical="center"/>
    </xf>
    <xf numFmtId="0" fontId="28" fillId="9" borderId="0" xfId="0" applyFont="1" applyFill="1" applyBorder="1" applyProtection="1"/>
    <xf numFmtId="0" fontId="0" fillId="11" borderId="52" xfId="0" applyFill="1" applyBorder="1" applyAlignment="1" applyProtection="1">
      <alignment horizontal="center" vertical="center"/>
    </xf>
    <xf numFmtId="0" fontId="0" fillId="11" borderId="53" xfId="0" applyFill="1" applyBorder="1" applyAlignment="1" applyProtection="1">
      <alignment horizontal="center" vertical="center"/>
    </xf>
    <xf numFmtId="0" fontId="0" fillId="11" borderId="53" xfId="0" applyFill="1" applyBorder="1" applyAlignment="1" applyProtection="1">
      <alignment horizontal="right"/>
    </xf>
    <xf numFmtId="0" fontId="0" fillId="11" borderId="53" xfId="0" applyFill="1" applyBorder="1" applyProtection="1"/>
    <xf numFmtId="0" fontId="0" fillId="11" borderId="54" xfId="0" applyFill="1" applyBorder="1" applyProtection="1"/>
    <xf numFmtId="0" fontId="0" fillId="11" borderId="52" xfId="0" applyFill="1" applyBorder="1" applyProtection="1"/>
    <xf numFmtId="0" fontId="0" fillId="11" borderId="55" xfId="0" applyFill="1" applyBorder="1" applyProtection="1"/>
    <xf numFmtId="0" fontId="29" fillId="11" borderId="56" xfId="0" applyFont="1" applyFill="1" applyBorder="1" applyAlignment="1" applyProtection="1">
      <alignment horizontal="center" vertical="center"/>
    </xf>
    <xf numFmtId="0" fontId="0" fillId="11" borderId="60" xfId="0" applyFill="1" applyBorder="1" applyProtection="1"/>
    <xf numFmtId="0" fontId="17" fillId="9" borderId="0" xfId="0" applyFont="1" applyFill="1" applyBorder="1" applyAlignment="1" applyProtection="1">
      <alignment horizontal="center" vertical="center"/>
    </xf>
    <xf numFmtId="0" fontId="17" fillId="11" borderId="56" xfId="0" applyFont="1" applyFill="1" applyBorder="1" applyAlignment="1" applyProtection="1">
      <alignment horizontal="center" vertical="center"/>
    </xf>
    <xf numFmtId="0" fontId="17" fillId="13" borderId="8" xfId="0" applyFont="1" applyFill="1" applyBorder="1" applyAlignment="1" applyProtection="1">
      <alignment horizontal="center" vertical="center"/>
      <protection locked="0"/>
    </xf>
    <xf numFmtId="0" fontId="10" fillId="13" borderId="7" xfId="0" applyFont="1" applyFill="1" applyBorder="1" applyAlignment="1" applyProtection="1">
      <alignment horizontal="right" vertical="center"/>
    </xf>
    <xf numFmtId="0" fontId="6" fillId="13" borderId="7" xfId="0" applyFont="1" applyFill="1" applyBorder="1" applyAlignment="1" applyProtection="1">
      <alignment horizontal="center"/>
    </xf>
    <xf numFmtId="0" fontId="2" fillId="13" borderId="6" xfId="0" applyFont="1" applyFill="1" applyBorder="1" applyAlignment="1" applyProtection="1">
      <alignment horizontal="right"/>
    </xf>
    <xf numFmtId="0" fontId="1" fillId="11" borderId="49" xfId="0" applyFont="1" applyFill="1" applyBorder="1" applyProtection="1"/>
    <xf numFmtId="0" fontId="10" fillId="13" borderId="7" xfId="0" applyFont="1" applyFill="1" applyBorder="1" applyAlignment="1" applyProtection="1">
      <alignment horizontal="center" vertical="center"/>
    </xf>
    <xf numFmtId="0" fontId="22" fillId="9" borderId="0" xfId="0" applyFont="1" applyFill="1" applyBorder="1" applyAlignment="1" applyProtection="1">
      <alignment horizontal="center" wrapText="1"/>
    </xf>
    <xf numFmtId="0" fontId="0" fillId="11" borderId="56" xfId="0" applyFill="1" applyBorder="1" applyAlignment="1" applyProtection="1">
      <alignment horizontal="center" vertical="center"/>
    </xf>
    <xf numFmtId="0" fontId="0" fillId="11" borderId="0" xfId="0" applyFill="1" applyBorder="1" applyAlignment="1" applyProtection="1">
      <alignment horizontal="center" vertical="center"/>
    </xf>
    <xf numFmtId="0" fontId="0" fillId="11" borderId="0" xfId="0" applyFill="1" applyBorder="1" applyAlignment="1" applyProtection="1">
      <alignment horizontal="right"/>
    </xf>
    <xf numFmtId="0" fontId="0" fillId="11" borderId="0" xfId="0" applyFill="1" applyBorder="1" applyProtection="1"/>
    <xf numFmtId="0" fontId="17" fillId="13" borderId="61" xfId="0" applyFont="1" applyFill="1" applyBorder="1" applyAlignment="1" applyProtection="1">
      <alignment horizontal="center" vertical="center"/>
      <protection locked="0"/>
    </xf>
    <xf numFmtId="0" fontId="10" fillId="13" borderId="62" xfId="0" applyFont="1" applyFill="1" applyBorder="1" applyAlignment="1" applyProtection="1">
      <alignment horizontal="right" vertical="center"/>
    </xf>
    <xf numFmtId="0" fontId="6" fillId="13" borderId="62" xfId="0" applyFont="1" applyFill="1" applyBorder="1" applyAlignment="1" applyProtection="1">
      <alignment horizontal="center" vertical="center"/>
      <protection locked="0"/>
    </xf>
    <xf numFmtId="0" fontId="10" fillId="13" borderId="63" xfId="0" applyFont="1" applyFill="1" applyBorder="1" applyAlignment="1" applyProtection="1">
      <alignment horizontal="right" vertical="center"/>
    </xf>
    <xf numFmtId="0" fontId="1" fillId="11" borderId="0" xfId="0" applyFont="1" applyFill="1" applyBorder="1" applyProtection="1"/>
    <xf numFmtId="0" fontId="10" fillId="13" borderId="62" xfId="0" applyFont="1" applyFill="1" applyBorder="1" applyAlignment="1" applyProtection="1">
      <alignment horizontal="center" vertical="center"/>
    </xf>
    <xf numFmtId="0" fontId="31" fillId="14" borderId="7" xfId="0" applyFont="1" applyFill="1" applyBorder="1" applyAlignment="1" applyProtection="1">
      <alignment horizontal="center"/>
    </xf>
    <xf numFmtId="0" fontId="31" fillId="14" borderId="7" xfId="0" applyFont="1" applyFill="1" applyBorder="1" applyProtection="1"/>
    <xf numFmtId="0" fontId="31" fillId="14" borderId="7" xfId="0" applyFont="1" applyFill="1" applyBorder="1" applyAlignment="1" applyProtection="1">
      <alignment horizontal="right" vertical="center"/>
    </xf>
    <xf numFmtId="0" fontId="0" fillId="14" borderId="7" xfId="0" applyFill="1" applyBorder="1" applyProtection="1"/>
    <xf numFmtId="0" fontId="33" fillId="14" borderId="7" xfId="0" applyFont="1" applyFill="1" applyBorder="1" applyProtection="1"/>
    <xf numFmtId="0" fontId="10" fillId="14" borderId="7" xfId="0" applyFont="1" applyFill="1" applyBorder="1" applyAlignment="1" applyProtection="1">
      <alignment horizontal="left" vertical="center"/>
    </xf>
    <xf numFmtId="0" fontId="10" fillId="14" borderId="7" xfId="0" applyFont="1" applyFill="1" applyBorder="1" applyAlignment="1" applyProtection="1">
      <alignment horizontal="center" vertical="center"/>
    </xf>
    <xf numFmtId="0" fontId="10" fillId="14" borderId="7" xfId="0" applyFont="1" applyFill="1" applyBorder="1" applyAlignment="1" applyProtection="1">
      <alignment horizontal="right" vertical="center"/>
    </xf>
    <xf numFmtId="0" fontId="0" fillId="11" borderId="7" xfId="0" applyFill="1" applyBorder="1" applyProtection="1"/>
    <xf numFmtId="0" fontId="10" fillId="14" borderId="6" xfId="0" applyFont="1" applyFill="1" applyBorder="1" applyProtection="1"/>
    <xf numFmtId="0" fontId="17" fillId="15" borderId="5" xfId="0" applyFont="1" applyFill="1" applyBorder="1" applyAlignment="1" applyProtection="1">
      <alignment horizontal="center" vertical="center"/>
      <protection locked="0"/>
    </xf>
    <xf numFmtId="0" fontId="10" fillId="15" borderId="0" xfId="0" applyFont="1" applyFill="1" applyBorder="1" applyAlignment="1" applyProtection="1">
      <alignment horizontal="right" vertical="center"/>
    </xf>
    <xf numFmtId="0" fontId="6" fillId="15" borderId="0" xfId="0" applyFont="1" applyFill="1" applyBorder="1" applyAlignment="1" applyProtection="1">
      <alignment horizontal="center"/>
    </xf>
    <xf numFmtId="0" fontId="2" fillId="15" borderId="4" xfId="0" applyFont="1" applyFill="1" applyBorder="1" applyAlignment="1" applyProtection="1">
      <alignment horizontal="right"/>
    </xf>
    <xf numFmtId="0" fontId="10" fillId="15" borderId="0" xfId="0" applyFont="1" applyFill="1" applyBorder="1" applyAlignment="1" applyProtection="1">
      <alignment horizontal="center" vertical="center"/>
    </xf>
    <xf numFmtId="0" fontId="31" fillId="14" borderId="0" xfId="0" applyFont="1" applyFill="1" applyBorder="1" applyAlignment="1" applyProtection="1">
      <alignment horizontal="center"/>
    </xf>
    <xf numFmtId="0" fontId="31" fillId="14" borderId="0" xfId="0" applyFont="1" applyFill="1" applyBorder="1" applyProtection="1"/>
    <xf numFmtId="0" fontId="31" fillId="14" borderId="0" xfId="0" applyFont="1" applyFill="1" applyBorder="1" applyAlignment="1" applyProtection="1">
      <alignment horizontal="right" vertical="center"/>
    </xf>
    <xf numFmtId="0" fontId="0" fillId="14" borderId="0" xfId="0" applyFill="1" applyBorder="1" applyAlignment="1" applyProtection="1">
      <alignment horizontal="right"/>
    </xf>
    <xf numFmtId="0" fontId="33" fillId="14" borderId="0" xfId="0" applyFont="1" applyFill="1" applyBorder="1" applyAlignment="1" applyProtection="1">
      <alignment horizontal="left" vertical="center"/>
    </xf>
    <xf numFmtId="0" fontId="10" fillId="14" borderId="0" xfId="0" applyFont="1" applyFill="1" applyBorder="1" applyAlignment="1" applyProtection="1">
      <alignment horizontal="left" vertical="center"/>
    </xf>
    <xf numFmtId="0" fontId="10" fillId="14" borderId="0" xfId="0" applyFont="1" applyFill="1" applyBorder="1" applyAlignment="1" applyProtection="1">
      <alignment horizontal="center" vertical="center"/>
    </xf>
    <xf numFmtId="0" fontId="10" fillId="14" borderId="0" xfId="0" applyFont="1" applyFill="1" applyBorder="1" applyAlignment="1" applyProtection="1">
      <alignment horizontal="right" vertical="center"/>
    </xf>
    <xf numFmtId="0" fontId="10" fillId="14" borderId="4" xfId="0" applyFont="1" applyFill="1" applyBorder="1" applyProtection="1"/>
    <xf numFmtId="0" fontId="10" fillId="15" borderId="62" xfId="0" applyFont="1" applyFill="1" applyBorder="1" applyAlignment="1" applyProtection="1">
      <alignment horizontal="right" vertical="center"/>
    </xf>
    <xf numFmtId="0" fontId="6" fillId="15" borderId="62" xfId="0" applyFont="1" applyFill="1" applyBorder="1" applyAlignment="1" applyProtection="1">
      <alignment horizontal="center" vertical="center"/>
      <protection locked="0"/>
    </xf>
    <xf numFmtId="0" fontId="10" fillId="15" borderId="63" xfId="0" applyFont="1" applyFill="1" applyBorder="1" applyAlignment="1" applyProtection="1">
      <alignment horizontal="right" vertical="center"/>
    </xf>
    <xf numFmtId="0" fontId="6" fillId="15" borderId="0" xfId="0" applyFont="1" applyFill="1" applyBorder="1" applyAlignment="1" applyProtection="1">
      <alignment horizontal="center" vertical="center"/>
      <protection locked="0"/>
    </xf>
    <xf numFmtId="0" fontId="10" fillId="15" borderId="4" xfId="0" applyFont="1" applyFill="1" applyBorder="1" applyAlignment="1" applyProtection="1">
      <alignment horizontal="right" vertical="center"/>
    </xf>
    <xf numFmtId="0" fontId="33" fillId="14" borderId="2" xfId="0" applyFont="1" applyFill="1" applyBorder="1" applyAlignment="1" applyProtection="1">
      <alignment vertical="center"/>
    </xf>
    <xf numFmtId="1" fontId="36" fillId="14" borderId="2" xfId="0" applyNumberFormat="1" applyFont="1" applyFill="1" applyBorder="1" applyProtection="1"/>
    <xf numFmtId="0" fontId="0" fillId="14" borderId="2" xfId="0" applyFill="1" applyBorder="1" applyProtection="1"/>
    <xf numFmtId="0" fontId="25" fillId="14" borderId="2" xfId="0" applyFont="1" applyFill="1" applyBorder="1" applyProtection="1"/>
    <xf numFmtId="0" fontId="10" fillId="14" borderId="2" xfId="0" applyFont="1" applyFill="1" applyBorder="1" applyAlignment="1" applyProtection="1">
      <alignment vertical="top"/>
    </xf>
    <xf numFmtId="0" fontId="10" fillId="14" borderId="1" xfId="0" applyFont="1" applyFill="1" applyBorder="1" applyAlignment="1" applyProtection="1">
      <alignment vertical="top"/>
    </xf>
    <xf numFmtId="0" fontId="0" fillId="11" borderId="2" xfId="0" applyFill="1" applyBorder="1" applyProtection="1"/>
    <xf numFmtId="0" fontId="10" fillId="14" borderId="3" xfId="0" applyFont="1" applyFill="1" applyBorder="1" applyProtection="1"/>
    <xf numFmtId="0" fontId="10" fillId="14" borderId="1" xfId="0" applyFont="1" applyFill="1" applyBorder="1" applyProtection="1"/>
    <xf numFmtId="0" fontId="10" fillId="16" borderId="0" xfId="0" applyFont="1" applyFill="1" applyBorder="1" applyAlignment="1" applyProtection="1">
      <alignment horizontal="right" vertical="center"/>
    </xf>
    <xf numFmtId="0" fontId="6" fillId="16" borderId="0" xfId="0" applyFont="1" applyFill="1" applyBorder="1" applyAlignment="1" applyProtection="1">
      <alignment horizontal="center"/>
    </xf>
    <xf numFmtId="0" fontId="2" fillId="16" borderId="4" xfId="0" applyFont="1" applyFill="1" applyBorder="1" applyAlignment="1" applyProtection="1">
      <alignment horizontal="right"/>
    </xf>
    <xf numFmtId="0" fontId="17" fillId="16" borderId="64" xfId="0" applyFont="1" applyFill="1" applyBorder="1" applyAlignment="1" applyProtection="1">
      <alignment horizontal="center" vertical="center"/>
      <protection locked="0"/>
    </xf>
    <xf numFmtId="0" fontId="10" fillId="16" borderId="65" xfId="0" applyFont="1" applyFill="1" applyBorder="1" applyAlignment="1" applyProtection="1">
      <alignment horizontal="center" vertical="center"/>
    </xf>
    <xf numFmtId="0" fontId="6" fillId="16" borderId="65" xfId="0" applyFont="1" applyFill="1" applyBorder="1" applyAlignment="1" applyProtection="1">
      <alignment horizontal="center"/>
    </xf>
    <xf numFmtId="0" fontId="2" fillId="16" borderId="66" xfId="0" applyFont="1" applyFill="1" applyBorder="1" applyAlignment="1" applyProtection="1">
      <alignment horizontal="right"/>
    </xf>
    <xf numFmtId="0" fontId="25" fillId="11" borderId="0" xfId="0" applyFont="1" applyFill="1" applyBorder="1" applyProtection="1"/>
    <xf numFmtId="0" fontId="17" fillId="16" borderId="61" xfId="0" applyFont="1" applyFill="1" applyBorder="1" applyAlignment="1" applyProtection="1">
      <alignment horizontal="center" vertical="center"/>
      <protection locked="0"/>
    </xf>
    <xf numFmtId="0" fontId="10" fillId="16" borderId="62" xfId="0" applyFont="1" applyFill="1" applyBorder="1" applyAlignment="1" applyProtection="1">
      <alignment horizontal="right" vertical="center"/>
    </xf>
    <xf numFmtId="0" fontId="6" fillId="16" borderId="62" xfId="0" applyFont="1" applyFill="1" applyBorder="1" applyAlignment="1" applyProtection="1">
      <alignment horizontal="center" vertical="center"/>
      <protection locked="0"/>
    </xf>
    <xf numFmtId="0" fontId="10" fillId="16" borderId="63" xfId="0" applyFont="1" applyFill="1" applyBorder="1" applyAlignment="1" applyProtection="1">
      <alignment horizontal="right" vertical="center"/>
    </xf>
    <xf numFmtId="0" fontId="10" fillId="16" borderId="62" xfId="0" applyFont="1" applyFill="1" applyBorder="1" applyAlignment="1" applyProtection="1">
      <alignment horizontal="center" vertical="center"/>
    </xf>
    <xf numFmtId="1" fontId="0" fillId="11" borderId="56" xfId="0" applyNumberFormat="1" applyFill="1" applyBorder="1" applyAlignment="1" applyProtection="1">
      <alignment horizontal="center" vertical="center"/>
    </xf>
    <xf numFmtId="0" fontId="5" fillId="15" borderId="7" xfId="0" applyFont="1" applyFill="1" applyBorder="1" applyAlignment="1" applyProtection="1">
      <alignment horizontal="right"/>
    </xf>
    <xf numFmtId="0" fontId="17" fillId="9" borderId="0" xfId="0" applyFont="1" applyFill="1" applyBorder="1" applyAlignment="1" applyProtection="1">
      <alignment horizontal="center"/>
    </xf>
    <xf numFmtId="0" fontId="17" fillId="11" borderId="56" xfId="0" applyFont="1" applyFill="1" applyBorder="1" applyAlignment="1" applyProtection="1">
      <alignment horizontal="center"/>
    </xf>
    <xf numFmtId="0" fontId="17" fillId="17" borderId="5" xfId="0" applyFont="1" applyFill="1" applyBorder="1" applyAlignment="1" applyProtection="1">
      <alignment horizontal="center"/>
      <protection locked="0"/>
    </xf>
    <xf numFmtId="0" fontId="10" fillId="17" borderId="0" xfId="0" applyFont="1" applyFill="1" applyBorder="1" applyAlignment="1" applyProtection="1">
      <alignment horizontal="center"/>
    </xf>
    <xf numFmtId="0" fontId="6" fillId="17" borderId="0" xfId="0" applyFont="1" applyFill="1" applyBorder="1" applyAlignment="1" applyProtection="1">
      <alignment horizontal="center"/>
    </xf>
    <xf numFmtId="0" fontId="10" fillId="17" borderId="4" xfId="0" applyFont="1" applyFill="1" applyBorder="1" applyAlignment="1" applyProtection="1">
      <alignment horizontal="right"/>
    </xf>
    <xf numFmtId="0" fontId="2" fillId="17" borderId="4" xfId="0" applyFont="1" applyFill="1" applyBorder="1" applyAlignment="1" applyProtection="1">
      <alignment horizontal="right"/>
    </xf>
    <xf numFmtId="1" fontId="0" fillId="15" borderId="68" xfId="0" applyNumberFormat="1" applyFill="1" applyBorder="1" applyAlignment="1" applyProtection="1">
      <alignment horizontal="center" vertical="center"/>
    </xf>
    <xf numFmtId="0" fontId="5" fillId="15" borderId="0" xfId="0" applyFont="1" applyFill="1" applyBorder="1" applyAlignment="1" applyProtection="1">
      <alignment horizontal="right"/>
    </xf>
    <xf numFmtId="0" fontId="17" fillId="17" borderId="5" xfId="0" applyFont="1" applyFill="1" applyBorder="1" applyAlignment="1" applyProtection="1">
      <alignment horizontal="center" vertical="center"/>
      <protection locked="0"/>
    </xf>
    <xf numFmtId="0" fontId="10" fillId="17" borderId="0" xfId="0" applyFont="1" applyFill="1" applyBorder="1" applyAlignment="1" applyProtection="1">
      <alignment horizontal="center" vertical="center"/>
    </xf>
    <xf numFmtId="1" fontId="0" fillId="15" borderId="69" xfId="0" applyNumberFormat="1" applyFill="1" applyBorder="1" applyAlignment="1" applyProtection="1">
      <alignment horizontal="center" vertical="center"/>
    </xf>
    <xf numFmtId="0" fontId="5" fillId="15" borderId="21" xfId="0" applyFont="1" applyFill="1" applyBorder="1" applyAlignment="1" applyProtection="1">
      <alignment horizontal="right" vertical="center" wrapText="1"/>
    </xf>
    <xf numFmtId="0" fontId="6" fillId="17" borderId="0" xfId="0" applyFont="1" applyFill="1" applyBorder="1" applyAlignment="1" applyProtection="1">
      <alignment horizontal="center" vertical="center"/>
      <protection locked="0"/>
    </xf>
    <xf numFmtId="0" fontId="10" fillId="17" borderId="4" xfId="0" applyFont="1" applyFill="1" applyBorder="1" applyAlignment="1" applyProtection="1">
      <alignment horizontal="right" vertical="center"/>
    </xf>
    <xf numFmtId="0" fontId="37" fillId="9" borderId="0" xfId="0" applyFont="1" applyFill="1" applyBorder="1" applyAlignment="1" applyProtection="1">
      <alignment horizontal="center" vertical="center"/>
    </xf>
    <xf numFmtId="0" fontId="37" fillId="11" borderId="56" xfId="0" applyFont="1" applyFill="1" applyBorder="1" applyAlignment="1" applyProtection="1">
      <alignment horizontal="center" vertical="center"/>
    </xf>
    <xf numFmtId="1" fontId="1" fillId="16" borderId="74" xfId="0" applyNumberFormat="1" applyFont="1" applyFill="1" applyBorder="1" applyAlignment="1" applyProtection="1">
      <alignment horizontal="center" vertical="center"/>
    </xf>
    <xf numFmtId="0" fontId="5" fillId="16" borderId="25" xfId="0" applyFont="1" applyFill="1" applyBorder="1" applyAlignment="1" applyProtection="1">
      <alignment horizontal="right"/>
    </xf>
    <xf numFmtId="0" fontId="6" fillId="9" borderId="0" xfId="0" applyFont="1" applyFill="1" applyBorder="1" applyAlignment="1" applyProtection="1">
      <alignment horizontal="center" vertical="center"/>
    </xf>
    <xf numFmtId="0" fontId="6" fillId="11" borderId="76" xfId="0" applyFont="1" applyFill="1" applyBorder="1" applyAlignment="1" applyProtection="1">
      <alignment horizontal="center" vertical="center"/>
    </xf>
    <xf numFmtId="0" fontId="6" fillId="11" borderId="77" xfId="0" applyFont="1" applyFill="1" applyBorder="1" applyAlignment="1" applyProtection="1">
      <alignment horizontal="center" vertical="center"/>
    </xf>
    <xf numFmtId="0" fontId="31" fillId="11" borderId="77" xfId="0" applyFont="1" applyFill="1" applyBorder="1" applyProtection="1"/>
    <xf numFmtId="0" fontId="0" fillId="11" borderId="78" xfId="0" applyFill="1" applyBorder="1" applyProtection="1"/>
    <xf numFmtId="1" fontId="1" fillId="16" borderId="68" xfId="0" applyNumberFormat="1" applyFont="1" applyFill="1" applyBorder="1" applyAlignment="1" applyProtection="1">
      <alignment horizontal="center" vertical="center"/>
    </xf>
    <xf numFmtId="0" fontId="5" fillId="16" borderId="0" xfId="0" applyFont="1" applyFill="1" applyBorder="1" applyAlignment="1" applyProtection="1">
      <alignment horizontal="right"/>
    </xf>
    <xf numFmtId="0" fontId="0" fillId="9" borderId="0" xfId="0" applyFill="1" applyBorder="1" applyAlignment="1" applyProtection="1">
      <alignment horizontal="center"/>
    </xf>
    <xf numFmtId="1" fontId="1" fillId="16" borderId="69" xfId="0" applyNumberFormat="1" applyFont="1" applyFill="1" applyBorder="1" applyAlignment="1" applyProtection="1">
      <alignment horizontal="center" vertical="center"/>
    </xf>
    <xf numFmtId="0" fontId="5" fillId="16" borderId="20" xfId="0" applyFont="1" applyFill="1" applyBorder="1" applyAlignment="1" applyProtection="1">
      <alignment horizontal="right" vertical="center" wrapText="1"/>
    </xf>
    <xf numFmtId="0" fontId="38" fillId="12" borderId="52" xfId="0" applyFont="1" applyFill="1" applyBorder="1" applyAlignment="1" applyProtection="1">
      <alignment horizontal="center" vertical="center"/>
      <protection locked="0"/>
    </xf>
    <xf numFmtId="0" fontId="38" fillId="12" borderId="53" xfId="0" applyFont="1" applyFill="1" applyBorder="1" applyAlignment="1" applyProtection="1">
      <alignment horizontal="center" vertical="center"/>
      <protection locked="0"/>
    </xf>
    <xf numFmtId="0" fontId="38" fillId="12" borderId="56" xfId="0" applyFont="1" applyFill="1" applyBorder="1" applyAlignment="1" applyProtection="1">
      <alignment horizontal="center" vertical="center"/>
      <protection locked="0"/>
    </xf>
    <xf numFmtId="0" fontId="38" fillId="12" borderId="0" xfId="0" applyFont="1" applyFill="1" applyBorder="1" applyAlignment="1" applyProtection="1">
      <alignment horizontal="center" vertical="center"/>
      <protection locked="0"/>
    </xf>
    <xf numFmtId="1" fontId="1" fillId="18" borderId="74" xfId="0" applyNumberFormat="1" applyFont="1" applyFill="1" applyBorder="1" applyAlignment="1" applyProtection="1">
      <alignment horizontal="center" vertical="center"/>
    </xf>
    <xf numFmtId="0" fontId="5" fillId="18" borderId="25" xfId="0" applyFont="1" applyFill="1" applyBorder="1" applyAlignment="1" applyProtection="1">
      <alignment horizontal="right"/>
    </xf>
    <xf numFmtId="1" fontId="1" fillId="18" borderId="68" xfId="0" applyNumberFormat="1" applyFont="1" applyFill="1" applyBorder="1" applyAlignment="1" applyProtection="1">
      <alignment horizontal="center" vertical="center"/>
    </xf>
    <xf numFmtId="0" fontId="5" fillId="18" borderId="0" xfId="0" applyFont="1" applyFill="1" applyBorder="1" applyAlignment="1" applyProtection="1">
      <alignment horizontal="right"/>
    </xf>
    <xf numFmtId="0" fontId="38" fillId="12" borderId="76" xfId="0" applyFont="1" applyFill="1" applyBorder="1" applyAlignment="1" applyProtection="1">
      <alignment horizontal="center" vertical="center"/>
      <protection locked="0"/>
    </xf>
    <xf numFmtId="0" fontId="38" fillId="12" borderId="77" xfId="0" applyFont="1" applyFill="1" applyBorder="1" applyAlignment="1" applyProtection="1">
      <alignment horizontal="center" vertical="center"/>
      <protection locked="0"/>
    </xf>
    <xf numFmtId="0" fontId="5" fillId="18" borderId="0" xfId="0" applyFont="1" applyFill="1" applyBorder="1" applyAlignment="1" applyProtection="1">
      <alignment horizontal="right" vertical="center" wrapText="1"/>
    </xf>
    <xf numFmtId="0" fontId="3" fillId="11" borderId="56" xfId="0" applyFont="1" applyFill="1" applyBorder="1" applyAlignment="1" applyProtection="1">
      <alignment horizontal="center" vertical="center"/>
    </xf>
    <xf numFmtId="0" fontId="3" fillId="0" borderId="79" xfId="0" applyFont="1" applyBorder="1" applyAlignment="1" applyProtection="1">
      <alignment horizontal="center" vertical="center"/>
    </xf>
    <xf numFmtId="0" fontId="3" fillId="0" borderId="80" xfId="0" applyFont="1" applyBorder="1" applyAlignment="1" applyProtection="1">
      <alignment horizontal="center" vertical="center"/>
    </xf>
    <xf numFmtId="1" fontId="18" fillId="11" borderId="53" xfId="0" applyNumberFormat="1" applyFont="1" applyFill="1" applyBorder="1" applyAlignment="1" applyProtection="1">
      <alignment horizontal="center" vertical="center"/>
    </xf>
    <xf numFmtId="0" fontId="40" fillId="9" borderId="0" xfId="0" applyFont="1" applyFill="1" applyBorder="1" applyAlignment="1" applyProtection="1">
      <alignment horizontal="center" wrapText="1"/>
    </xf>
    <xf numFmtId="0" fontId="6" fillId="11" borderId="56" xfId="0" applyFont="1" applyFill="1" applyBorder="1" applyAlignment="1" applyProtection="1">
      <alignment horizontal="center" vertical="center"/>
    </xf>
    <xf numFmtId="0" fontId="6" fillId="13" borderId="82" xfId="0" applyFont="1" applyFill="1" applyBorder="1" applyAlignment="1" applyProtection="1">
      <alignment horizontal="center" vertical="center"/>
    </xf>
    <xf numFmtId="0" fontId="6" fillId="13" borderId="83" xfId="0" applyFont="1" applyFill="1" applyBorder="1" applyAlignment="1" applyProtection="1">
      <alignment horizontal="center" vertical="center"/>
    </xf>
    <xf numFmtId="0" fontId="6" fillId="19" borderId="83" xfId="0" applyFont="1" applyFill="1" applyBorder="1" applyAlignment="1" applyProtection="1">
      <alignment horizontal="center" vertical="center"/>
    </xf>
    <xf numFmtId="0" fontId="6" fillId="16" borderId="83" xfId="0" applyFont="1" applyFill="1" applyBorder="1" applyAlignment="1" applyProtection="1">
      <alignment horizontal="center" vertical="center"/>
    </xf>
    <xf numFmtId="0" fontId="6" fillId="17" borderId="83" xfId="0" applyFont="1" applyFill="1" applyBorder="1" applyAlignment="1" applyProtection="1">
      <alignment horizontal="center" vertical="center"/>
    </xf>
    <xf numFmtId="0" fontId="6" fillId="17" borderId="84" xfId="0" applyFont="1" applyFill="1" applyBorder="1" applyAlignment="1" applyProtection="1">
      <alignment horizontal="center" vertical="center"/>
    </xf>
    <xf numFmtId="0" fontId="3" fillId="11" borderId="56" xfId="0" applyFont="1" applyFill="1" applyBorder="1" applyAlignment="1" applyProtection="1">
      <alignment horizontal="center"/>
    </xf>
    <xf numFmtId="0" fontId="41" fillId="9" borderId="0" xfId="0" applyFont="1" applyFill="1" applyProtection="1"/>
    <xf numFmtId="0" fontId="6" fillId="13" borderId="85" xfId="0" applyFont="1" applyFill="1" applyBorder="1" applyAlignment="1" applyProtection="1">
      <alignment horizontal="center" vertical="center"/>
    </xf>
    <xf numFmtId="0" fontId="6" fillId="13" borderId="86" xfId="0" applyFont="1" applyFill="1" applyBorder="1" applyAlignment="1" applyProtection="1">
      <alignment horizontal="center" vertical="center"/>
    </xf>
    <xf numFmtId="0" fontId="6" fillId="19" borderId="86" xfId="0" applyFont="1" applyFill="1" applyBorder="1" applyAlignment="1" applyProtection="1">
      <alignment horizontal="center" vertical="center"/>
    </xf>
    <xf numFmtId="0" fontId="6" fillId="16" borderId="86" xfId="0" applyFont="1" applyFill="1" applyBorder="1" applyAlignment="1" applyProtection="1">
      <alignment horizontal="center" vertical="center"/>
    </xf>
    <xf numFmtId="0" fontId="6" fillId="17" borderId="86" xfId="0" applyFont="1" applyFill="1" applyBorder="1" applyAlignment="1" applyProtection="1">
      <alignment horizontal="center" vertical="center"/>
    </xf>
    <xf numFmtId="0" fontId="6" fillId="17" borderId="87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0" fillId="9" borderId="0" xfId="0" applyFill="1" applyBorder="1" applyAlignment="1" applyProtection="1">
      <alignment horizontal="center" vertical="center"/>
    </xf>
    <xf numFmtId="0" fontId="0" fillId="11" borderId="76" xfId="0" applyFill="1" applyBorder="1" applyAlignment="1" applyProtection="1">
      <alignment horizontal="center" vertical="center"/>
    </xf>
    <xf numFmtId="0" fontId="0" fillId="11" borderId="77" xfId="0" applyFill="1" applyBorder="1" applyAlignment="1" applyProtection="1">
      <alignment horizontal="center" vertical="center"/>
    </xf>
    <xf numFmtId="0" fontId="0" fillId="11" borderId="77" xfId="0" applyFill="1" applyBorder="1" applyAlignment="1" applyProtection="1">
      <alignment horizontal="right"/>
    </xf>
    <xf numFmtId="0" fontId="0" fillId="11" borderId="77" xfId="0" applyFill="1" applyBorder="1" applyProtection="1"/>
    <xf numFmtId="0" fontId="25" fillId="11" borderId="77" xfId="0" applyFont="1" applyFill="1" applyBorder="1" applyProtection="1"/>
    <xf numFmtId="0" fontId="41" fillId="11" borderId="56" xfId="0" applyFont="1" applyFill="1" applyBorder="1" applyProtection="1"/>
    <xf numFmtId="0" fontId="41" fillId="11" borderId="0" xfId="0" applyFont="1" applyFill="1" applyBorder="1" applyProtection="1"/>
    <xf numFmtId="0" fontId="42" fillId="11" borderId="0" xfId="0" applyFont="1" applyFill="1" applyBorder="1" applyProtection="1"/>
    <xf numFmtId="0" fontId="18" fillId="11" borderId="0" xfId="0" applyFont="1" applyFill="1" applyBorder="1" applyAlignment="1" applyProtection="1">
      <alignment horizontal="center" vertical="center"/>
    </xf>
    <xf numFmtId="0" fontId="43" fillId="11" borderId="0" xfId="0" applyFont="1" applyFill="1" applyBorder="1" applyAlignment="1" applyProtection="1">
      <alignment horizontal="right"/>
    </xf>
    <xf numFmtId="0" fontId="37" fillId="11" borderId="0" xfId="0" applyFont="1" applyFill="1" applyBorder="1" applyAlignment="1" applyProtection="1">
      <alignment horizontal="center"/>
    </xf>
    <xf numFmtId="0" fontId="37" fillId="11" borderId="0" xfId="0" applyFont="1" applyFill="1" applyBorder="1" applyAlignment="1" applyProtection="1">
      <alignment horizontal="left"/>
    </xf>
    <xf numFmtId="0" fontId="0" fillId="0" borderId="0" xfId="0" applyFill="1" applyProtection="1"/>
    <xf numFmtId="0" fontId="0" fillId="11" borderId="76" xfId="0" applyFill="1" applyBorder="1" applyProtection="1"/>
    <xf numFmtId="0" fontId="25" fillId="9" borderId="0" xfId="0" applyFont="1" applyFill="1" applyProtection="1"/>
    <xf numFmtId="1" fontId="45" fillId="14" borderId="5" xfId="0" applyNumberFormat="1" applyFont="1" applyFill="1" applyBorder="1" applyAlignment="1" applyProtection="1">
      <alignment horizontal="center" vertical="center"/>
    </xf>
    <xf numFmtId="1" fontId="45" fillId="14" borderId="8" xfId="0" applyNumberFormat="1" applyFont="1" applyFill="1" applyBorder="1" applyAlignment="1" applyProtection="1">
      <alignment horizontal="center" vertical="center"/>
    </xf>
    <xf numFmtId="164" fontId="5" fillId="3" borderId="0" xfId="0" applyNumberFormat="1" applyFont="1" applyFill="1" applyBorder="1" applyAlignment="1" applyProtection="1">
      <alignment horizontal="center" vertical="center"/>
      <protection hidden="1"/>
    </xf>
    <xf numFmtId="164" fontId="5" fillId="4" borderId="25" xfId="0" applyNumberFormat="1" applyFont="1" applyFill="1" applyBorder="1" applyAlignment="1" applyProtection="1">
      <alignment horizontal="center" vertical="center"/>
      <protection hidden="1"/>
    </xf>
    <xf numFmtId="0" fontId="5" fillId="2" borderId="24" xfId="0" applyFont="1" applyFill="1" applyBorder="1" applyAlignment="1" applyProtection="1">
      <alignment horizontal="center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164" fontId="5" fillId="4" borderId="0" xfId="0" applyNumberFormat="1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5" fillId="2" borderId="23" xfId="0" applyFont="1" applyFill="1" applyBorder="1" applyAlignment="1" applyProtection="1">
      <alignment horizontal="center" vertical="center"/>
      <protection hidden="1"/>
    </xf>
    <xf numFmtId="0" fontId="19" fillId="2" borderId="0" xfId="0" applyFont="1" applyFill="1" applyBorder="1" applyAlignment="1">
      <alignment horizontal="left" vertical="center"/>
    </xf>
    <xf numFmtId="0" fontId="12" fillId="2" borderId="88" xfId="0" applyFont="1" applyFill="1" applyBorder="1" applyProtection="1">
      <protection hidden="1"/>
    </xf>
    <xf numFmtId="0" fontId="44" fillId="8" borderId="0" xfId="0" applyFont="1" applyFill="1" applyProtection="1">
      <protection hidden="1"/>
    </xf>
    <xf numFmtId="0" fontId="44" fillId="5" borderId="0" xfId="0" applyFont="1" applyFill="1" applyProtection="1">
      <protection hidden="1"/>
    </xf>
    <xf numFmtId="0" fontId="46" fillId="5" borderId="0" xfId="0" applyFont="1" applyFill="1"/>
    <xf numFmtId="0" fontId="44" fillId="5" borderId="0" xfId="0" applyFont="1" applyFill="1"/>
    <xf numFmtId="0" fontId="44" fillId="5" borderId="0" xfId="0" applyFont="1" applyFill="1" applyBorder="1"/>
    <xf numFmtId="0" fontId="5" fillId="3" borderId="11" xfId="0" applyFont="1" applyFill="1" applyBorder="1" applyAlignment="1" applyProtection="1">
      <alignment horizontal="center" vertical="center"/>
      <protection hidden="1"/>
    </xf>
    <xf numFmtId="0" fontId="5" fillId="6" borderId="11" xfId="0" applyFont="1" applyFill="1" applyBorder="1" applyAlignment="1" applyProtection="1">
      <alignment horizontal="center" vertical="center"/>
      <protection hidden="1"/>
    </xf>
    <xf numFmtId="0" fontId="5" fillId="7" borderId="11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locked="0" hidden="1"/>
    </xf>
    <xf numFmtId="0" fontId="5" fillId="6" borderId="13" xfId="0" applyFont="1" applyFill="1" applyBorder="1" applyAlignment="1" applyProtection="1">
      <alignment horizontal="center" vertical="center"/>
      <protection locked="0" hidden="1"/>
    </xf>
    <xf numFmtId="0" fontId="5" fillId="7" borderId="13" xfId="0" applyFont="1" applyFill="1" applyBorder="1" applyAlignment="1" applyProtection="1">
      <alignment horizontal="center" vertical="center"/>
      <protection locked="0" hidden="1"/>
    </xf>
    <xf numFmtId="0" fontId="14" fillId="0" borderId="0" xfId="0" applyFont="1" applyFill="1"/>
    <xf numFmtId="0" fontId="48" fillId="2" borderId="89" xfId="0" applyFont="1" applyFill="1" applyBorder="1" applyProtection="1">
      <protection hidden="1"/>
    </xf>
    <xf numFmtId="0" fontId="48" fillId="2" borderId="91" xfId="0" applyFont="1" applyFill="1" applyBorder="1" applyAlignment="1" applyProtection="1">
      <alignment horizontal="right"/>
      <protection hidden="1"/>
    </xf>
    <xf numFmtId="0" fontId="49" fillId="2" borderId="7" xfId="0" applyFont="1" applyFill="1" applyBorder="1" applyAlignment="1" applyProtection="1">
      <alignment horizontal="left" vertical="center"/>
      <protection hidden="1"/>
    </xf>
    <xf numFmtId="11" fontId="5" fillId="4" borderId="22" xfId="0" applyNumberFormat="1" applyFont="1" applyFill="1" applyBorder="1" applyAlignment="1" applyProtection="1">
      <alignment vertical="center"/>
      <protection hidden="1"/>
    </xf>
    <xf numFmtId="11" fontId="5" fillId="4" borderId="23" xfId="0" applyNumberFormat="1" applyFont="1" applyFill="1" applyBorder="1" applyAlignment="1" applyProtection="1">
      <alignment vertical="center"/>
      <protection hidden="1"/>
    </xf>
    <xf numFmtId="0" fontId="5" fillId="3" borderId="90" xfId="0" applyFont="1" applyFill="1" applyBorder="1" applyAlignment="1" applyProtection="1">
      <alignment horizontal="center" vertical="center"/>
      <protection hidden="1"/>
    </xf>
    <xf numFmtId="11" fontId="5" fillId="4" borderId="9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/>
    <xf numFmtId="0" fontId="25" fillId="0" borderId="0" xfId="0" applyFont="1" applyFill="1" applyBorder="1"/>
    <xf numFmtId="0" fontId="11" fillId="0" borderId="0" xfId="0" applyFont="1" applyFill="1" applyBorder="1" applyAlignment="1" applyProtection="1">
      <alignment vertical="center"/>
      <protection locked="0" hidden="1"/>
    </xf>
    <xf numFmtId="2" fontId="0" fillId="0" borderId="0" xfId="0" applyNumberFormat="1"/>
    <xf numFmtId="0" fontId="0" fillId="0" borderId="0" xfId="0" applyFill="1" applyBorder="1"/>
    <xf numFmtId="0" fontId="5" fillId="4" borderId="11" xfId="0" applyFont="1" applyFill="1" applyBorder="1" applyAlignment="1" applyProtection="1">
      <alignment horizontal="center" vertical="center"/>
      <protection hidden="1"/>
    </xf>
    <xf numFmtId="0" fontId="5" fillId="4" borderId="11" xfId="0" applyFont="1" applyFill="1" applyBorder="1" applyAlignment="1" applyProtection="1">
      <alignment horizontal="center"/>
      <protection hidden="1"/>
    </xf>
    <xf numFmtId="0" fontId="5" fillId="4" borderId="13" xfId="0" applyFont="1" applyFill="1" applyBorder="1" applyAlignment="1" applyProtection="1">
      <alignment horizontal="center" vertical="center"/>
      <protection locked="0" hidden="1"/>
    </xf>
    <xf numFmtId="0" fontId="5" fillId="4" borderId="13" xfId="0" applyFont="1" applyFill="1" applyBorder="1" applyAlignment="1" applyProtection="1">
      <alignment horizontal="center"/>
      <protection locked="0" hidden="1"/>
    </xf>
    <xf numFmtId="0" fontId="11" fillId="22" borderId="11" xfId="0" applyFont="1" applyFill="1" applyBorder="1" applyAlignment="1" applyProtection="1">
      <alignment horizontal="center" vertical="center"/>
      <protection hidden="1"/>
    </xf>
    <xf numFmtId="0" fontId="11" fillId="22" borderId="13" xfId="0" applyFont="1" applyFill="1" applyBorder="1" applyAlignment="1" applyProtection="1">
      <alignment horizontal="center" vertical="center"/>
      <protection locked="0" hidden="1"/>
    </xf>
    <xf numFmtId="0" fontId="0" fillId="0" borderId="0" xfId="0" applyAlignment="1">
      <alignment horizontal="right"/>
    </xf>
    <xf numFmtId="0" fontId="25" fillId="0" borderId="0" xfId="0" applyFont="1" applyFill="1"/>
    <xf numFmtId="2" fontId="0" fillId="0" borderId="0" xfId="0" applyNumberFormat="1" applyFill="1" applyBorder="1"/>
    <xf numFmtId="2" fontId="5" fillId="0" borderId="0" xfId="0" applyNumberFormat="1" applyFont="1" applyFill="1" applyBorder="1" applyAlignment="1" applyProtection="1">
      <protection hidden="1"/>
    </xf>
    <xf numFmtId="2" fontId="5" fillId="0" borderId="0" xfId="0" applyNumberFormat="1" applyFont="1" applyFill="1" applyBorder="1" applyAlignment="1" applyProtection="1">
      <protection locked="0" hidden="1"/>
    </xf>
    <xf numFmtId="2" fontId="5" fillId="0" borderId="0" xfId="0" applyNumberFormat="1" applyFont="1" applyFill="1" applyBorder="1" applyAlignment="1" applyProtection="1">
      <alignment vertical="center"/>
      <protection hidden="1"/>
    </xf>
    <xf numFmtId="2" fontId="5" fillId="0" borderId="0" xfId="0" applyNumberFormat="1" applyFont="1" applyFill="1" applyBorder="1" applyAlignment="1" applyProtection="1">
      <alignment vertical="center"/>
      <protection locked="0" hidden="1"/>
    </xf>
    <xf numFmtId="0" fontId="0" fillId="13" borderId="0" xfId="0" applyFill="1"/>
    <xf numFmtId="0" fontId="25" fillId="13" borderId="0" xfId="0" applyFont="1" applyFill="1" applyBorder="1"/>
    <xf numFmtId="2" fontId="0" fillId="13" borderId="0" xfId="0" applyNumberFormat="1" applyFill="1"/>
    <xf numFmtId="0" fontId="25" fillId="0" borderId="0" xfId="0" applyFont="1" applyFill="1" applyAlignment="1">
      <alignment horizontal="left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center"/>
      <protection locked="0" hidden="1"/>
    </xf>
    <xf numFmtId="0" fontId="0" fillId="14" borderId="0" xfId="0" applyFill="1"/>
    <xf numFmtId="0" fontId="6" fillId="2" borderId="4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0" fillId="2" borderId="6" xfId="0" applyFill="1" applyBorder="1"/>
    <xf numFmtId="0" fontId="0" fillId="2" borderId="8" xfId="0" applyFill="1" applyBorder="1"/>
    <xf numFmtId="0" fontId="52" fillId="14" borderId="0" xfId="0" applyFont="1" applyFill="1"/>
    <xf numFmtId="1" fontId="52" fillId="14" borderId="0" xfId="0" applyNumberFormat="1" applyFont="1" applyFill="1"/>
    <xf numFmtId="0" fontId="12" fillId="14" borderId="0" xfId="0" applyFont="1" applyFill="1"/>
    <xf numFmtId="0" fontId="50" fillId="2" borderId="92" xfId="0" applyFont="1" applyFill="1" applyBorder="1" applyAlignment="1" applyProtection="1">
      <alignment horizontal="center" vertical="center"/>
      <protection locked="0"/>
    </xf>
    <xf numFmtId="0" fontId="5" fillId="15" borderId="4" xfId="0" applyFont="1" applyFill="1" applyBorder="1" applyAlignment="1" applyProtection="1">
      <alignment vertical="center" wrapText="1"/>
    </xf>
    <xf numFmtId="0" fontId="5" fillId="15" borderId="6" xfId="0" applyFont="1" applyFill="1" applyBorder="1" applyAlignment="1" applyProtection="1">
      <alignment vertical="center" wrapText="1"/>
    </xf>
    <xf numFmtId="0" fontId="5" fillId="15" borderId="70" xfId="0" applyFont="1" applyFill="1" applyBorder="1" applyAlignment="1" applyProtection="1">
      <alignment vertical="center"/>
    </xf>
    <xf numFmtId="0" fontId="30" fillId="12" borderId="59" xfId="0" applyFont="1" applyFill="1" applyBorder="1" applyAlignment="1" applyProtection="1"/>
    <xf numFmtId="0" fontId="30" fillId="12" borderId="58" xfId="0" applyFont="1" applyFill="1" applyBorder="1" applyAlignment="1" applyProtection="1"/>
    <xf numFmtId="0" fontId="29" fillId="12" borderId="57" xfId="0" applyFont="1" applyFill="1" applyBorder="1" applyAlignment="1" applyProtection="1">
      <alignment vertical="center"/>
    </xf>
    <xf numFmtId="0" fontId="30" fillId="12" borderId="58" xfId="0" applyFont="1" applyFill="1" applyBorder="1" applyAlignment="1" applyProtection="1">
      <alignment horizontal="center" vertical="center"/>
    </xf>
    <xf numFmtId="1" fontId="54" fillId="12" borderId="58" xfId="0" applyNumberFormat="1" applyFont="1" applyFill="1" applyBorder="1" applyAlignment="1" applyProtection="1">
      <alignment vertical="center"/>
    </xf>
    <xf numFmtId="0" fontId="30" fillId="12" borderId="59" xfId="0" applyFont="1" applyFill="1" applyBorder="1" applyAlignment="1" applyProtection="1">
      <alignment horizontal="center" vertical="center"/>
    </xf>
    <xf numFmtId="1" fontId="54" fillId="12" borderId="58" xfId="0" applyNumberFormat="1" applyFont="1" applyFill="1" applyBorder="1" applyAlignment="1" applyProtection="1">
      <alignment horizontal="center" vertical="center"/>
    </xf>
    <xf numFmtId="1" fontId="55" fillId="12" borderId="58" xfId="0" applyNumberFormat="1" applyFont="1" applyFill="1" applyBorder="1" applyAlignment="1" applyProtection="1">
      <alignment horizontal="right" vertical="center"/>
    </xf>
    <xf numFmtId="1" fontId="56" fillId="12" borderId="58" xfId="0" applyNumberFormat="1" applyFont="1" applyFill="1" applyBorder="1" applyAlignment="1" applyProtection="1">
      <alignment horizontal="center" vertical="center"/>
    </xf>
    <xf numFmtId="0" fontId="57" fillId="12" borderId="0" xfId="0" applyFont="1" applyFill="1" applyBorder="1" applyAlignment="1" applyProtection="1">
      <alignment horizontal="left" vertical="center"/>
      <protection locked="0"/>
    </xf>
    <xf numFmtId="1" fontId="32" fillId="14" borderId="0" xfId="0" applyNumberFormat="1" applyFont="1" applyFill="1" applyBorder="1" applyAlignment="1" applyProtection="1">
      <alignment horizontal="center"/>
    </xf>
    <xf numFmtId="1" fontId="35" fillId="14" borderId="7" xfId="0" applyNumberFormat="1" applyFont="1" applyFill="1" applyBorder="1" applyAlignment="1" applyProtection="1">
      <alignment horizontal="center"/>
    </xf>
    <xf numFmtId="0" fontId="0" fillId="14" borderId="0" xfId="0" applyFill="1" applyAlignment="1">
      <alignment horizontal="center" vertical="center"/>
    </xf>
    <xf numFmtId="1" fontId="0" fillId="14" borderId="0" xfId="0" applyNumberFormat="1" applyFill="1"/>
    <xf numFmtId="1" fontId="58" fillId="2" borderId="2" xfId="0" applyNumberFormat="1" applyFont="1" applyFill="1" applyBorder="1" applyAlignment="1">
      <alignment horizontal="center" vertical="center"/>
    </xf>
    <xf numFmtId="0" fontId="58" fillId="2" borderId="3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0" borderId="59" xfId="0" applyFill="1" applyBorder="1"/>
    <xf numFmtId="0" fontId="0" fillId="20" borderId="58" xfId="0" applyFill="1" applyBorder="1"/>
    <xf numFmtId="0" fontId="21" fillId="20" borderId="58" xfId="0" applyFont="1" applyFill="1" applyBorder="1" applyAlignment="1">
      <alignment horizontal="center" vertical="center"/>
    </xf>
    <xf numFmtId="0" fontId="0" fillId="20" borderId="57" xfId="0" applyFill="1" applyBorder="1"/>
    <xf numFmtId="0" fontId="13" fillId="2" borderId="1" xfId="0" applyFont="1" applyFill="1" applyBorder="1" applyAlignment="1">
      <alignment horizontal="right" vertical="center"/>
    </xf>
    <xf numFmtId="0" fontId="13" fillId="2" borderId="6" xfId="0" applyFont="1" applyFill="1" applyBorder="1" applyAlignment="1">
      <alignment horizontal="right" vertical="center"/>
    </xf>
    <xf numFmtId="1" fontId="59" fillId="2" borderId="98" xfId="0" applyNumberFormat="1" applyFont="1" applyFill="1" applyBorder="1" applyAlignment="1">
      <alignment horizontal="center" vertical="center"/>
    </xf>
    <xf numFmtId="1" fontId="59" fillId="2" borderId="99" xfId="0" applyNumberFormat="1" applyFont="1" applyFill="1" applyBorder="1" applyAlignment="1">
      <alignment horizontal="center" vertical="center"/>
    </xf>
    <xf numFmtId="1" fontId="59" fillId="2" borderId="100" xfId="0" applyNumberFormat="1" applyFont="1" applyFill="1" applyBorder="1" applyAlignment="1">
      <alignment horizontal="center" vertical="center"/>
    </xf>
    <xf numFmtId="1" fontId="58" fillId="2" borderId="102" xfId="0" applyNumberFormat="1" applyFont="1" applyFill="1" applyBorder="1" applyAlignment="1">
      <alignment horizontal="center" vertical="center"/>
    </xf>
    <xf numFmtId="1" fontId="59" fillId="2" borderId="103" xfId="0" applyNumberFormat="1" applyFont="1" applyFill="1" applyBorder="1" applyAlignment="1">
      <alignment horizontal="center" vertical="center"/>
    </xf>
    <xf numFmtId="0" fontId="21" fillId="20" borderId="101" xfId="0" applyFont="1" applyFill="1" applyBorder="1" applyAlignment="1">
      <alignment horizontal="center" vertical="center"/>
    </xf>
    <xf numFmtId="0" fontId="61" fillId="2" borderId="2" xfId="0" applyFont="1" applyFill="1" applyBorder="1" applyAlignment="1" applyProtection="1">
      <alignment horizontal="center" vertical="center"/>
      <protection locked="0"/>
    </xf>
    <xf numFmtId="0" fontId="61" fillId="2" borderId="7" xfId="0" applyFont="1" applyFill="1" applyBorder="1" applyAlignment="1" applyProtection="1">
      <alignment horizontal="center" vertical="center"/>
      <protection locked="0"/>
    </xf>
    <xf numFmtId="0" fontId="62" fillId="2" borderId="2" xfId="0" applyFont="1" applyFill="1" applyBorder="1" applyAlignment="1" applyProtection="1">
      <alignment horizontal="center" vertical="center"/>
      <protection locked="0"/>
    </xf>
    <xf numFmtId="0" fontId="62" fillId="2" borderId="7" xfId="0" applyFont="1" applyFill="1" applyBorder="1" applyAlignment="1" applyProtection="1">
      <alignment horizontal="center" vertical="center"/>
      <protection locked="0"/>
    </xf>
    <xf numFmtId="0" fontId="62" fillId="2" borderId="3" xfId="0" applyFont="1" applyFill="1" applyBorder="1" applyAlignment="1" applyProtection="1">
      <alignment horizontal="center" vertical="center"/>
      <protection locked="0"/>
    </xf>
    <xf numFmtId="164" fontId="58" fillId="2" borderId="102" xfId="0" applyNumberFormat="1" applyFont="1" applyFill="1" applyBorder="1" applyAlignment="1">
      <alignment horizontal="center" vertical="center"/>
    </xf>
    <xf numFmtId="164" fontId="58" fillId="2" borderId="2" xfId="0" applyNumberFormat="1" applyFont="1" applyFill="1" applyBorder="1" applyAlignment="1">
      <alignment horizontal="center" vertical="center"/>
    </xf>
    <xf numFmtId="0" fontId="44" fillId="2" borderId="7" xfId="0" applyFont="1" applyFill="1" applyBorder="1"/>
    <xf numFmtId="0" fontId="17" fillId="13" borderId="8" xfId="0" applyFont="1" applyFill="1" applyBorder="1" applyAlignment="1" applyProtection="1">
      <alignment horizontal="center" vertical="center"/>
      <protection locked="0"/>
    </xf>
    <xf numFmtId="0" fontId="17" fillId="13" borderId="61" xfId="0" applyFont="1" applyFill="1" applyBorder="1" applyAlignment="1" applyProtection="1">
      <alignment horizontal="center" vertical="center"/>
      <protection locked="0"/>
    </xf>
    <xf numFmtId="0" fontId="17" fillId="15" borderId="5" xfId="0" applyFont="1" applyFill="1" applyBorder="1" applyAlignment="1" applyProtection="1">
      <alignment horizontal="center" vertical="center"/>
      <protection locked="0"/>
    </xf>
    <xf numFmtId="0" fontId="17" fillId="15" borderId="61" xfId="0" applyFont="1" applyFill="1" applyBorder="1" applyAlignment="1" applyProtection="1">
      <alignment horizontal="center" vertical="center"/>
      <protection locked="0"/>
    </xf>
    <xf numFmtId="0" fontId="17" fillId="16" borderId="5" xfId="0" applyFont="1" applyFill="1" applyBorder="1" applyAlignment="1" applyProtection="1">
      <alignment horizontal="center" vertical="center"/>
      <protection locked="0"/>
    </xf>
    <xf numFmtId="0" fontId="17" fillId="16" borderId="61" xfId="0" applyFont="1" applyFill="1" applyBorder="1" applyAlignment="1" applyProtection="1">
      <alignment horizontal="center" vertical="center"/>
      <protection locked="0"/>
    </xf>
    <xf numFmtId="0" fontId="17" fillId="17" borderId="5" xfId="0" applyFont="1" applyFill="1" applyBorder="1" applyAlignment="1" applyProtection="1">
      <alignment horizontal="center"/>
      <protection locked="0"/>
    </xf>
    <xf numFmtId="0" fontId="17" fillId="17" borderId="5" xfId="0" applyFont="1" applyFill="1" applyBorder="1" applyAlignment="1" applyProtection="1">
      <alignment horizontal="center" vertical="center"/>
      <protection locked="0"/>
    </xf>
    <xf numFmtId="0" fontId="14" fillId="9" borderId="0" xfId="0" applyFont="1" applyFill="1" applyProtection="1"/>
    <xf numFmtId="0" fontId="25" fillId="0" borderId="0" xfId="0" applyFont="1" applyProtection="1"/>
    <xf numFmtId="0" fontId="25" fillId="9" borderId="0" xfId="0" applyFont="1" applyFill="1" applyBorder="1" applyAlignment="1" applyProtection="1">
      <alignment horizontal="center" vertical="center"/>
    </xf>
    <xf numFmtId="0" fontId="25" fillId="9" borderId="0" xfId="0" applyFont="1" applyFill="1" applyAlignment="1" applyProtection="1">
      <alignment horizontal="center" vertical="center"/>
    </xf>
    <xf numFmtId="0" fontId="25" fillId="11" borderId="0" xfId="0" applyFont="1" applyFill="1" applyBorder="1" applyAlignment="1" applyProtection="1">
      <alignment horizontal="center" vertical="center"/>
    </xf>
    <xf numFmtId="0" fontId="25" fillId="11" borderId="0" xfId="0" applyFont="1" applyFill="1" applyBorder="1" applyAlignment="1" applyProtection="1">
      <alignment horizontal="right"/>
    </xf>
    <xf numFmtId="1" fontId="1" fillId="18" borderId="22" xfId="0" applyNumberFormat="1" applyFont="1" applyFill="1" applyBorder="1" applyAlignment="1" applyProtection="1">
      <alignment horizontal="center" vertical="center"/>
    </xf>
    <xf numFmtId="1" fontId="1" fillId="16" borderId="19" xfId="0" applyNumberFormat="1" applyFont="1" applyFill="1" applyBorder="1" applyAlignment="1" applyProtection="1">
      <alignment horizontal="center" vertical="center"/>
    </xf>
    <xf numFmtId="1" fontId="1" fillId="16" borderId="22" xfId="0" applyNumberFormat="1" applyFont="1" applyFill="1" applyBorder="1" applyAlignment="1" applyProtection="1">
      <alignment horizontal="center" vertical="center"/>
    </xf>
    <xf numFmtId="1" fontId="1" fillId="16" borderId="24" xfId="0" applyNumberFormat="1" applyFont="1" applyFill="1" applyBorder="1" applyAlignment="1" applyProtection="1">
      <alignment horizontal="center" vertical="center"/>
    </xf>
    <xf numFmtId="1" fontId="0" fillId="15" borderId="19" xfId="0" applyNumberFormat="1" applyFill="1" applyBorder="1" applyAlignment="1" applyProtection="1">
      <alignment horizontal="center" vertical="center"/>
    </xf>
    <xf numFmtId="1" fontId="0" fillId="15" borderId="22" xfId="0" applyNumberFormat="1" applyFill="1" applyBorder="1" applyAlignment="1" applyProtection="1">
      <alignment horizontal="center" vertical="center"/>
    </xf>
    <xf numFmtId="1" fontId="1" fillId="15" borderId="105" xfId="0" applyNumberFormat="1" applyFont="1" applyFill="1" applyBorder="1" applyAlignment="1" applyProtection="1">
      <alignment horizontal="center" vertical="center"/>
    </xf>
    <xf numFmtId="1" fontId="1" fillId="15" borderId="67" xfId="0" applyNumberFormat="1" applyFont="1" applyFill="1" applyBorder="1" applyAlignment="1" applyProtection="1">
      <alignment horizontal="center" vertical="center"/>
    </xf>
    <xf numFmtId="0" fontId="64" fillId="11" borderId="0" xfId="0" applyFont="1" applyFill="1" applyBorder="1" applyProtection="1"/>
    <xf numFmtId="0" fontId="64" fillId="11" borderId="0" xfId="0" applyFont="1" applyFill="1" applyBorder="1" applyAlignment="1" applyProtection="1">
      <alignment horizontal="center" vertical="center"/>
    </xf>
    <xf numFmtId="9" fontId="22" fillId="9" borderId="0" xfId="0" applyNumberFormat="1" applyFont="1" applyFill="1" applyBorder="1" applyProtection="1"/>
    <xf numFmtId="0" fontId="22" fillId="0" borderId="0" xfId="0" applyFont="1" applyProtection="1"/>
    <xf numFmtId="0" fontId="30" fillId="12" borderId="58" xfId="0" applyFont="1" applyFill="1" applyBorder="1" applyAlignment="1" applyProtection="1">
      <alignment horizontal="center"/>
    </xf>
    <xf numFmtId="0" fontId="65" fillId="14" borderId="3" xfId="0" applyFont="1" applyFill="1" applyBorder="1" applyAlignment="1" applyProtection="1">
      <alignment horizontal="left" vertical="center"/>
    </xf>
    <xf numFmtId="0" fontId="31" fillId="14" borderId="7" xfId="0" applyFont="1" applyFill="1" applyBorder="1" applyAlignment="1" applyProtection="1">
      <alignment horizontal="left" vertical="center"/>
    </xf>
    <xf numFmtId="0" fontId="65" fillId="14" borderId="5" xfId="0" applyFont="1" applyFill="1" applyBorder="1" applyAlignment="1" applyProtection="1">
      <alignment horizontal="left" vertical="center"/>
      <protection locked="0"/>
    </xf>
    <xf numFmtId="0" fontId="22" fillId="9" borderId="0" xfId="0" applyFont="1" applyFill="1" applyAlignment="1" applyProtection="1">
      <alignment horizontal="right"/>
    </xf>
    <xf numFmtId="0" fontId="40" fillId="9" borderId="0" xfId="0" applyFont="1" applyFill="1" applyBorder="1" applyAlignment="1" applyProtection="1">
      <alignment horizontal="right" vertical="center"/>
    </xf>
    <xf numFmtId="0" fontId="40" fillId="9" borderId="0" xfId="0" applyFont="1" applyFill="1" applyBorder="1" applyProtection="1"/>
    <xf numFmtId="0" fontId="0" fillId="12" borderId="0" xfId="0" applyFill="1"/>
    <xf numFmtId="0" fontId="0" fillId="12" borderId="0" xfId="0" applyFont="1" applyFill="1"/>
    <xf numFmtId="1" fontId="0" fillId="12" borderId="0" xfId="0" applyNumberFormat="1" applyFill="1"/>
    <xf numFmtId="0" fontId="0" fillId="12" borderId="0" xfId="0" applyFill="1" applyBorder="1"/>
    <xf numFmtId="0" fontId="0" fillId="10" borderId="0" xfId="0" applyFill="1" applyBorder="1"/>
    <xf numFmtId="0" fontId="3" fillId="11" borderId="0" xfId="0" applyFont="1" applyFill="1" applyBorder="1"/>
    <xf numFmtId="0" fontId="37" fillId="11" borderId="0" xfId="0" applyFont="1" applyFill="1" applyBorder="1"/>
    <xf numFmtId="0" fontId="0" fillId="11" borderId="0" xfId="0" applyFill="1" applyBorder="1"/>
    <xf numFmtId="0" fontId="37" fillId="11" borderId="0" xfId="0" applyFont="1" applyFill="1" applyBorder="1" applyProtection="1">
      <protection locked="0"/>
    </xf>
    <xf numFmtId="0" fontId="64" fillId="12" borderId="0" xfId="0" applyFont="1" applyFill="1"/>
    <xf numFmtId="0" fontId="69" fillId="12" borderId="0" xfId="0" applyFont="1" applyFill="1"/>
    <xf numFmtId="0" fontId="64" fillId="12" borderId="0" xfId="0" applyFont="1" applyFill="1" applyBorder="1"/>
    <xf numFmtId="0" fontId="15" fillId="14" borderId="4" xfId="1" applyFont="1" applyFill="1" applyBorder="1" applyAlignment="1" applyProtection="1">
      <alignment horizontal="center" wrapText="1"/>
    </xf>
    <xf numFmtId="0" fontId="37" fillId="10" borderId="0" xfId="0" applyFont="1" applyFill="1" applyBorder="1" applyAlignment="1" applyProtection="1">
      <alignment horizontal="center" vertical="center"/>
      <protection locked="0"/>
    </xf>
    <xf numFmtId="0" fontId="68" fillId="10" borderId="0" xfId="0" applyFont="1" applyFill="1" applyBorder="1" applyAlignment="1">
      <alignment horizontal="center" wrapText="1"/>
    </xf>
    <xf numFmtId="0" fontId="3" fillId="14" borderId="4" xfId="0" applyFont="1" applyFill="1" applyBorder="1" applyAlignment="1">
      <alignment horizontal="center" vertical="center"/>
    </xf>
    <xf numFmtId="0" fontId="3" fillId="14" borderId="106" xfId="0" applyFont="1" applyFill="1" applyBorder="1" applyAlignment="1">
      <alignment horizontal="center" vertical="center"/>
    </xf>
    <xf numFmtId="0" fontId="37" fillId="10" borderId="107" xfId="0" applyFont="1" applyFill="1" applyBorder="1" applyAlignment="1" applyProtection="1">
      <alignment horizontal="center" vertical="center"/>
      <protection locked="0"/>
    </xf>
    <xf numFmtId="0" fontId="68" fillId="10" borderId="107" xfId="0" applyFont="1" applyFill="1" applyBorder="1" applyAlignment="1">
      <alignment horizontal="center" wrapText="1"/>
    </xf>
    <xf numFmtId="0" fontId="3" fillId="14" borderId="109" xfId="0" applyFont="1" applyFill="1" applyBorder="1" applyAlignment="1">
      <alignment horizontal="center" vertical="center"/>
    </xf>
    <xf numFmtId="0" fontId="37" fillId="10" borderId="110" xfId="0" applyFont="1" applyFill="1" applyBorder="1" applyAlignment="1" applyProtection="1">
      <alignment horizontal="center" vertical="center"/>
      <protection locked="0"/>
    </xf>
    <xf numFmtId="0" fontId="68" fillId="10" borderId="110" xfId="0" applyFont="1" applyFill="1" applyBorder="1" applyAlignment="1">
      <alignment horizontal="center" wrapText="1"/>
    </xf>
    <xf numFmtId="0" fontId="15" fillId="14" borderId="106" xfId="1" applyFont="1" applyFill="1" applyBorder="1" applyAlignment="1" applyProtection="1">
      <alignment horizontal="center" wrapText="1"/>
    </xf>
    <xf numFmtId="0" fontId="15" fillId="14" borderId="109" xfId="1" applyFont="1" applyFill="1" applyBorder="1" applyAlignment="1" applyProtection="1">
      <alignment horizontal="center" wrapText="1"/>
    </xf>
    <xf numFmtId="0" fontId="15" fillId="10" borderId="0" xfId="0" applyFont="1" applyFill="1" applyBorder="1" applyAlignment="1" applyProtection="1">
      <alignment horizontal="center" vertical="center"/>
      <protection locked="0"/>
    </xf>
    <xf numFmtId="0" fontId="3" fillId="10" borderId="107" xfId="0" applyFont="1" applyFill="1" applyBorder="1" applyAlignment="1" applyProtection="1">
      <alignment horizontal="center" vertical="center"/>
      <protection locked="0"/>
    </xf>
    <xf numFmtId="0" fontId="3" fillId="10" borderId="110" xfId="0" applyFont="1" applyFill="1" applyBorder="1" applyAlignment="1" applyProtection="1">
      <alignment horizontal="center" vertical="center"/>
      <protection locked="0"/>
    </xf>
    <xf numFmtId="1" fontId="72" fillId="10" borderId="5" xfId="0" applyNumberFormat="1" applyFont="1" applyFill="1" applyBorder="1" applyAlignment="1">
      <alignment horizontal="center"/>
    </xf>
    <xf numFmtId="1" fontId="72" fillId="10" borderId="108" xfId="0" applyNumberFormat="1" applyFont="1" applyFill="1" applyBorder="1" applyAlignment="1">
      <alignment horizontal="center"/>
    </xf>
    <xf numFmtId="1" fontId="72" fillId="10" borderId="111" xfId="0" applyNumberFormat="1" applyFont="1" applyFill="1" applyBorder="1" applyAlignment="1">
      <alignment horizontal="center"/>
    </xf>
    <xf numFmtId="0" fontId="71" fillId="10" borderId="0" xfId="0" applyFont="1" applyFill="1" applyBorder="1" applyAlignment="1">
      <alignment horizontal="center" vertical="center"/>
    </xf>
    <xf numFmtId="0" fontId="71" fillId="10" borderId="107" xfId="0" applyFont="1" applyFill="1" applyBorder="1" applyAlignment="1">
      <alignment horizontal="center" vertical="center"/>
    </xf>
    <xf numFmtId="0" fontId="71" fillId="10" borderId="110" xfId="0" applyFont="1" applyFill="1" applyBorder="1" applyAlignment="1">
      <alignment horizontal="center" vertical="center"/>
    </xf>
    <xf numFmtId="0" fontId="0" fillId="11" borderId="78" xfId="0" applyFill="1" applyBorder="1"/>
    <xf numFmtId="0" fontId="0" fillId="11" borderId="76" xfId="0" applyFill="1" applyBorder="1"/>
    <xf numFmtId="0" fontId="0" fillId="11" borderId="60" xfId="0" applyFill="1" applyBorder="1"/>
    <xf numFmtId="0" fontId="0" fillId="11" borderId="56" xfId="0" applyFill="1" applyBorder="1"/>
    <xf numFmtId="0" fontId="64" fillId="11" borderId="56" xfId="0" applyFont="1" applyFill="1" applyBorder="1"/>
    <xf numFmtId="0" fontId="0" fillId="11" borderId="54" xfId="0" applyFill="1" applyBorder="1"/>
    <xf numFmtId="1" fontId="64" fillId="11" borderId="53" xfId="0" applyNumberFormat="1" applyFont="1" applyFill="1" applyBorder="1"/>
    <xf numFmtId="0" fontId="0" fillId="11" borderId="53" xfId="0" applyFill="1" applyBorder="1"/>
    <xf numFmtId="0" fontId="0" fillId="11" borderId="52" xfId="0" applyFill="1" applyBorder="1"/>
    <xf numFmtId="0" fontId="0" fillId="12" borderId="0" xfId="0" applyFont="1" applyFill="1" applyBorder="1"/>
    <xf numFmtId="0" fontId="25" fillId="12" borderId="0" xfId="1" applyFont="1" applyFill="1" applyBorder="1" applyAlignment="1" applyProtection="1">
      <alignment horizontal="center" wrapText="1"/>
    </xf>
    <xf numFmtId="1" fontId="72" fillId="10" borderId="5" xfId="0" applyNumberFormat="1" applyFont="1" applyFill="1" applyBorder="1" applyAlignment="1">
      <alignment horizontal="center" vertical="center"/>
    </xf>
    <xf numFmtId="1" fontId="72" fillId="10" borderId="108" xfId="0" applyNumberFormat="1" applyFont="1" applyFill="1" applyBorder="1" applyAlignment="1">
      <alignment horizontal="center" vertical="center"/>
    </xf>
    <xf numFmtId="1" fontId="72" fillId="10" borderId="111" xfId="0" applyNumberFormat="1" applyFont="1" applyFill="1" applyBorder="1" applyAlignment="1">
      <alignment horizontal="center" vertical="center"/>
    </xf>
    <xf numFmtId="0" fontId="3" fillId="10" borderId="0" xfId="0" applyFont="1" applyFill="1" applyBorder="1" applyAlignment="1" applyProtection="1">
      <alignment horizontal="center" vertical="center"/>
      <protection locked="0"/>
    </xf>
    <xf numFmtId="0" fontId="3" fillId="10" borderId="22" xfId="0" applyFont="1" applyFill="1" applyBorder="1" applyAlignment="1">
      <alignment horizontal="right" vertical="center"/>
    </xf>
    <xf numFmtId="0" fontId="0" fillId="10" borderId="23" xfId="0" applyFill="1" applyBorder="1"/>
    <xf numFmtId="0" fontId="3" fillId="10" borderId="114" xfId="0" applyFont="1" applyFill="1" applyBorder="1" applyAlignment="1">
      <alignment horizontal="right" vertical="center"/>
    </xf>
    <xf numFmtId="0" fontId="0" fillId="10" borderId="107" xfId="0" applyFill="1" applyBorder="1"/>
    <xf numFmtId="0" fontId="0" fillId="10" borderId="115" xfId="0" applyFill="1" applyBorder="1"/>
    <xf numFmtId="0" fontId="69" fillId="12" borderId="0" xfId="0" applyFont="1" applyFill="1" applyBorder="1"/>
    <xf numFmtId="0" fontId="74" fillId="12" borderId="0" xfId="0" applyFont="1" applyFill="1" applyBorder="1" applyAlignment="1">
      <alignment horizontal="center" vertical="center"/>
    </xf>
    <xf numFmtId="0" fontId="69" fillId="12" borderId="0" xfId="0" applyFont="1" applyFill="1" applyBorder="1" applyAlignment="1">
      <alignment horizontal="center" wrapText="1"/>
    </xf>
    <xf numFmtId="0" fontId="69" fillId="12" borderId="0" xfId="0" applyFont="1" applyFill="1" applyBorder="1" applyAlignment="1">
      <alignment horizontal="center"/>
    </xf>
    <xf numFmtId="0" fontId="69" fillId="12" borderId="0" xfId="0" applyFont="1" applyFill="1" applyBorder="1" applyAlignment="1">
      <alignment horizontal="left"/>
    </xf>
    <xf numFmtId="0" fontId="0" fillId="11" borderId="77" xfId="0" applyFill="1" applyBorder="1"/>
    <xf numFmtId="0" fontId="0" fillId="10" borderId="22" xfId="0" applyFill="1" applyBorder="1" applyAlignment="1"/>
    <xf numFmtId="0" fontId="0" fillId="10" borderId="0" xfId="0" applyFill="1" applyBorder="1" applyAlignment="1"/>
    <xf numFmtId="0" fontId="0" fillId="10" borderId="23" xfId="0" applyFill="1" applyBorder="1" applyAlignment="1">
      <alignment horizontal="center" vertical="center"/>
    </xf>
    <xf numFmtId="0" fontId="3" fillId="10" borderId="23" xfId="0" applyFont="1" applyFill="1" applyBorder="1" applyAlignment="1">
      <alignment horizontal="center" vertical="center"/>
    </xf>
    <xf numFmtId="0" fontId="0" fillId="10" borderId="22" xfId="0" applyFill="1" applyBorder="1"/>
    <xf numFmtId="0" fontId="29" fillId="10" borderId="0" xfId="0" applyFont="1" applyFill="1" applyBorder="1"/>
    <xf numFmtId="0" fontId="0" fillId="10" borderId="24" xfId="0" applyFill="1" applyBorder="1"/>
    <xf numFmtId="0" fontId="29" fillId="10" borderId="25" xfId="0" applyFont="1" applyFill="1" applyBorder="1"/>
    <xf numFmtId="0" fontId="0" fillId="10" borderId="26" xfId="0" applyFill="1" applyBorder="1"/>
    <xf numFmtId="0" fontId="70" fillId="22" borderId="19" xfId="0" applyFont="1" applyFill="1" applyBorder="1"/>
    <xf numFmtId="0" fontId="64" fillId="22" borderId="20" xfId="0" applyFont="1" applyFill="1" applyBorder="1"/>
    <xf numFmtId="0" fontId="64" fillId="22" borderId="21" xfId="0" applyFont="1" applyFill="1" applyBorder="1"/>
    <xf numFmtId="0" fontId="76" fillId="10" borderId="0" xfId="0" applyFont="1" applyFill="1" applyBorder="1"/>
    <xf numFmtId="0" fontId="75" fillId="10" borderId="29" xfId="0" applyFont="1" applyFill="1" applyBorder="1" applyAlignment="1" applyProtection="1">
      <alignment horizontal="center" vertical="center"/>
      <protection locked="0"/>
    </xf>
    <xf numFmtId="0" fontId="3" fillId="10" borderId="28" xfId="0" applyFont="1" applyFill="1" applyBorder="1" applyAlignment="1">
      <alignment horizontal="right" vertical="center"/>
    </xf>
    <xf numFmtId="0" fontId="0" fillId="10" borderId="116" xfId="0" applyFill="1" applyBorder="1"/>
    <xf numFmtId="0" fontId="0" fillId="10" borderId="29" xfId="0" applyFill="1" applyBorder="1"/>
    <xf numFmtId="0" fontId="0" fillId="11" borderId="117" xfId="0" applyFill="1" applyBorder="1"/>
    <xf numFmtId="0" fontId="64" fillId="11" borderId="76" xfId="0" applyFont="1" applyFill="1" applyBorder="1"/>
    <xf numFmtId="1" fontId="64" fillId="11" borderId="56" xfId="0" applyNumberFormat="1" applyFont="1" applyFill="1" applyBorder="1"/>
    <xf numFmtId="0" fontId="64" fillId="11" borderId="52" xfId="0" applyFont="1" applyFill="1" applyBorder="1"/>
    <xf numFmtId="0" fontId="64" fillId="11" borderId="78" xfId="0" applyFont="1" applyFill="1" applyBorder="1"/>
    <xf numFmtId="0" fontId="64" fillId="11" borderId="77" xfId="0" applyFont="1" applyFill="1" applyBorder="1"/>
    <xf numFmtId="0" fontId="70" fillId="11" borderId="77" xfId="0" applyFont="1" applyFill="1" applyBorder="1" applyAlignment="1"/>
    <xf numFmtId="0" fontId="64" fillId="11" borderId="60" xfId="0" applyFont="1" applyFill="1" applyBorder="1"/>
    <xf numFmtId="0" fontId="64" fillId="11" borderId="54" xfId="0" applyFont="1" applyFill="1" applyBorder="1"/>
    <xf numFmtId="0" fontId="64" fillId="11" borderId="53" xfId="0" applyFont="1" applyFill="1" applyBorder="1"/>
    <xf numFmtId="2" fontId="5" fillId="2" borderId="7" xfId="0" applyNumberFormat="1" applyFont="1" applyFill="1" applyBorder="1" applyAlignment="1" applyProtection="1">
      <alignment horizontal="center" vertical="center"/>
      <protection hidden="1"/>
    </xf>
    <xf numFmtId="2" fontId="5" fillId="4" borderId="44" xfId="0" applyNumberFormat="1" applyFont="1" applyFill="1" applyBorder="1" applyAlignment="1" applyProtection="1">
      <alignment horizontal="center" vertical="center"/>
      <protection hidden="1"/>
    </xf>
    <xf numFmtId="2" fontId="5" fillId="4" borderId="45" xfId="0" applyNumberFormat="1" applyFont="1" applyFill="1" applyBorder="1" applyAlignment="1" applyProtection="1">
      <alignment horizontal="center" vertical="center"/>
      <protection hidden="1"/>
    </xf>
    <xf numFmtId="2" fontId="5" fillId="3" borderId="42" xfId="0" applyNumberFormat="1" applyFont="1" applyFill="1" applyBorder="1" applyAlignment="1" applyProtection="1">
      <alignment horizontal="center" vertical="center"/>
      <protection hidden="1"/>
    </xf>
    <xf numFmtId="2" fontId="5" fillId="3" borderId="43" xfId="0" applyNumberFormat="1" applyFont="1" applyFill="1" applyBorder="1" applyAlignment="1" applyProtection="1">
      <alignment horizontal="center" vertical="center"/>
      <protection hidden="1"/>
    </xf>
    <xf numFmtId="0" fontId="5" fillId="2" borderId="13" xfId="0" applyFont="1" applyFill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5" fillId="2" borderId="13" xfId="0" applyFont="1" applyFill="1" applyBorder="1" applyAlignment="1" applyProtection="1">
      <alignment horizontal="center"/>
      <protection hidden="1"/>
    </xf>
    <xf numFmtId="0" fontId="5" fillId="2" borderId="14" xfId="0" applyFont="1" applyFill="1" applyBorder="1" applyAlignment="1" applyProtection="1">
      <alignment horizontal="center"/>
      <protection hidden="1"/>
    </xf>
    <xf numFmtId="2" fontId="5" fillId="2" borderId="20" xfId="0" applyNumberFormat="1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horizontal="center" vertical="center"/>
      <protection hidden="1"/>
    </xf>
    <xf numFmtId="2" fontId="5" fillId="3" borderId="46" xfId="0" applyNumberFormat="1" applyFont="1" applyFill="1" applyBorder="1" applyAlignment="1" applyProtection="1">
      <alignment horizontal="center" vertical="center"/>
      <protection hidden="1"/>
    </xf>
    <xf numFmtId="2" fontId="5" fillId="3" borderId="47" xfId="0" applyNumberFormat="1" applyFont="1" applyFill="1" applyBorder="1" applyAlignment="1" applyProtection="1">
      <alignment horizontal="center" vertical="center"/>
      <protection hidden="1"/>
    </xf>
    <xf numFmtId="2" fontId="5" fillId="4" borderId="50" xfId="0" applyNumberFormat="1" applyFont="1" applyFill="1" applyBorder="1" applyAlignment="1" applyProtection="1">
      <alignment horizontal="center" vertical="center"/>
      <protection hidden="1"/>
    </xf>
    <xf numFmtId="2" fontId="5" fillId="4" borderId="51" xfId="0" applyNumberFormat="1" applyFont="1" applyFill="1" applyBorder="1" applyAlignment="1" applyProtection="1">
      <alignment horizontal="center" vertical="center"/>
      <protection hidden="1"/>
    </xf>
    <xf numFmtId="0" fontId="5" fillId="2" borderId="11" xfId="0" applyFont="1" applyFill="1" applyBorder="1" applyAlignment="1" applyProtection="1">
      <alignment horizontal="center" vertical="center" wrapText="1"/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5" fillId="2" borderId="11" xfId="0" applyFont="1" applyFill="1" applyBorder="1" applyAlignment="1" applyProtection="1">
      <alignment horizontal="center" vertical="center"/>
      <protection hidden="1"/>
    </xf>
    <xf numFmtId="0" fontId="5" fillId="2" borderId="12" xfId="0" applyFont="1" applyFill="1" applyBorder="1" applyAlignment="1" applyProtection="1">
      <alignment horizontal="center" vertical="center"/>
      <protection hidden="1"/>
    </xf>
    <xf numFmtId="0" fontId="5" fillId="2" borderId="18" xfId="0" applyFont="1" applyFill="1" applyBorder="1" applyAlignment="1" applyProtection="1">
      <alignment horizontal="center" vertical="center" wrapText="1"/>
      <protection hidden="1"/>
    </xf>
    <xf numFmtId="0" fontId="5" fillId="2" borderId="12" xfId="0" applyFont="1" applyFill="1" applyBorder="1" applyAlignment="1" applyProtection="1">
      <alignment horizontal="center" vertical="center" wrapText="1"/>
      <protection hidden="1"/>
    </xf>
    <xf numFmtId="0" fontId="5" fillId="2" borderId="11" xfId="0" applyFont="1" applyFill="1" applyBorder="1" applyAlignment="1" applyProtection="1">
      <alignment horizontal="center"/>
      <protection hidden="1"/>
    </xf>
    <xf numFmtId="0" fontId="5" fillId="2" borderId="12" xfId="0" applyFont="1" applyFill="1" applyBorder="1" applyAlignment="1" applyProtection="1">
      <alignment horizont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6" borderId="13" xfId="0" applyFont="1" applyFill="1" applyBorder="1" applyAlignment="1" applyProtection="1">
      <alignment horizontal="center" vertical="center"/>
      <protection hidden="1"/>
    </xf>
    <xf numFmtId="0" fontId="5" fillId="7" borderId="13" xfId="0" applyFont="1" applyFill="1" applyBorder="1" applyAlignment="1" applyProtection="1">
      <alignment horizontal="center" vertical="center"/>
      <protection hidden="1"/>
    </xf>
    <xf numFmtId="0" fontId="5" fillId="7" borderId="14" xfId="0" applyFont="1" applyFill="1" applyBorder="1" applyAlignment="1" applyProtection="1">
      <alignment horizontal="center" vertical="center"/>
      <protection hidden="1"/>
    </xf>
    <xf numFmtId="0" fontId="5" fillId="4" borderId="15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0" fillId="0" borderId="17" xfId="0" applyBorder="1" applyProtection="1">
      <protection hidden="1"/>
    </xf>
    <xf numFmtId="0" fontId="0" fillId="0" borderId="0" xfId="0" applyProtection="1"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0" fontId="5" fillId="6" borderId="11" xfId="0" applyFont="1" applyFill="1" applyBorder="1" applyAlignment="1" applyProtection="1">
      <alignment horizontal="center" vertical="center"/>
      <protection hidden="1"/>
    </xf>
    <xf numFmtId="0" fontId="5" fillId="7" borderId="11" xfId="0" applyFont="1" applyFill="1" applyBorder="1" applyAlignment="1" applyProtection="1">
      <alignment horizontal="center" vertical="center"/>
      <protection hidden="1"/>
    </xf>
    <xf numFmtId="0" fontId="5" fillId="7" borderId="12" xfId="0" applyFont="1" applyFill="1" applyBorder="1" applyAlignment="1" applyProtection="1">
      <alignment horizontal="center" vertical="center"/>
      <protection hidden="1"/>
    </xf>
    <xf numFmtId="0" fontId="5" fillId="4" borderId="10" xfId="0" applyFont="1" applyFill="1" applyBorder="1" applyAlignment="1" applyProtection="1">
      <alignment horizontal="center" vertical="center"/>
      <protection hidden="1"/>
    </xf>
    <xf numFmtId="0" fontId="5" fillId="4" borderId="10" xfId="0" applyFont="1" applyFill="1" applyBorder="1" applyAlignment="1" applyProtection="1">
      <alignment horizont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locked="0" hidden="1"/>
    </xf>
    <xf numFmtId="0" fontId="5" fillId="0" borderId="14" xfId="0" applyFont="1" applyBorder="1" applyProtection="1">
      <protection locked="0" hidden="1"/>
    </xf>
    <xf numFmtId="0" fontId="5" fillId="6" borderId="13" xfId="0" applyFont="1" applyFill="1" applyBorder="1" applyAlignment="1" applyProtection="1">
      <alignment horizontal="center" vertical="center"/>
      <protection locked="0" hidden="1"/>
    </xf>
    <xf numFmtId="0" fontId="5" fillId="7" borderId="13" xfId="0" applyFont="1" applyFill="1" applyBorder="1" applyAlignment="1" applyProtection="1">
      <alignment horizontal="center" vertical="center"/>
      <protection locked="0" hidden="1"/>
    </xf>
    <xf numFmtId="0" fontId="5" fillId="7" borderId="14" xfId="0" applyFont="1" applyFill="1" applyBorder="1" applyAlignment="1" applyProtection="1">
      <alignment horizontal="center" vertical="center"/>
      <protection locked="0" hidden="1"/>
    </xf>
    <xf numFmtId="0" fontId="5" fillId="4" borderId="15" xfId="0" applyFont="1" applyFill="1" applyBorder="1" applyAlignment="1" applyProtection="1">
      <alignment horizontal="center" vertical="center"/>
      <protection locked="0" hidden="1"/>
    </xf>
    <xf numFmtId="0" fontId="5" fillId="4" borderId="15" xfId="0" applyFont="1" applyFill="1" applyBorder="1" applyAlignment="1" applyProtection="1">
      <alignment horizontal="center"/>
      <protection locked="0"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4" borderId="27" xfId="0" applyFont="1" applyFill="1" applyBorder="1" applyAlignment="1" applyProtection="1">
      <alignment horizontal="center" vertical="center"/>
      <protection hidden="1"/>
    </xf>
    <xf numFmtId="0" fontId="5" fillId="4" borderId="21" xfId="0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horizontal="center"/>
      <protection hidden="1"/>
    </xf>
    <xf numFmtId="0" fontId="4" fillId="0" borderId="14" xfId="0" applyFont="1" applyBorder="1" applyProtection="1">
      <protection locked="0" hidden="1"/>
    </xf>
    <xf numFmtId="0" fontId="11" fillId="2" borderId="0" xfId="0" applyFont="1" applyFill="1" applyBorder="1" applyAlignment="1" applyProtection="1">
      <alignment horizontal="center" vertical="center"/>
      <protection hidden="1"/>
    </xf>
    <xf numFmtId="0" fontId="5" fillId="3" borderId="19" xfId="0" applyFont="1" applyFill="1" applyBorder="1" applyAlignment="1" applyProtection="1">
      <alignment horizontal="center" vertical="center"/>
      <protection hidden="1"/>
    </xf>
    <xf numFmtId="0" fontId="5" fillId="3" borderId="41" xfId="0" applyFont="1" applyFill="1" applyBorder="1" applyAlignment="1" applyProtection="1">
      <alignment horizontal="center" vertical="center"/>
      <protection hidden="1"/>
    </xf>
    <xf numFmtId="164" fontId="5" fillId="4" borderId="0" xfId="0" applyNumberFormat="1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8" fillId="2" borderId="19" xfId="0" applyFont="1" applyFill="1" applyBorder="1" applyAlignment="1" applyProtection="1">
      <alignment horizontal="center" vertical="center"/>
      <protection hidden="1"/>
    </xf>
    <xf numFmtId="0" fontId="8" fillId="2" borderId="20" xfId="0" applyFont="1" applyFill="1" applyBorder="1" applyAlignment="1" applyProtection="1">
      <alignment horizontal="center" vertical="center"/>
      <protection hidden="1"/>
    </xf>
    <xf numFmtId="0" fontId="8" fillId="2" borderId="21" xfId="0" applyFont="1" applyFill="1" applyBorder="1" applyAlignment="1" applyProtection="1">
      <alignment horizontal="center" vertical="center"/>
      <protection hidden="1"/>
    </xf>
    <xf numFmtId="164" fontId="5" fillId="3" borderId="0" xfId="0" applyNumberFormat="1" applyFont="1" applyFill="1" applyBorder="1" applyAlignment="1" applyProtection="1">
      <alignment horizontal="center" vertical="center"/>
      <protection hidden="1"/>
    </xf>
    <xf numFmtId="2" fontId="5" fillId="2" borderId="25" xfId="0" applyNumberFormat="1" applyFont="1" applyFill="1" applyBorder="1" applyAlignment="1" applyProtection="1">
      <alignment horizontal="left" vertical="center"/>
      <protection hidden="1"/>
    </xf>
    <xf numFmtId="2" fontId="5" fillId="2" borderId="26" xfId="0" applyNumberFormat="1" applyFont="1" applyFill="1" applyBorder="1" applyAlignment="1" applyProtection="1">
      <alignment horizontal="left" vertical="center"/>
      <protection hidden="1"/>
    </xf>
    <xf numFmtId="164" fontId="5" fillId="4" borderId="25" xfId="0" applyNumberFormat="1" applyFont="1" applyFill="1" applyBorder="1" applyAlignment="1" applyProtection="1">
      <alignment horizontal="center" vertical="center"/>
      <protection hidden="1"/>
    </xf>
    <xf numFmtId="0" fontId="0" fillId="0" borderId="21" xfId="0" applyBorder="1" applyProtection="1">
      <protection hidden="1"/>
    </xf>
    <xf numFmtId="0" fontId="5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5" borderId="49" xfId="0" applyFont="1" applyFill="1" applyBorder="1" applyAlignment="1" applyProtection="1">
      <alignment horizontal="center" vertical="center" textRotation="45" wrapText="1"/>
      <protection hidden="1"/>
    </xf>
    <xf numFmtId="0" fontId="6" fillId="2" borderId="2" xfId="0" applyFont="1" applyFill="1" applyBorder="1" applyAlignment="1" applyProtection="1">
      <alignment horizontal="right" vertical="center"/>
      <protection hidden="1"/>
    </xf>
    <xf numFmtId="0" fontId="6" fillId="2" borderId="2" xfId="0" applyFont="1" applyFill="1" applyBorder="1" applyAlignment="1" applyProtection="1">
      <alignment horizontal="left" vertical="center"/>
      <protection locked="0" hidden="1"/>
    </xf>
    <xf numFmtId="0" fontId="8" fillId="2" borderId="37" xfId="0" applyFont="1" applyFill="1" applyBorder="1" applyAlignment="1" applyProtection="1">
      <alignment horizontal="center" wrapText="1"/>
      <protection hidden="1"/>
    </xf>
    <xf numFmtId="0" fontId="0" fillId="0" borderId="38" xfId="0" applyBorder="1" applyAlignment="1" applyProtection="1">
      <alignment wrapText="1"/>
      <protection hidden="1"/>
    </xf>
    <xf numFmtId="0" fontId="8" fillId="2" borderId="32" xfId="0" applyFont="1" applyFill="1" applyBorder="1" applyAlignment="1" applyProtection="1">
      <alignment horizontal="right" vertical="center" wrapText="1"/>
      <protection hidden="1"/>
    </xf>
    <xf numFmtId="0" fontId="0" fillId="0" borderId="33" xfId="0" applyBorder="1" applyAlignment="1" applyProtection="1">
      <alignment horizontal="right"/>
      <protection hidden="1"/>
    </xf>
    <xf numFmtId="0" fontId="8" fillId="2" borderId="39" xfId="0" applyFont="1" applyFill="1" applyBorder="1" applyAlignment="1" applyProtection="1">
      <alignment horizontal="right" vertical="center" wrapText="1"/>
      <protection hidden="1"/>
    </xf>
    <xf numFmtId="0" fontId="0" fillId="0" borderId="40" xfId="0" applyBorder="1" applyAlignment="1" applyProtection="1">
      <alignment horizontal="right"/>
      <protection hidden="1"/>
    </xf>
    <xf numFmtId="0" fontId="0" fillId="0" borderId="20" xfId="0" applyBorder="1" applyProtection="1">
      <protection hidden="1"/>
    </xf>
    <xf numFmtId="0" fontId="5" fillId="2" borderId="24" xfId="0" applyFont="1" applyFill="1" applyBorder="1" applyAlignment="1" applyProtection="1">
      <alignment horizontal="center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1" fontId="47" fillId="21" borderId="22" xfId="0" applyNumberFormat="1" applyFont="1" applyFill="1" applyBorder="1" applyAlignment="1" applyProtection="1">
      <alignment horizontal="center" vertical="center"/>
      <protection hidden="1"/>
    </xf>
    <xf numFmtId="1" fontId="47" fillId="21" borderId="0" xfId="0" applyNumberFormat="1" applyFont="1" applyFill="1" applyBorder="1" applyAlignment="1" applyProtection="1">
      <alignment horizontal="center" vertical="center"/>
      <protection hidden="1"/>
    </xf>
    <xf numFmtId="1" fontId="47" fillId="21" borderId="23" xfId="0" applyNumberFormat="1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3" xfId="0" applyBorder="1" applyAlignment="1">
      <alignment vertical="center"/>
    </xf>
    <xf numFmtId="1" fontId="20" fillId="4" borderId="24" xfId="0" applyNumberFormat="1" applyFont="1" applyFill="1" applyBorder="1" applyAlignment="1">
      <alignment horizontal="center" vertical="center"/>
    </xf>
    <xf numFmtId="1" fontId="20" fillId="4" borderId="25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1" fontId="3" fillId="3" borderId="22" xfId="0" applyNumberFormat="1" applyFont="1" applyFill="1" applyBorder="1" applyAlignment="1">
      <alignment horizontal="center" vertical="center"/>
    </xf>
    <xf numFmtId="1" fontId="3" fillId="3" borderId="0" xfId="0" applyNumberFormat="1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6" fillId="3" borderId="0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0" xfId="0" applyBorder="1"/>
    <xf numFmtId="0" fontId="0" fillId="0" borderId="23" xfId="0" applyBorder="1"/>
    <xf numFmtId="0" fontId="24" fillId="9" borderId="0" xfId="0" applyFont="1" applyFill="1" applyBorder="1" applyAlignment="1" applyProtection="1">
      <alignment horizontal="center" vertical="center"/>
    </xf>
    <xf numFmtId="0" fontId="24" fillId="9" borderId="0" xfId="0" applyFont="1" applyFill="1" applyBorder="1" applyAlignment="1" applyProtection="1">
      <alignment horizontal="center"/>
    </xf>
    <xf numFmtId="0" fontId="27" fillId="9" borderId="0" xfId="0" applyFont="1" applyFill="1" applyBorder="1" applyAlignment="1" applyProtection="1">
      <alignment horizontal="center"/>
    </xf>
    <xf numFmtId="0" fontId="26" fillId="9" borderId="0" xfId="0" applyFont="1" applyFill="1" applyBorder="1" applyAlignment="1" applyProtection="1">
      <alignment horizontal="center" wrapText="1"/>
    </xf>
    <xf numFmtId="0" fontId="39" fillId="12" borderId="0" xfId="0" applyFont="1" applyFill="1" applyBorder="1" applyAlignment="1" applyProtection="1">
      <alignment horizontal="center" vertical="center"/>
      <protection locked="0"/>
    </xf>
    <xf numFmtId="0" fontId="39" fillId="12" borderId="53" xfId="0" applyFont="1" applyFill="1" applyBorder="1" applyAlignment="1" applyProtection="1">
      <alignment horizontal="center" vertical="center"/>
      <protection locked="0"/>
    </xf>
    <xf numFmtId="0" fontId="37" fillId="12" borderId="73" xfId="0" applyFont="1" applyFill="1" applyBorder="1" applyAlignment="1" applyProtection="1">
      <alignment horizontal="center" vertical="center"/>
    </xf>
    <xf numFmtId="0" fontId="37" fillId="12" borderId="72" xfId="0" applyFont="1" applyFill="1" applyBorder="1" applyAlignment="1" applyProtection="1">
      <alignment horizontal="center" vertical="center"/>
    </xf>
    <xf numFmtId="0" fontId="37" fillId="12" borderId="71" xfId="0" applyFont="1" applyFill="1" applyBorder="1" applyAlignment="1" applyProtection="1">
      <alignment horizontal="center" vertical="center"/>
    </xf>
    <xf numFmtId="0" fontId="5" fillId="16" borderId="70" xfId="0" applyFont="1" applyFill="1" applyBorder="1" applyAlignment="1" applyProtection="1">
      <alignment horizontal="center" vertical="center" wrapText="1"/>
    </xf>
    <xf numFmtId="0" fontId="5" fillId="16" borderId="4" xfId="0" applyFont="1" applyFill="1" applyBorder="1" applyAlignment="1" applyProtection="1">
      <alignment horizontal="center" vertical="center" wrapText="1"/>
    </xf>
    <xf numFmtId="0" fontId="5" fillId="16" borderId="75" xfId="0" applyFont="1" applyFill="1" applyBorder="1" applyAlignment="1" applyProtection="1">
      <alignment horizontal="center" vertical="center" wrapText="1"/>
    </xf>
    <xf numFmtId="0" fontId="30" fillId="11" borderId="77" xfId="0" applyFont="1" applyFill="1" applyBorder="1" applyAlignment="1" applyProtection="1">
      <alignment horizontal="center"/>
    </xf>
    <xf numFmtId="0" fontId="5" fillId="12" borderId="0" xfId="0" applyFont="1" applyFill="1" applyBorder="1" applyAlignment="1" applyProtection="1">
      <alignment horizontal="right" vertical="center"/>
    </xf>
    <xf numFmtId="0" fontId="5" fillId="12" borderId="53" xfId="0" applyFont="1" applyFill="1" applyBorder="1" applyAlignment="1" applyProtection="1">
      <alignment horizontal="right" vertical="center"/>
    </xf>
    <xf numFmtId="0" fontId="30" fillId="12" borderId="60" xfId="0" applyFont="1" applyFill="1" applyBorder="1" applyAlignment="1" applyProtection="1">
      <alignment horizontal="center" vertical="center" wrapText="1"/>
    </xf>
    <xf numFmtId="0" fontId="30" fillId="12" borderId="54" xfId="0" applyFont="1" applyFill="1" applyBorder="1" applyAlignment="1" applyProtection="1">
      <alignment horizontal="center" vertical="center" wrapText="1"/>
    </xf>
    <xf numFmtId="0" fontId="5" fillId="12" borderId="77" xfId="0" applyFont="1" applyFill="1" applyBorder="1" applyAlignment="1" applyProtection="1">
      <alignment horizontal="right" vertical="center"/>
    </xf>
    <xf numFmtId="0" fontId="6" fillId="11" borderId="55" xfId="0" applyFont="1" applyFill="1" applyBorder="1" applyAlignment="1" applyProtection="1">
      <alignment horizontal="right" vertical="center"/>
    </xf>
    <xf numFmtId="0" fontId="5" fillId="18" borderId="4" xfId="0" applyFont="1" applyFill="1" applyBorder="1" applyAlignment="1" applyProtection="1">
      <alignment horizontal="center" vertical="center" wrapText="1"/>
    </xf>
    <xf numFmtId="0" fontId="5" fillId="18" borderId="75" xfId="0" applyFont="1" applyFill="1" applyBorder="1" applyAlignment="1" applyProtection="1">
      <alignment horizontal="center" vertical="center" wrapText="1"/>
    </xf>
    <xf numFmtId="0" fontId="37" fillId="12" borderId="78" xfId="0" applyFont="1" applyFill="1" applyBorder="1" applyAlignment="1" applyProtection="1">
      <alignment horizontal="center" vertical="center"/>
    </xf>
    <xf numFmtId="0" fontId="37" fillId="12" borderId="77" xfId="0" applyFont="1" applyFill="1" applyBorder="1" applyAlignment="1" applyProtection="1">
      <alignment horizontal="center" vertical="center"/>
    </xf>
    <xf numFmtId="0" fontId="30" fillId="12" borderId="60" xfId="0" applyFont="1" applyFill="1" applyBorder="1" applyAlignment="1" applyProtection="1">
      <alignment horizontal="left" vertical="center"/>
    </xf>
    <xf numFmtId="0" fontId="30" fillId="12" borderId="0" xfId="0" applyFont="1" applyFill="1" applyBorder="1" applyAlignment="1" applyProtection="1">
      <alignment horizontal="left" vertical="center"/>
    </xf>
    <xf numFmtId="0" fontId="29" fillId="12" borderId="58" xfId="0" applyFont="1" applyFill="1" applyBorder="1" applyAlignment="1" applyProtection="1">
      <alignment horizontal="center" vertical="center"/>
    </xf>
    <xf numFmtId="0" fontId="29" fillId="12" borderId="57" xfId="0" applyFont="1" applyFill="1" applyBorder="1" applyAlignment="1" applyProtection="1">
      <alignment horizontal="center" vertical="center"/>
    </xf>
    <xf numFmtId="0" fontId="30" fillId="12" borderId="59" xfId="0" applyFont="1" applyFill="1" applyBorder="1" applyAlignment="1" applyProtection="1">
      <alignment horizontal="center"/>
    </xf>
    <xf numFmtId="0" fontId="30" fillId="12" borderId="58" xfId="0" applyFont="1" applyFill="1" applyBorder="1" applyAlignment="1" applyProtection="1">
      <alignment horizontal="center"/>
    </xf>
    <xf numFmtId="0" fontId="10" fillId="14" borderId="4" xfId="0" applyFont="1" applyFill="1" applyBorder="1" applyAlignment="1" applyProtection="1">
      <alignment horizontal="center" vertical="center"/>
    </xf>
    <xf numFmtId="0" fontId="10" fillId="14" borderId="6" xfId="0" applyFont="1" applyFill="1" applyBorder="1" applyAlignment="1" applyProtection="1">
      <alignment horizontal="center" vertical="center"/>
    </xf>
    <xf numFmtId="0" fontId="21" fillId="20" borderId="59" xfId="0" applyFont="1" applyFill="1" applyBorder="1" applyAlignment="1" applyProtection="1">
      <alignment horizontal="center"/>
    </xf>
    <xf numFmtId="0" fontId="21" fillId="20" borderId="58" xfId="0" applyFont="1" applyFill="1" applyBorder="1" applyAlignment="1" applyProtection="1">
      <alignment horizontal="center"/>
    </xf>
    <xf numFmtId="0" fontId="21" fillId="20" borderId="57" xfId="0" applyFon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81" xfId="0" applyFont="1" applyBorder="1" applyAlignment="1" applyProtection="1">
      <alignment horizontal="center" vertical="center"/>
    </xf>
    <xf numFmtId="0" fontId="11" fillId="12" borderId="77" xfId="0" applyFont="1" applyFill="1" applyBorder="1" applyAlignment="1" applyProtection="1">
      <alignment horizontal="right" vertical="center"/>
    </xf>
    <xf numFmtId="0" fontId="21" fillId="14" borderId="2" xfId="0" applyFont="1" applyFill="1" applyBorder="1" applyAlignment="1" applyProtection="1">
      <alignment horizontal="center" vertical="center"/>
      <protection locked="0"/>
    </xf>
    <xf numFmtId="0" fontId="31" fillId="14" borderId="0" xfId="0" applyFont="1" applyFill="1" applyBorder="1" applyAlignment="1" applyProtection="1">
      <alignment horizontal="right" vertical="center"/>
    </xf>
    <xf numFmtId="0" fontId="33" fillId="14" borderId="0" xfId="0" applyFont="1" applyFill="1" applyBorder="1" applyAlignment="1" applyProtection="1">
      <alignment horizontal="left" vertical="center"/>
    </xf>
    <xf numFmtId="1" fontId="66" fillId="14" borderId="7" xfId="0" applyNumberFormat="1" applyFont="1" applyFill="1" applyBorder="1" applyAlignment="1" applyProtection="1">
      <alignment horizontal="left"/>
    </xf>
    <xf numFmtId="1" fontId="66" fillId="14" borderId="8" xfId="0" applyNumberFormat="1" applyFont="1" applyFill="1" applyBorder="1" applyAlignment="1" applyProtection="1">
      <alignment horizontal="left"/>
    </xf>
    <xf numFmtId="0" fontId="53" fillId="2" borderId="59" xfId="0" applyFont="1" applyFill="1" applyBorder="1" applyAlignment="1">
      <alignment horizontal="center" vertical="center"/>
    </xf>
    <xf numFmtId="0" fontId="53" fillId="2" borderId="58" xfId="0" applyFont="1" applyFill="1" applyBorder="1" applyAlignment="1">
      <alignment horizontal="center" vertical="center"/>
    </xf>
    <xf numFmtId="0" fontId="53" fillId="2" borderId="5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1" fontId="51" fillId="2" borderId="4" xfId="0" applyNumberFormat="1" applyFont="1" applyFill="1" applyBorder="1" applyAlignment="1">
      <alignment horizontal="center" vertical="center"/>
    </xf>
    <xf numFmtId="1" fontId="51" fillId="2" borderId="0" xfId="0" applyNumberFormat="1" applyFont="1" applyFill="1" applyBorder="1" applyAlignment="1">
      <alignment horizontal="center" vertical="center"/>
    </xf>
    <xf numFmtId="1" fontId="51" fillId="2" borderId="5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63" fillId="2" borderId="1" xfId="0" applyFont="1" applyFill="1" applyBorder="1" applyAlignment="1">
      <alignment horizontal="center" vertical="center"/>
    </xf>
    <xf numFmtId="0" fontId="63" fillId="2" borderId="81" xfId="0" applyFont="1" applyFill="1" applyBorder="1" applyAlignment="1">
      <alignment horizontal="center" vertical="center"/>
    </xf>
    <xf numFmtId="0" fontId="63" fillId="2" borderId="6" xfId="0" applyFont="1" applyFill="1" applyBorder="1" applyAlignment="1">
      <alignment horizontal="center" vertical="center"/>
    </xf>
    <xf numFmtId="0" fontId="63" fillId="2" borderId="104" xfId="0" applyFont="1" applyFill="1" applyBorder="1" applyAlignment="1">
      <alignment horizontal="center" vertical="center"/>
    </xf>
    <xf numFmtId="0" fontId="60" fillId="2" borderId="93" xfId="0" applyFont="1" applyFill="1" applyBorder="1" applyAlignment="1">
      <alignment horizontal="center" vertical="center"/>
    </xf>
    <xf numFmtId="0" fontId="60" fillId="2" borderId="94" xfId="0" applyFont="1" applyFill="1" applyBorder="1" applyAlignment="1">
      <alignment horizontal="center" vertical="center"/>
    </xf>
    <xf numFmtId="0" fontId="63" fillId="2" borderId="93" xfId="0" applyFont="1" applyFill="1" applyBorder="1" applyAlignment="1">
      <alignment horizontal="center" vertical="center" wrapText="1"/>
    </xf>
    <xf numFmtId="0" fontId="63" fillId="2" borderId="49" xfId="0" applyFont="1" applyFill="1" applyBorder="1" applyAlignment="1">
      <alignment horizontal="center" vertical="center" wrapText="1"/>
    </xf>
    <xf numFmtId="0" fontId="63" fillId="2" borderId="94" xfId="0" applyFont="1" applyFill="1" applyBorder="1" applyAlignment="1">
      <alignment horizontal="center" vertical="center" wrapText="1"/>
    </xf>
    <xf numFmtId="0" fontId="60" fillId="2" borderId="95" xfId="0" applyFont="1" applyFill="1" applyBorder="1" applyAlignment="1">
      <alignment horizontal="center" vertical="center"/>
    </xf>
    <xf numFmtId="0" fontId="60" fillId="2" borderId="96" xfId="0" applyFont="1" applyFill="1" applyBorder="1" applyAlignment="1">
      <alignment horizontal="center" vertical="center"/>
    </xf>
    <xf numFmtId="0" fontId="60" fillId="2" borderId="97" xfId="0" applyFont="1" applyFill="1" applyBorder="1" applyAlignment="1">
      <alignment horizontal="center" vertical="center"/>
    </xf>
    <xf numFmtId="0" fontId="70" fillId="22" borderId="70" xfId="1" applyFont="1" applyFill="1" applyBorder="1" applyAlignment="1" applyProtection="1">
      <alignment horizontal="center" vertical="center" wrapText="1"/>
    </xf>
    <xf numFmtId="0" fontId="70" fillId="22" borderId="75" xfId="1" applyFont="1" applyFill="1" applyBorder="1" applyAlignment="1" applyProtection="1">
      <alignment horizontal="center" vertical="center" wrapText="1"/>
    </xf>
    <xf numFmtId="0" fontId="70" fillId="22" borderId="20" xfId="0" applyFont="1" applyFill="1" applyBorder="1" applyAlignment="1">
      <alignment horizontal="center" vertical="center" wrapText="1"/>
    </xf>
    <xf numFmtId="0" fontId="70" fillId="22" borderId="25" xfId="0" applyFont="1" applyFill="1" applyBorder="1" applyAlignment="1">
      <alignment horizontal="center" vertical="center" wrapText="1"/>
    </xf>
    <xf numFmtId="0" fontId="21" fillId="20" borderId="1" xfId="0" applyFont="1" applyFill="1" applyBorder="1" applyAlignment="1">
      <alignment horizontal="center"/>
    </xf>
    <xf numFmtId="0" fontId="21" fillId="20" borderId="2" xfId="0" applyFont="1" applyFill="1" applyBorder="1" applyAlignment="1">
      <alignment horizontal="center"/>
    </xf>
    <xf numFmtId="0" fontId="21" fillId="20" borderId="3" xfId="0" applyFont="1" applyFill="1" applyBorder="1" applyAlignment="1">
      <alignment horizontal="center"/>
    </xf>
    <xf numFmtId="0" fontId="66" fillId="11" borderId="77" xfId="0" applyFont="1" applyFill="1" applyBorder="1" applyAlignment="1">
      <alignment horizontal="center" vertical="center"/>
    </xf>
    <xf numFmtId="0" fontId="66" fillId="11" borderId="0" xfId="0" applyFont="1" applyFill="1" applyBorder="1" applyAlignment="1">
      <alignment horizontal="center" vertical="center"/>
    </xf>
    <xf numFmtId="1" fontId="29" fillId="11" borderId="6" xfId="0" applyNumberFormat="1" applyFont="1" applyFill="1" applyBorder="1" applyAlignment="1">
      <alignment horizontal="center" vertical="center"/>
    </xf>
    <xf numFmtId="1" fontId="29" fillId="11" borderId="7" xfId="0" applyNumberFormat="1" applyFont="1" applyFill="1" applyBorder="1" applyAlignment="1">
      <alignment horizontal="center" vertical="center"/>
    </xf>
    <xf numFmtId="1" fontId="29" fillId="11" borderId="8" xfId="0" applyNumberFormat="1" applyFont="1" applyFill="1" applyBorder="1" applyAlignment="1">
      <alignment horizontal="center" vertical="center"/>
    </xf>
    <xf numFmtId="0" fontId="77" fillId="12" borderId="0" xfId="0" applyFont="1" applyFill="1" applyAlignment="1">
      <alignment horizontal="center" vertical="center"/>
    </xf>
    <xf numFmtId="0" fontId="70" fillId="22" borderId="112" xfId="0" applyFont="1" applyFill="1" applyBorder="1" applyAlignment="1">
      <alignment horizontal="center" vertical="center" wrapText="1"/>
    </xf>
    <xf numFmtId="0" fontId="70" fillId="22" borderId="113" xfId="0" applyFont="1" applyFill="1" applyBorder="1" applyAlignment="1">
      <alignment horizontal="center" vertical="center" wrapText="1"/>
    </xf>
    <xf numFmtId="49" fontId="37" fillId="11" borderId="0" xfId="0" applyNumberFormat="1" applyFont="1" applyFill="1" applyBorder="1" applyAlignment="1" applyProtection="1">
      <alignment horizontal="center"/>
      <protection locked="0"/>
    </xf>
    <xf numFmtId="0" fontId="29" fillId="11" borderId="1" xfId="0" applyFont="1" applyFill="1" applyBorder="1" applyAlignment="1">
      <alignment horizontal="center"/>
    </xf>
    <xf numFmtId="0" fontId="29" fillId="11" borderId="2" xfId="0" applyFont="1" applyFill="1" applyBorder="1" applyAlignment="1">
      <alignment horizontal="center"/>
    </xf>
    <xf numFmtId="0" fontId="29" fillId="11" borderId="3" xfId="0" applyFont="1" applyFill="1" applyBorder="1" applyAlignment="1">
      <alignment horizontal="center"/>
    </xf>
    <xf numFmtId="0" fontId="70" fillId="22" borderId="89" xfId="0" applyFont="1" applyFill="1" applyBorder="1" applyAlignment="1">
      <alignment horizontal="center"/>
    </xf>
    <xf numFmtId="0" fontId="70" fillId="22" borderId="88" xfId="0" applyFont="1" applyFill="1" applyBorder="1" applyAlignment="1">
      <alignment horizontal="center"/>
    </xf>
    <xf numFmtId="0" fontId="70" fillId="22" borderId="91" xfId="0" applyFont="1" applyFill="1" applyBorder="1" applyAlignment="1">
      <alignment horizontal="center"/>
    </xf>
    <xf numFmtId="0" fontId="73" fillId="11" borderId="0" xfId="0" applyFont="1" applyFill="1" applyBorder="1" applyAlignment="1">
      <alignment horizontal="center" vertical="center"/>
    </xf>
    <xf numFmtId="0" fontId="0" fillId="11" borderId="0" xfId="0" applyFill="1" applyBorder="1"/>
    <xf numFmtId="0" fontId="3" fillId="10" borderId="22" xfId="0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center" vertical="center"/>
    </xf>
    <xf numFmtId="0" fontId="75" fillId="10" borderId="28" xfId="0" applyFont="1" applyFill="1" applyBorder="1" applyAlignment="1" applyProtection="1">
      <alignment horizontal="center" vertical="center"/>
      <protection locked="0"/>
    </xf>
    <xf numFmtId="0" fontId="75" fillId="10" borderId="116" xfId="0" applyFont="1" applyFill="1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43"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 patternType="solid">
          <fgColor theme="0" tint="-0.34998626667073579"/>
          <bgColor theme="0" tint="-0.34998626667073579"/>
        </patternFill>
      </fill>
      <border>
        <left/>
        <right/>
        <top/>
        <bottom/>
      </border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 patternType="solid">
          <fgColor theme="0" tint="-0.34998626667073579"/>
          <bgColor theme="0" tint="-0.34998626667073579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  <fill>
        <patternFill>
          <bgColor rgb="FFFFFFCC"/>
        </patternFill>
      </fill>
      <border>
        <left/>
        <right/>
        <top/>
        <bottom/>
        <vertical/>
        <horizontal/>
      </border>
    </dxf>
    <dxf>
      <font>
        <color rgb="FFFFFFCC"/>
      </font>
      <fill>
        <patternFill>
          <bgColor rgb="FFFFFFCC"/>
        </patternFill>
      </fill>
      <border>
        <left/>
        <right/>
        <top/>
        <bottom/>
        <vertical/>
        <horizontal/>
      </border>
    </dxf>
    <dxf>
      <font>
        <color rgb="FFFFFFCC"/>
      </font>
      <fill>
        <patternFill>
          <bgColor rgb="FFFFFFCC"/>
        </patternFill>
      </fill>
      <border>
        <left/>
        <right/>
        <top/>
        <bottom/>
      </border>
    </dxf>
    <dxf>
      <font>
        <color rgb="FFFFFFCC"/>
      </font>
      <fill>
        <patternFill>
          <bgColor rgb="FFFFFFCC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 patternType="solid">
          <fgColor theme="0" tint="-0.34998626667073579"/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 patternType="solid">
          <fgColor theme="0" tint="-0.34998626667073579"/>
          <bgColor theme="0" tint="-0.34998626667073579"/>
        </patternFill>
      </fill>
      <border>
        <left/>
        <right/>
        <top/>
        <bottom/>
      </border>
    </dxf>
    <dxf>
      <border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vertical/>
        <horizontal/>
      </border>
    </dxf>
    <dxf>
      <font>
        <color theme="0" tint="-4.9989318521683403E-2"/>
      </font>
    </dxf>
    <dxf>
      <font>
        <color theme="0" tint="-0.14996795556505021"/>
      </font>
    </dxf>
    <dxf>
      <font>
        <color rgb="FFFFFFCC"/>
      </font>
      <fill>
        <patternFill>
          <bgColor rgb="FFFFFFCC"/>
        </patternFill>
      </fill>
      <border>
        <left/>
        <right/>
        <top/>
        <bottom/>
      </border>
    </dxf>
    <dxf>
      <font>
        <color rgb="FFFFFFCC"/>
      </font>
      <fill>
        <patternFill>
          <bgColor rgb="FFFFFFCC"/>
        </patternFill>
      </fill>
      <border>
        <left/>
        <right/>
        <top/>
        <bottom/>
        <vertical/>
        <horizontal/>
      </border>
    </dxf>
    <dxf>
      <font>
        <color rgb="FFFFFFCC"/>
      </font>
      <fill>
        <patternFill>
          <bgColor rgb="FFFFFFCC"/>
        </patternFill>
      </fill>
      <border>
        <left/>
        <right/>
        <top/>
        <bottom/>
        <vertical/>
        <horizontal/>
      </border>
    </dxf>
    <dxf>
      <font>
        <color rgb="FFFFFFCC"/>
      </font>
      <fill>
        <patternFill>
          <bgColor rgb="FFFFFFCC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>
          <fgColor theme="0" tint="-0.34998626667073579"/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 patternType="solid">
          <fgColor theme="0" tint="-0.34998626667073579"/>
          <bgColor theme="0" tint="-0.34998626667073579"/>
        </patternFill>
      </fill>
      <border>
        <left/>
        <right/>
        <top/>
        <bottom/>
        <vertical/>
        <horizontal/>
      </border>
    </dxf>
    <dxf>
      <font>
        <color theme="0" tint="-0.34998626667073579"/>
      </font>
      <fill>
        <patternFill patternType="solid">
          <fgColor theme="0" tint="-0.34998626667073579"/>
          <bgColor theme="0" tint="-0.34998626667073579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C611"/>
      <color rgb="FFEACA44"/>
      <color rgb="FFFFFFCC"/>
      <color rgb="FFFF5050"/>
      <color rgb="FFFFFF99"/>
      <color rgb="FFFFFF66"/>
      <color rgb="FFFFCC99"/>
      <color rgb="FFB0772A"/>
      <color rgb="FFFFCC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image" Target="../media/image6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image" Target="../media/image6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3</xdr:row>
      <xdr:rowOff>19050</xdr:rowOff>
    </xdr:from>
    <xdr:to>
      <xdr:col>9</xdr:col>
      <xdr:colOff>390525</xdr:colOff>
      <xdr:row>4</xdr:row>
      <xdr:rowOff>19050</xdr:rowOff>
    </xdr:to>
    <xdr:pic>
      <xdr:nvPicPr>
        <xdr:cNvPr id="2" name="Picture 4" descr="Résistance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00450" y="4191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0</xdr:colOff>
      <xdr:row>15</xdr:row>
      <xdr:rowOff>0</xdr:rowOff>
    </xdr:from>
    <xdr:to>
      <xdr:col>26</xdr:col>
      <xdr:colOff>171450</xdr:colOff>
      <xdr:row>15</xdr:row>
      <xdr:rowOff>104775</xdr:rowOff>
    </xdr:to>
    <xdr:pic>
      <xdr:nvPicPr>
        <xdr:cNvPr id="3" name="Picture 2" descr="Toucher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25100" y="222885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171450</xdr:colOff>
      <xdr:row>18</xdr:row>
      <xdr:rowOff>104775</xdr:rowOff>
    </xdr:to>
    <xdr:pic>
      <xdr:nvPicPr>
        <xdr:cNvPr id="4" name="Picture 2" descr="Toucher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25100" y="268605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0</xdr:colOff>
      <xdr:row>21</xdr:row>
      <xdr:rowOff>0</xdr:rowOff>
    </xdr:from>
    <xdr:to>
      <xdr:col>26</xdr:col>
      <xdr:colOff>171450</xdr:colOff>
      <xdr:row>21</xdr:row>
      <xdr:rowOff>104775</xdr:rowOff>
    </xdr:to>
    <xdr:pic>
      <xdr:nvPicPr>
        <xdr:cNvPr id="5" name="Picture 2" descr="Toucher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25100" y="314325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0</xdr:colOff>
      <xdr:row>24</xdr:row>
      <xdr:rowOff>0</xdr:rowOff>
    </xdr:from>
    <xdr:to>
      <xdr:col>26</xdr:col>
      <xdr:colOff>171450</xdr:colOff>
      <xdr:row>24</xdr:row>
      <xdr:rowOff>104775</xdr:rowOff>
    </xdr:to>
    <xdr:pic>
      <xdr:nvPicPr>
        <xdr:cNvPr id="6" name="Picture 2" descr="Touche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25100" y="360045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0</xdr:colOff>
      <xdr:row>27</xdr:row>
      <xdr:rowOff>0</xdr:rowOff>
    </xdr:from>
    <xdr:to>
      <xdr:col>26</xdr:col>
      <xdr:colOff>171450</xdr:colOff>
      <xdr:row>27</xdr:row>
      <xdr:rowOff>104775</xdr:rowOff>
    </xdr:to>
    <xdr:pic>
      <xdr:nvPicPr>
        <xdr:cNvPr id="7" name="Picture 2" descr="Toucher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25100" y="405765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47625</xdr:colOff>
      <xdr:row>3</xdr:row>
      <xdr:rowOff>47625</xdr:rowOff>
    </xdr:from>
    <xdr:to>
      <xdr:col>10</xdr:col>
      <xdr:colOff>219075</xdr:colOff>
      <xdr:row>4</xdr:row>
      <xdr:rowOff>0</xdr:rowOff>
    </xdr:to>
    <xdr:pic>
      <xdr:nvPicPr>
        <xdr:cNvPr id="8" name="Picture 2" descr="Toucher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57650" y="447675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38100</xdr:colOff>
      <xdr:row>16</xdr:row>
      <xdr:rowOff>0</xdr:rowOff>
    </xdr:from>
    <xdr:to>
      <xdr:col>26</xdr:col>
      <xdr:colOff>133350</xdr:colOff>
      <xdr:row>16</xdr:row>
      <xdr:rowOff>123825</xdr:rowOff>
    </xdr:to>
    <xdr:pic>
      <xdr:nvPicPr>
        <xdr:cNvPr id="9" name="Picture 3" descr="Esquiver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363200" y="2381250"/>
          <a:ext cx="952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171450</xdr:colOff>
      <xdr:row>18</xdr:row>
      <xdr:rowOff>104775</xdr:rowOff>
    </xdr:to>
    <xdr:pic>
      <xdr:nvPicPr>
        <xdr:cNvPr id="10" name="Picture 2" descr="Toucher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25100" y="268605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38100</xdr:colOff>
      <xdr:row>19</xdr:row>
      <xdr:rowOff>0</xdr:rowOff>
    </xdr:from>
    <xdr:to>
      <xdr:col>26</xdr:col>
      <xdr:colOff>133350</xdr:colOff>
      <xdr:row>19</xdr:row>
      <xdr:rowOff>123825</xdr:rowOff>
    </xdr:to>
    <xdr:pic>
      <xdr:nvPicPr>
        <xdr:cNvPr id="11" name="Picture 3" descr="Esquiver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363200" y="2838450"/>
          <a:ext cx="952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0</xdr:colOff>
      <xdr:row>21</xdr:row>
      <xdr:rowOff>0</xdr:rowOff>
    </xdr:from>
    <xdr:to>
      <xdr:col>26</xdr:col>
      <xdr:colOff>171450</xdr:colOff>
      <xdr:row>21</xdr:row>
      <xdr:rowOff>104775</xdr:rowOff>
    </xdr:to>
    <xdr:pic>
      <xdr:nvPicPr>
        <xdr:cNvPr id="12" name="Picture 2" descr="Toucher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25100" y="314325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38100</xdr:colOff>
      <xdr:row>22</xdr:row>
      <xdr:rowOff>0</xdr:rowOff>
    </xdr:from>
    <xdr:to>
      <xdr:col>26</xdr:col>
      <xdr:colOff>133350</xdr:colOff>
      <xdr:row>22</xdr:row>
      <xdr:rowOff>123825</xdr:rowOff>
    </xdr:to>
    <xdr:pic>
      <xdr:nvPicPr>
        <xdr:cNvPr id="13" name="Picture 3" descr="Esquiver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363200" y="3295650"/>
          <a:ext cx="952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0</xdr:colOff>
      <xdr:row>24</xdr:row>
      <xdr:rowOff>0</xdr:rowOff>
    </xdr:from>
    <xdr:to>
      <xdr:col>26</xdr:col>
      <xdr:colOff>171450</xdr:colOff>
      <xdr:row>24</xdr:row>
      <xdr:rowOff>104775</xdr:rowOff>
    </xdr:to>
    <xdr:pic>
      <xdr:nvPicPr>
        <xdr:cNvPr id="14" name="Picture 2" descr="Toucher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25100" y="360045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38100</xdr:colOff>
      <xdr:row>25</xdr:row>
      <xdr:rowOff>0</xdr:rowOff>
    </xdr:from>
    <xdr:to>
      <xdr:col>26</xdr:col>
      <xdr:colOff>133350</xdr:colOff>
      <xdr:row>25</xdr:row>
      <xdr:rowOff>123825</xdr:rowOff>
    </xdr:to>
    <xdr:pic>
      <xdr:nvPicPr>
        <xdr:cNvPr id="15" name="Picture 3" descr="Esquiver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363200" y="3752850"/>
          <a:ext cx="952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0</xdr:colOff>
      <xdr:row>27</xdr:row>
      <xdr:rowOff>0</xdr:rowOff>
    </xdr:from>
    <xdr:to>
      <xdr:col>26</xdr:col>
      <xdr:colOff>171450</xdr:colOff>
      <xdr:row>27</xdr:row>
      <xdr:rowOff>104775</xdr:rowOff>
    </xdr:to>
    <xdr:pic>
      <xdr:nvPicPr>
        <xdr:cNvPr id="16" name="Picture 2" descr="Toucher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25100" y="405765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38100</xdr:colOff>
      <xdr:row>28</xdr:row>
      <xdr:rowOff>0</xdr:rowOff>
    </xdr:from>
    <xdr:to>
      <xdr:col>26</xdr:col>
      <xdr:colOff>133350</xdr:colOff>
      <xdr:row>28</xdr:row>
      <xdr:rowOff>123825</xdr:rowOff>
    </xdr:to>
    <xdr:pic>
      <xdr:nvPicPr>
        <xdr:cNvPr id="17" name="Picture 3" descr="Esquiver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363200" y="4210050"/>
          <a:ext cx="95250" cy="1238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85725</xdr:colOff>
      <xdr:row>3</xdr:row>
      <xdr:rowOff>28575</xdr:rowOff>
    </xdr:from>
    <xdr:to>
      <xdr:col>11</xdr:col>
      <xdr:colOff>180975</xdr:colOff>
      <xdr:row>4</xdr:row>
      <xdr:rowOff>0</xdr:rowOff>
    </xdr:to>
    <xdr:pic>
      <xdr:nvPicPr>
        <xdr:cNvPr id="18" name="Picture 3" descr="Esquiver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43450" y="428625"/>
          <a:ext cx="952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114300</xdr:colOff>
      <xdr:row>5</xdr:row>
      <xdr:rowOff>95250</xdr:rowOff>
    </xdr:from>
    <xdr:to>
      <xdr:col>21</xdr:col>
      <xdr:colOff>285750</xdr:colOff>
      <xdr:row>6</xdr:row>
      <xdr:rowOff>47625</xdr:rowOff>
    </xdr:to>
    <xdr:pic>
      <xdr:nvPicPr>
        <xdr:cNvPr id="19" name="Picture 2" descr="Toucher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48725" y="80010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133350</xdr:colOff>
      <xdr:row>8</xdr:row>
      <xdr:rowOff>66675</xdr:rowOff>
    </xdr:from>
    <xdr:to>
      <xdr:col>21</xdr:col>
      <xdr:colOff>304800</xdr:colOff>
      <xdr:row>9</xdr:row>
      <xdr:rowOff>19050</xdr:rowOff>
    </xdr:to>
    <xdr:pic>
      <xdr:nvPicPr>
        <xdr:cNvPr id="20" name="Picture 2" descr="Toucher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67775" y="1228725"/>
          <a:ext cx="171450" cy="104775"/>
        </a:xfrm>
        <a:prstGeom prst="rect">
          <a:avLst/>
        </a:prstGeom>
        <a:noFill/>
      </xdr:spPr>
    </xdr:pic>
    <xdr:clientData/>
  </xdr:twoCellAnchor>
  <xdr:twoCellAnchor editAs="absolute">
    <xdr:from>
      <xdr:col>34</xdr:col>
      <xdr:colOff>225392</xdr:colOff>
      <xdr:row>9</xdr:row>
      <xdr:rowOff>10224</xdr:rowOff>
    </xdr:from>
    <xdr:to>
      <xdr:col>37</xdr:col>
      <xdr:colOff>51278</xdr:colOff>
      <xdr:row>10</xdr:row>
      <xdr:rowOff>74556</xdr:rowOff>
    </xdr:to>
    <xdr:sp macro="" textlink="">
      <xdr:nvSpPr>
        <xdr:cNvPr id="21" name="ZoneTexte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 rot="462596">
          <a:off x="12931742" y="1324674"/>
          <a:ext cx="883161" cy="216732"/>
        </a:xfrm>
        <a:prstGeom prst="rect">
          <a:avLst/>
        </a:prstGeom>
        <a:noFill/>
        <a:effectLst>
          <a:outerShdw blurRad="76200" dist="12700" dir="2700000" sy="-23000" kx="-800400" algn="bl" rotWithShape="0">
            <a:prstClr val="black">
              <a:alpha val="2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fr-FR" sz="800" b="1">
              <a:solidFill>
                <a:schemeClr val="accent1">
                  <a:lumMod val="50000"/>
                </a:schemeClr>
              </a:solidFill>
              <a:effectLst>
                <a:outerShdw blurRad="60007" dir="15000000" sy="30000" kx="-1800000" algn="bl" rotWithShape="0">
                  <a:prstClr val="black">
                    <a:alpha val="32000"/>
                  </a:prstClr>
                </a:outerShdw>
              </a:effectLst>
            </a:rPr>
            <a:t>Mac Murdock ©</a:t>
          </a:r>
        </a:p>
      </xdr:txBody>
    </xdr:sp>
    <xdr:clientData/>
  </xdr:twoCellAnchor>
  <xdr:twoCellAnchor editAs="oneCell">
    <xdr:from>
      <xdr:col>32</xdr:col>
      <xdr:colOff>0</xdr:colOff>
      <xdr:row>15</xdr:row>
      <xdr:rowOff>0</xdr:rowOff>
    </xdr:from>
    <xdr:to>
      <xdr:col>32</xdr:col>
      <xdr:colOff>171450</xdr:colOff>
      <xdr:row>15</xdr:row>
      <xdr:rowOff>104775</xdr:rowOff>
    </xdr:to>
    <xdr:pic>
      <xdr:nvPicPr>
        <xdr:cNvPr id="22" name="Picture 2" descr="Toucher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34850" y="222885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0</xdr:colOff>
      <xdr:row>18</xdr:row>
      <xdr:rowOff>0</xdr:rowOff>
    </xdr:from>
    <xdr:to>
      <xdr:col>32</xdr:col>
      <xdr:colOff>171450</xdr:colOff>
      <xdr:row>18</xdr:row>
      <xdr:rowOff>104775</xdr:rowOff>
    </xdr:to>
    <xdr:pic>
      <xdr:nvPicPr>
        <xdr:cNvPr id="23" name="Picture 2" descr="Toucher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34850" y="268605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0</xdr:colOff>
      <xdr:row>21</xdr:row>
      <xdr:rowOff>0</xdr:rowOff>
    </xdr:from>
    <xdr:to>
      <xdr:col>32</xdr:col>
      <xdr:colOff>171450</xdr:colOff>
      <xdr:row>21</xdr:row>
      <xdr:rowOff>104775</xdr:rowOff>
    </xdr:to>
    <xdr:pic>
      <xdr:nvPicPr>
        <xdr:cNvPr id="24" name="Picture 2" descr="Toucher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34850" y="314325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0</xdr:colOff>
      <xdr:row>24</xdr:row>
      <xdr:rowOff>0</xdr:rowOff>
    </xdr:from>
    <xdr:to>
      <xdr:col>32</xdr:col>
      <xdr:colOff>171450</xdr:colOff>
      <xdr:row>24</xdr:row>
      <xdr:rowOff>104775</xdr:rowOff>
    </xdr:to>
    <xdr:pic>
      <xdr:nvPicPr>
        <xdr:cNvPr id="25" name="Picture 2" descr="Toucher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34850" y="360045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0</xdr:colOff>
      <xdr:row>27</xdr:row>
      <xdr:rowOff>0</xdr:rowOff>
    </xdr:from>
    <xdr:to>
      <xdr:col>32</xdr:col>
      <xdr:colOff>171450</xdr:colOff>
      <xdr:row>27</xdr:row>
      <xdr:rowOff>104775</xdr:rowOff>
    </xdr:to>
    <xdr:pic>
      <xdr:nvPicPr>
        <xdr:cNvPr id="26" name="Picture 2" descr="Toucher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34850" y="405765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38100</xdr:colOff>
      <xdr:row>16</xdr:row>
      <xdr:rowOff>0</xdr:rowOff>
    </xdr:from>
    <xdr:to>
      <xdr:col>32</xdr:col>
      <xdr:colOff>133350</xdr:colOff>
      <xdr:row>16</xdr:row>
      <xdr:rowOff>123825</xdr:rowOff>
    </xdr:to>
    <xdr:pic>
      <xdr:nvPicPr>
        <xdr:cNvPr id="27" name="Picture 3" descr="Esquiver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72950" y="2381250"/>
          <a:ext cx="95250" cy="12382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0</xdr:colOff>
      <xdr:row>18</xdr:row>
      <xdr:rowOff>0</xdr:rowOff>
    </xdr:from>
    <xdr:to>
      <xdr:col>32</xdr:col>
      <xdr:colOff>171450</xdr:colOff>
      <xdr:row>18</xdr:row>
      <xdr:rowOff>104775</xdr:rowOff>
    </xdr:to>
    <xdr:pic>
      <xdr:nvPicPr>
        <xdr:cNvPr id="28" name="Picture 2" descr="Toucher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34850" y="268605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38100</xdr:colOff>
      <xdr:row>19</xdr:row>
      <xdr:rowOff>0</xdr:rowOff>
    </xdr:from>
    <xdr:to>
      <xdr:col>32</xdr:col>
      <xdr:colOff>133350</xdr:colOff>
      <xdr:row>19</xdr:row>
      <xdr:rowOff>123825</xdr:rowOff>
    </xdr:to>
    <xdr:pic>
      <xdr:nvPicPr>
        <xdr:cNvPr id="29" name="Picture 3" descr="Esquiver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72950" y="2838450"/>
          <a:ext cx="95250" cy="12382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0</xdr:colOff>
      <xdr:row>21</xdr:row>
      <xdr:rowOff>0</xdr:rowOff>
    </xdr:from>
    <xdr:to>
      <xdr:col>32</xdr:col>
      <xdr:colOff>171450</xdr:colOff>
      <xdr:row>21</xdr:row>
      <xdr:rowOff>104775</xdr:rowOff>
    </xdr:to>
    <xdr:pic>
      <xdr:nvPicPr>
        <xdr:cNvPr id="30" name="Picture 2" descr="Toucher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34850" y="314325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38100</xdr:colOff>
      <xdr:row>22</xdr:row>
      <xdr:rowOff>0</xdr:rowOff>
    </xdr:from>
    <xdr:to>
      <xdr:col>32</xdr:col>
      <xdr:colOff>133350</xdr:colOff>
      <xdr:row>22</xdr:row>
      <xdr:rowOff>123825</xdr:rowOff>
    </xdr:to>
    <xdr:pic>
      <xdr:nvPicPr>
        <xdr:cNvPr id="31" name="Picture 3" descr="Esquiver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72950" y="3295650"/>
          <a:ext cx="95250" cy="12382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0</xdr:colOff>
      <xdr:row>24</xdr:row>
      <xdr:rowOff>0</xdr:rowOff>
    </xdr:from>
    <xdr:to>
      <xdr:col>32</xdr:col>
      <xdr:colOff>171450</xdr:colOff>
      <xdr:row>24</xdr:row>
      <xdr:rowOff>104775</xdr:rowOff>
    </xdr:to>
    <xdr:pic>
      <xdr:nvPicPr>
        <xdr:cNvPr id="32" name="Picture 2" descr="Toucher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34850" y="360045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38100</xdr:colOff>
      <xdr:row>25</xdr:row>
      <xdr:rowOff>0</xdr:rowOff>
    </xdr:from>
    <xdr:to>
      <xdr:col>32</xdr:col>
      <xdr:colOff>133350</xdr:colOff>
      <xdr:row>25</xdr:row>
      <xdr:rowOff>123825</xdr:rowOff>
    </xdr:to>
    <xdr:pic>
      <xdr:nvPicPr>
        <xdr:cNvPr id="33" name="Picture 3" descr="Esquiver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72950" y="3752850"/>
          <a:ext cx="95250" cy="12382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0</xdr:colOff>
      <xdr:row>27</xdr:row>
      <xdr:rowOff>0</xdr:rowOff>
    </xdr:from>
    <xdr:to>
      <xdr:col>32</xdr:col>
      <xdr:colOff>171450</xdr:colOff>
      <xdr:row>27</xdr:row>
      <xdr:rowOff>104775</xdr:rowOff>
    </xdr:to>
    <xdr:pic>
      <xdr:nvPicPr>
        <xdr:cNvPr id="34" name="Picture 2" descr="Toucher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34850" y="405765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38100</xdr:colOff>
      <xdr:row>28</xdr:row>
      <xdr:rowOff>0</xdr:rowOff>
    </xdr:from>
    <xdr:to>
      <xdr:col>32</xdr:col>
      <xdr:colOff>133350</xdr:colOff>
      <xdr:row>28</xdr:row>
      <xdr:rowOff>123825</xdr:rowOff>
    </xdr:to>
    <xdr:pic>
      <xdr:nvPicPr>
        <xdr:cNvPr id="35" name="Picture 3" descr="Esquiver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72950" y="4210050"/>
          <a:ext cx="95250" cy="123825"/>
        </a:xfrm>
        <a:prstGeom prst="rect">
          <a:avLst/>
        </a:prstGeom>
        <a:noFill/>
      </xdr:spPr>
    </xdr:pic>
    <xdr:clientData/>
  </xdr:twoCellAnchor>
  <xdr:twoCellAnchor editAs="absolute">
    <xdr:from>
      <xdr:col>31</xdr:col>
      <xdr:colOff>89777</xdr:colOff>
      <xdr:row>1</xdr:row>
      <xdr:rowOff>5041</xdr:rowOff>
    </xdr:from>
    <xdr:to>
      <xdr:col>37</xdr:col>
      <xdr:colOff>94657</xdr:colOff>
      <xdr:row>5</xdr:row>
      <xdr:rowOff>128588</xdr:rowOff>
    </xdr:to>
    <xdr:pic>
      <xdr:nvPicPr>
        <xdr:cNvPr id="36" name="Picture 4" descr="The West -  FR forum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043652" y="100291"/>
          <a:ext cx="1814630" cy="733147"/>
        </a:xfrm>
        <a:prstGeom prst="rect">
          <a:avLst/>
        </a:prstGeom>
        <a:noFill/>
      </xdr:spPr>
    </xdr:pic>
    <xdr:clientData/>
  </xdr:twoCellAnchor>
  <xdr:twoCellAnchor editAs="absolute">
    <xdr:from>
      <xdr:col>31</xdr:col>
      <xdr:colOff>122822</xdr:colOff>
      <xdr:row>6</xdr:row>
      <xdr:rowOff>41108</xdr:rowOff>
    </xdr:from>
    <xdr:to>
      <xdr:col>33</xdr:col>
      <xdr:colOff>138824</xdr:colOff>
      <xdr:row>7</xdr:row>
      <xdr:rowOff>148070</xdr:rowOff>
    </xdr:to>
    <xdr:pic>
      <xdr:nvPicPr>
        <xdr:cNvPr id="37" name="Picture 12" descr="Soldat.png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076697" y="898358"/>
          <a:ext cx="416052" cy="259362"/>
        </a:xfrm>
        <a:prstGeom prst="rect">
          <a:avLst/>
        </a:prstGeom>
        <a:noFill/>
      </xdr:spPr>
    </xdr:pic>
    <xdr:clientData/>
  </xdr:twoCellAnchor>
  <xdr:twoCellAnchor editAs="absolute">
    <xdr:from>
      <xdr:col>35</xdr:col>
      <xdr:colOff>347913</xdr:colOff>
      <xdr:row>6</xdr:row>
      <xdr:rowOff>63666</xdr:rowOff>
    </xdr:from>
    <xdr:to>
      <xdr:col>37</xdr:col>
      <xdr:colOff>72450</xdr:colOff>
      <xdr:row>7</xdr:row>
      <xdr:rowOff>141291</xdr:rowOff>
    </xdr:to>
    <xdr:pic>
      <xdr:nvPicPr>
        <xdr:cNvPr id="38" name="Picture 13" descr="Duelliste.png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406688" y="920916"/>
          <a:ext cx="429387" cy="230025"/>
        </a:xfrm>
        <a:prstGeom prst="rect">
          <a:avLst/>
        </a:prstGeom>
        <a:noFill/>
      </xdr:spPr>
    </xdr:pic>
    <xdr:clientData/>
  </xdr:twoCellAnchor>
  <xdr:twoCellAnchor editAs="absolute">
    <xdr:from>
      <xdr:col>34</xdr:col>
      <xdr:colOff>247649</xdr:colOff>
      <xdr:row>6</xdr:row>
      <xdr:rowOff>25567</xdr:rowOff>
    </xdr:from>
    <xdr:to>
      <xdr:col>35</xdr:col>
      <xdr:colOff>308609</xdr:colOff>
      <xdr:row>8</xdr:row>
      <xdr:rowOff>3470</xdr:rowOff>
    </xdr:to>
    <xdr:pic>
      <xdr:nvPicPr>
        <xdr:cNvPr id="39" name="Picture 14" descr="Aventurier.png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953999" y="882817"/>
          <a:ext cx="413385" cy="282703"/>
        </a:xfrm>
        <a:prstGeom prst="rect">
          <a:avLst/>
        </a:prstGeom>
        <a:noFill/>
      </xdr:spPr>
    </xdr:pic>
    <xdr:clientData/>
  </xdr:twoCellAnchor>
  <xdr:twoCellAnchor editAs="absolute">
    <xdr:from>
      <xdr:col>33</xdr:col>
      <xdr:colOff>180975</xdr:colOff>
      <xdr:row>6</xdr:row>
      <xdr:rowOff>30580</xdr:rowOff>
    </xdr:from>
    <xdr:to>
      <xdr:col>34</xdr:col>
      <xdr:colOff>199263</xdr:colOff>
      <xdr:row>7</xdr:row>
      <xdr:rowOff>148210</xdr:rowOff>
    </xdr:to>
    <xdr:pic>
      <xdr:nvPicPr>
        <xdr:cNvPr id="40" name="Picture 15" descr="Ouvrier.png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534900" y="887830"/>
          <a:ext cx="370713" cy="270030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58615</xdr:colOff>
      <xdr:row>7</xdr:row>
      <xdr:rowOff>29307</xdr:rowOff>
    </xdr:from>
    <xdr:to>
      <xdr:col>15</xdr:col>
      <xdr:colOff>230065</xdr:colOff>
      <xdr:row>7</xdr:row>
      <xdr:rowOff>134082</xdr:rowOff>
    </xdr:to>
    <xdr:pic>
      <xdr:nvPicPr>
        <xdr:cNvPr id="1028" name="Picture 4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235211" y="1047749"/>
          <a:ext cx="171450" cy="104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57150</xdr:colOff>
      <xdr:row>3</xdr:row>
      <xdr:rowOff>19050</xdr:rowOff>
    </xdr:from>
    <xdr:to>
      <xdr:col>6</xdr:col>
      <xdr:colOff>447675</xdr:colOff>
      <xdr:row>4</xdr:row>
      <xdr:rowOff>37757</xdr:rowOff>
    </xdr:to>
    <xdr:pic>
      <xdr:nvPicPr>
        <xdr:cNvPr id="2" name="Picture 13" descr="Duelliste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86100" y="600075"/>
          <a:ext cx="390525" cy="209207"/>
        </a:xfrm>
        <a:prstGeom prst="rect">
          <a:avLst/>
        </a:prstGeom>
        <a:noFill/>
      </xdr:spPr>
    </xdr:pic>
    <xdr:clientData/>
  </xdr:twoCellAnchor>
  <xdr:twoCellAnchor editAs="absolute">
    <xdr:from>
      <xdr:col>2</xdr:col>
      <xdr:colOff>571500</xdr:colOff>
      <xdr:row>9</xdr:row>
      <xdr:rowOff>0</xdr:rowOff>
    </xdr:from>
    <xdr:to>
      <xdr:col>5</xdr:col>
      <xdr:colOff>100130</xdr:colOff>
      <xdr:row>12</xdr:row>
      <xdr:rowOff>161647</xdr:rowOff>
    </xdr:to>
    <xdr:pic>
      <xdr:nvPicPr>
        <xdr:cNvPr id="3" name="Picture 4" descr="The West -  FR forum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775" y="1733550"/>
          <a:ext cx="1814630" cy="733147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76200</xdr:colOff>
      <xdr:row>6</xdr:row>
      <xdr:rowOff>28575</xdr:rowOff>
    </xdr:from>
    <xdr:to>
      <xdr:col>10</xdr:col>
      <xdr:colOff>228600</xdr:colOff>
      <xdr:row>6</xdr:row>
      <xdr:rowOff>180975</xdr:rowOff>
    </xdr:to>
    <xdr:pic>
      <xdr:nvPicPr>
        <xdr:cNvPr id="4" name="Picture 4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314825" y="118110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76200</xdr:colOff>
      <xdr:row>8</xdr:row>
      <xdr:rowOff>19050</xdr:rowOff>
    </xdr:from>
    <xdr:to>
      <xdr:col>10</xdr:col>
      <xdr:colOff>228600</xdr:colOff>
      <xdr:row>8</xdr:row>
      <xdr:rowOff>171450</xdr:rowOff>
    </xdr:to>
    <xdr:pic>
      <xdr:nvPicPr>
        <xdr:cNvPr id="5" name="Picture 5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314825" y="1552575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114300</xdr:colOff>
      <xdr:row>4</xdr:row>
      <xdr:rowOff>161925</xdr:rowOff>
    </xdr:from>
    <xdr:to>
      <xdr:col>6</xdr:col>
      <xdr:colOff>361950</xdr:colOff>
      <xdr:row>6</xdr:row>
      <xdr:rowOff>28575</xdr:rowOff>
    </xdr:to>
    <xdr:pic>
      <xdr:nvPicPr>
        <xdr:cNvPr id="6" name="Picture 6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43250" y="933450"/>
          <a:ext cx="247650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228600</xdr:colOff>
      <xdr:row>3</xdr:row>
      <xdr:rowOff>28575</xdr:rowOff>
    </xdr:from>
    <xdr:to>
      <xdr:col>11</xdr:col>
      <xdr:colOff>381000</xdr:colOff>
      <xdr:row>3</xdr:row>
      <xdr:rowOff>180975</xdr:rowOff>
    </xdr:to>
    <xdr:pic>
      <xdr:nvPicPr>
        <xdr:cNvPr id="7" name="Picture 8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857750" y="60960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123825</xdr:colOff>
      <xdr:row>6</xdr:row>
      <xdr:rowOff>180975</xdr:rowOff>
    </xdr:from>
    <xdr:to>
      <xdr:col>6</xdr:col>
      <xdr:colOff>361950</xdr:colOff>
      <xdr:row>8</xdr:row>
      <xdr:rowOff>38100</xdr:rowOff>
    </xdr:to>
    <xdr:pic>
      <xdr:nvPicPr>
        <xdr:cNvPr id="8" name="Picture 4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152775" y="1333500"/>
          <a:ext cx="238125" cy="238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247650</xdr:colOff>
      <xdr:row>16</xdr:row>
      <xdr:rowOff>19050</xdr:rowOff>
    </xdr:from>
    <xdr:to>
      <xdr:col>11</xdr:col>
      <xdr:colOff>9525</xdr:colOff>
      <xdr:row>16</xdr:row>
      <xdr:rowOff>171450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486275" y="3095625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238125</xdr:colOff>
      <xdr:row>14</xdr:row>
      <xdr:rowOff>19050</xdr:rowOff>
    </xdr:from>
    <xdr:to>
      <xdr:col>11</xdr:col>
      <xdr:colOff>0</xdr:colOff>
      <xdr:row>14</xdr:row>
      <xdr:rowOff>171450</xdr:rowOff>
    </xdr:to>
    <xdr:pic>
      <xdr:nvPicPr>
        <xdr:cNvPr id="10" name="Picture 8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476750" y="270510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5015</xdr:colOff>
      <xdr:row>18</xdr:row>
      <xdr:rowOff>190500</xdr:rowOff>
    </xdr:from>
    <xdr:to>
      <xdr:col>18</xdr:col>
      <xdr:colOff>310817</xdr:colOff>
      <xdr:row>22</xdr:row>
      <xdr:rowOff>5012</xdr:rowOff>
    </xdr:to>
    <xdr:pic>
      <xdr:nvPicPr>
        <xdr:cNvPr id="2" name="Picture 10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7015" y="3619500"/>
          <a:ext cx="1829802" cy="57651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19</xdr:col>
      <xdr:colOff>304800</xdr:colOff>
      <xdr:row>0</xdr:row>
      <xdr:rowOff>0</xdr:rowOff>
    </xdr:from>
    <xdr:to>
      <xdr:col>23</xdr:col>
      <xdr:colOff>238125</xdr:colOff>
      <xdr:row>2</xdr:row>
      <xdr:rowOff>128611</xdr:rowOff>
    </xdr:to>
    <xdr:pic>
      <xdr:nvPicPr>
        <xdr:cNvPr id="3" name="Picture 4" descr="The West -  FR forum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82800" y="0"/>
          <a:ext cx="2981325" cy="509611"/>
        </a:xfrm>
        <a:prstGeom prst="rect">
          <a:avLst/>
        </a:prstGeom>
        <a:noFill/>
      </xdr:spPr>
    </xdr:pic>
    <xdr:clientData/>
  </xdr:twoCellAnchor>
  <xdr:twoCellAnchor editAs="absolute">
    <xdr:from>
      <xdr:col>28</xdr:col>
      <xdr:colOff>209550</xdr:colOff>
      <xdr:row>1</xdr:row>
      <xdr:rowOff>19051</xdr:rowOff>
    </xdr:from>
    <xdr:to>
      <xdr:col>31</xdr:col>
      <xdr:colOff>149736</xdr:colOff>
      <xdr:row>2</xdr:row>
      <xdr:rowOff>35758</xdr:rowOff>
    </xdr:to>
    <xdr:sp macro="" textlink="">
      <xdr:nvSpPr>
        <xdr:cNvPr id="4" name="ZoneTexte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 rot="462596">
          <a:off x="21545550" y="209551"/>
          <a:ext cx="2226186" cy="207207"/>
        </a:xfrm>
        <a:prstGeom prst="rect">
          <a:avLst/>
        </a:prstGeom>
        <a:noFill/>
        <a:effectLst>
          <a:outerShdw blurRad="76200" dist="12700" dir="2700000" sy="-23000" kx="-800400" algn="bl" rotWithShape="0">
            <a:prstClr val="black">
              <a:alpha val="2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fr-FR" sz="800" b="1">
              <a:solidFill>
                <a:schemeClr val="accent1">
                  <a:lumMod val="50000"/>
                </a:schemeClr>
              </a:solidFill>
              <a:effectLst>
                <a:outerShdw blurRad="60007" dir="15000000" sy="30000" kx="-1800000" algn="bl" rotWithShape="0">
                  <a:prstClr val="black">
                    <a:alpha val="32000"/>
                  </a:prstClr>
                </a:outerShdw>
              </a:effectLst>
            </a:rPr>
            <a:t>Mac Murdock ©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3</xdr:row>
      <xdr:rowOff>19050</xdr:rowOff>
    </xdr:from>
    <xdr:to>
      <xdr:col>9</xdr:col>
      <xdr:colOff>390525</xdr:colOff>
      <xdr:row>4</xdr:row>
      <xdr:rowOff>19050</xdr:rowOff>
    </xdr:to>
    <xdr:pic>
      <xdr:nvPicPr>
        <xdr:cNvPr id="1028" name="Picture 4" descr="Résistance">
          <a:extLst>
            <a:ext uri="{FF2B5EF4-FFF2-40B4-BE49-F238E27FC236}">
              <a16:creationId xmlns="" xmlns:a16="http://schemas.microsoft.com/office/drawing/2014/main" id="{00000000-0008-0000-03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33825" y="4762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0</xdr:colOff>
      <xdr:row>15</xdr:row>
      <xdr:rowOff>0</xdr:rowOff>
    </xdr:from>
    <xdr:to>
      <xdr:col>26</xdr:col>
      <xdr:colOff>171450</xdr:colOff>
      <xdr:row>15</xdr:row>
      <xdr:rowOff>104775</xdr:rowOff>
    </xdr:to>
    <xdr:pic>
      <xdr:nvPicPr>
        <xdr:cNvPr id="1026" name="Picture 2" descr="Toucher">
          <a:extLst>
            <a:ext uri="{FF2B5EF4-FFF2-40B4-BE49-F238E27FC236}">
              <a16:creationId xmlns="" xmlns:a16="http://schemas.microsoft.com/office/drawing/2014/main" id="{00000000-0008-0000-03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58475" y="213360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171450</xdr:colOff>
      <xdr:row>18</xdr:row>
      <xdr:rowOff>104775</xdr:rowOff>
    </xdr:to>
    <xdr:pic>
      <xdr:nvPicPr>
        <xdr:cNvPr id="3" name="Picture 2" descr="Toucher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58475" y="259080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0</xdr:colOff>
      <xdr:row>21</xdr:row>
      <xdr:rowOff>0</xdr:rowOff>
    </xdr:from>
    <xdr:to>
      <xdr:col>26</xdr:col>
      <xdr:colOff>171450</xdr:colOff>
      <xdr:row>21</xdr:row>
      <xdr:rowOff>104775</xdr:rowOff>
    </xdr:to>
    <xdr:pic>
      <xdr:nvPicPr>
        <xdr:cNvPr id="4" name="Picture 2" descr="Toucher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58475" y="304800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0</xdr:colOff>
      <xdr:row>24</xdr:row>
      <xdr:rowOff>0</xdr:rowOff>
    </xdr:from>
    <xdr:to>
      <xdr:col>26</xdr:col>
      <xdr:colOff>171450</xdr:colOff>
      <xdr:row>24</xdr:row>
      <xdr:rowOff>104775</xdr:rowOff>
    </xdr:to>
    <xdr:pic>
      <xdr:nvPicPr>
        <xdr:cNvPr id="5" name="Picture 2" descr="Toucher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58475" y="350520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0</xdr:colOff>
      <xdr:row>27</xdr:row>
      <xdr:rowOff>0</xdr:rowOff>
    </xdr:from>
    <xdr:to>
      <xdr:col>26</xdr:col>
      <xdr:colOff>171450</xdr:colOff>
      <xdr:row>27</xdr:row>
      <xdr:rowOff>104775</xdr:rowOff>
    </xdr:to>
    <xdr:pic>
      <xdr:nvPicPr>
        <xdr:cNvPr id="6" name="Picture 2" descr="Toucher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58475" y="396240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47625</xdr:colOff>
      <xdr:row>3</xdr:row>
      <xdr:rowOff>47625</xdr:rowOff>
    </xdr:from>
    <xdr:to>
      <xdr:col>10</xdr:col>
      <xdr:colOff>219075</xdr:colOff>
      <xdr:row>4</xdr:row>
      <xdr:rowOff>0</xdr:rowOff>
    </xdr:to>
    <xdr:pic>
      <xdr:nvPicPr>
        <xdr:cNvPr id="8" name="Picture 2" descr="Toucher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91025" y="504825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38100</xdr:colOff>
      <xdr:row>16</xdr:row>
      <xdr:rowOff>0</xdr:rowOff>
    </xdr:from>
    <xdr:to>
      <xdr:col>26</xdr:col>
      <xdr:colOff>133350</xdr:colOff>
      <xdr:row>16</xdr:row>
      <xdr:rowOff>123825</xdr:rowOff>
    </xdr:to>
    <xdr:pic>
      <xdr:nvPicPr>
        <xdr:cNvPr id="1027" name="Picture 3" descr="Esquiver">
          <a:extLst>
            <a:ext uri="{FF2B5EF4-FFF2-40B4-BE49-F238E27FC236}">
              <a16:creationId xmlns="" xmlns:a16="http://schemas.microsoft.com/office/drawing/2014/main" id="{00000000-0008-0000-03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696575" y="2286000"/>
          <a:ext cx="952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171450</xdr:colOff>
      <xdr:row>18</xdr:row>
      <xdr:rowOff>104775</xdr:rowOff>
    </xdr:to>
    <xdr:pic>
      <xdr:nvPicPr>
        <xdr:cNvPr id="11" name="Picture 2" descr="Toucher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58475" y="213360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38100</xdr:colOff>
      <xdr:row>19</xdr:row>
      <xdr:rowOff>0</xdr:rowOff>
    </xdr:from>
    <xdr:to>
      <xdr:col>26</xdr:col>
      <xdr:colOff>133350</xdr:colOff>
      <xdr:row>19</xdr:row>
      <xdr:rowOff>123825</xdr:rowOff>
    </xdr:to>
    <xdr:pic>
      <xdr:nvPicPr>
        <xdr:cNvPr id="12" name="Picture 3" descr="Esquiver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696575" y="2286000"/>
          <a:ext cx="952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0</xdr:colOff>
      <xdr:row>21</xdr:row>
      <xdr:rowOff>0</xdr:rowOff>
    </xdr:from>
    <xdr:to>
      <xdr:col>26</xdr:col>
      <xdr:colOff>171450</xdr:colOff>
      <xdr:row>21</xdr:row>
      <xdr:rowOff>104775</xdr:rowOff>
    </xdr:to>
    <xdr:pic>
      <xdr:nvPicPr>
        <xdr:cNvPr id="13" name="Picture 2" descr="Toucher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58475" y="213360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38100</xdr:colOff>
      <xdr:row>22</xdr:row>
      <xdr:rowOff>0</xdr:rowOff>
    </xdr:from>
    <xdr:to>
      <xdr:col>26</xdr:col>
      <xdr:colOff>133350</xdr:colOff>
      <xdr:row>22</xdr:row>
      <xdr:rowOff>123825</xdr:rowOff>
    </xdr:to>
    <xdr:pic>
      <xdr:nvPicPr>
        <xdr:cNvPr id="14" name="Picture 3" descr="Esquiver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696575" y="2286000"/>
          <a:ext cx="952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0</xdr:colOff>
      <xdr:row>24</xdr:row>
      <xdr:rowOff>0</xdr:rowOff>
    </xdr:from>
    <xdr:to>
      <xdr:col>26</xdr:col>
      <xdr:colOff>171450</xdr:colOff>
      <xdr:row>24</xdr:row>
      <xdr:rowOff>104775</xdr:rowOff>
    </xdr:to>
    <xdr:pic>
      <xdr:nvPicPr>
        <xdr:cNvPr id="15" name="Picture 2" descr="Toucher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58475" y="213360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38100</xdr:colOff>
      <xdr:row>25</xdr:row>
      <xdr:rowOff>0</xdr:rowOff>
    </xdr:from>
    <xdr:to>
      <xdr:col>26</xdr:col>
      <xdr:colOff>133350</xdr:colOff>
      <xdr:row>25</xdr:row>
      <xdr:rowOff>123825</xdr:rowOff>
    </xdr:to>
    <xdr:pic>
      <xdr:nvPicPr>
        <xdr:cNvPr id="16" name="Picture 3" descr="Esquiver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696575" y="2286000"/>
          <a:ext cx="952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0</xdr:colOff>
      <xdr:row>27</xdr:row>
      <xdr:rowOff>0</xdr:rowOff>
    </xdr:from>
    <xdr:to>
      <xdr:col>26</xdr:col>
      <xdr:colOff>171450</xdr:colOff>
      <xdr:row>27</xdr:row>
      <xdr:rowOff>104775</xdr:rowOff>
    </xdr:to>
    <xdr:pic>
      <xdr:nvPicPr>
        <xdr:cNvPr id="17" name="Picture 2" descr="Toucher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58475" y="213360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26</xdr:col>
      <xdr:colOff>38100</xdr:colOff>
      <xdr:row>28</xdr:row>
      <xdr:rowOff>0</xdr:rowOff>
    </xdr:from>
    <xdr:to>
      <xdr:col>26</xdr:col>
      <xdr:colOff>133350</xdr:colOff>
      <xdr:row>28</xdr:row>
      <xdr:rowOff>123825</xdr:rowOff>
    </xdr:to>
    <xdr:pic>
      <xdr:nvPicPr>
        <xdr:cNvPr id="18" name="Picture 3" descr="Esquiver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696575" y="2286000"/>
          <a:ext cx="95250" cy="1238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85725</xdr:colOff>
      <xdr:row>3</xdr:row>
      <xdr:rowOff>28575</xdr:rowOff>
    </xdr:from>
    <xdr:to>
      <xdr:col>11</xdr:col>
      <xdr:colOff>180975</xdr:colOff>
      <xdr:row>4</xdr:row>
      <xdr:rowOff>0</xdr:rowOff>
    </xdr:to>
    <xdr:pic>
      <xdr:nvPicPr>
        <xdr:cNvPr id="21" name="Picture 3" descr="Esquiver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076825" y="485775"/>
          <a:ext cx="95250" cy="12382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114300</xdr:colOff>
      <xdr:row>5</xdr:row>
      <xdr:rowOff>95250</xdr:rowOff>
    </xdr:from>
    <xdr:to>
      <xdr:col>21</xdr:col>
      <xdr:colOff>285750</xdr:colOff>
      <xdr:row>6</xdr:row>
      <xdr:rowOff>47625</xdr:rowOff>
    </xdr:to>
    <xdr:pic>
      <xdr:nvPicPr>
        <xdr:cNvPr id="23" name="Picture 2" descr="Toucher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82100" y="85725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21</xdr:col>
      <xdr:colOff>133350</xdr:colOff>
      <xdr:row>8</xdr:row>
      <xdr:rowOff>66675</xdr:rowOff>
    </xdr:from>
    <xdr:to>
      <xdr:col>21</xdr:col>
      <xdr:colOff>304800</xdr:colOff>
      <xdr:row>9</xdr:row>
      <xdr:rowOff>19050</xdr:rowOff>
    </xdr:to>
    <xdr:pic>
      <xdr:nvPicPr>
        <xdr:cNvPr id="24" name="Picture 2" descr="Toucher">
          <a:extLst>
            <a:ext uri="{FF2B5EF4-FFF2-40B4-BE49-F238E27FC236}">
              <a16:creationId xmlns="" xmlns:a16="http://schemas.microsoft.com/office/drawing/2014/main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01150" y="1285875"/>
          <a:ext cx="171450" cy="104775"/>
        </a:xfrm>
        <a:prstGeom prst="rect">
          <a:avLst/>
        </a:prstGeom>
        <a:noFill/>
      </xdr:spPr>
    </xdr:pic>
    <xdr:clientData/>
  </xdr:twoCellAnchor>
  <xdr:twoCellAnchor editAs="absolute">
    <xdr:from>
      <xdr:col>34</xdr:col>
      <xdr:colOff>225392</xdr:colOff>
      <xdr:row>9</xdr:row>
      <xdr:rowOff>10224</xdr:rowOff>
    </xdr:from>
    <xdr:to>
      <xdr:col>37</xdr:col>
      <xdr:colOff>51278</xdr:colOff>
      <xdr:row>10</xdr:row>
      <xdr:rowOff>74556</xdr:rowOff>
    </xdr:to>
    <xdr:sp macro="" textlink="">
      <xdr:nvSpPr>
        <xdr:cNvPr id="26" name="ZoneTexte 25">
          <a:extLst>
            <a:ext uri="{FF2B5EF4-FFF2-40B4-BE49-F238E27FC236}">
              <a16:creationId xmlns="" xmlns:a16="http://schemas.microsoft.com/office/drawing/2014/main" id="{00000000-0008-0000-0300-00001A000000}"/>
            </a:ext>
          </a:extLst>
        </xdr:cNvPr>
        <xdr:cNvSpPr txBox="1"/>
      </xdr:nvSpPr>
      <xdr:spPr>
        <a:xfrm rot="462596">
          <a:off x="12918708" y="1308632"/>
          <a:ext cx="878649" cy="214727"/>
        </a:xfrm>
        <a:prstGeom prst="rect">
          <a:avLst/>
        </a:prstGeom>
        <a:noFill/>
        <a:effectLst>
          <a:outerShdw blurRad="76200" dist="12700" dir="2700000" sy="-23000" kx="-800400" algn="bl" rotWithShape="0">
            <a:prstClr val="black">
              <a:alpha val="2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fr-FR" sz="800" b="1">
              <a:solidFill>
                <a:schemeClr val="accent1">
                  <a:lumMod val="50000"/>
                </a:schemeClr>
              </a:solidFill>
              <a:effectLst>
                <a:outerShdw blurRad="60007" dir="15000000" sy="30000" kx="-1800000" algn="bl" rotWithShape="0">
                  <a:prstClr val="black">
                    <a:alpha val="32000"/>
                  </a:prstClr>
                </a:outerShdw>
              </a:effectLst>
            </a:rPr>
            <a:t>Mac Murdock ©</a:t>
          </a:r>
        </a:p>
      </xdr:txBody>
    </xdr:sp>
    <xdr:clientData/>
  </xdr:twoCellAnchor>
  <xdr:twoCellAnchor editAs="oneCell">
    <xdr:from>
      <xdr:col>32</xdr:col>
      <xdr:colOff>0</xdr:colOff>
      <xdr:row>15</xdr:row>
      <xdr:rowOff>0</xdr:rowOff>
    </xdr:from>
    <xdr:to>
      <xdr:col>32</xdr:col>
      <xdr:colOff>171450</xdr:colOff>
      <xdr:row>15</xdr:row>
      <xdr:rowOff>104775</xdr:rowOff>
    </xdr:to>
    <xdr:pic>
      <xdr:nvPicPr>
        <xdr:cNvPr id="25" name="Picture 2" descr="Toucher">
          <a:extLst>
            <a:ext uri="{FF2B5EF4-FFF2-40B4-BE49-F238E27FC236}">
              <a16:creationId xmlns="" xmlns:a16="http://schemas.microsoft.com/office/drawing/2014/main" id="{00000000-0008-0000-03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58450" y="213360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0</xdr:colOff>
      <xdr:row>18</xdr:row>
      <xdr:rowOff>0</xdr:rowOff>
    </xdr:from>
    <xdr:to>
      <xdr:col>32</xdr:col>
      <xdr:colOff>171450</xdr:colOff>
      <xdr:row>18</xdr:row>
      <xdr:rowOff>104775</xdr:rowOff>
    </xdr:to>
    <xdr:pic>
      <xdr:nvPicPr>
        <xdr:cNvPr id="27" name="Picture 2" descr="Toucher">
          <a:extLst>
            <a:ext uri="{FF2B5EF4-FFF2-40B4-BE49-F238E27FC236}">
              <a16:creationId xmlns="" xmlns:a16="http://schemas.microsoft.com/office/drawing/2014/main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58450" y="259080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0</xdr:colOff>
      <xdr:row>21</xdr:row>
      <xdr:rowOff>0</xdr:rowOff>
    </xdr:from>
    <xdr:to>
      <xdr:col>32</xdr:col>
      <xdr:colOff>171450</xdr:colOff>
      <xdr:row>21</xdr:row>
      <xdr:rowOff>104775</xdr:rowOff>
    </xdr:to>
    <xdr:pic>
      <xdr:nvPicPr>
        <xdr:cNvPr id="28" name="Picture 2" descr="Toucher">
          <a:extLst>
            <a:ext uri="{FF2B5EF4-FFF2-40B4-BE49-F238E27FC236}">
              <a16:creationId xmlns="" xmlns:a16="http://schemas.microsoft.com/office/drawing/2014/main" id="{00000000-0008-0000-03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58450" y="304800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0</xdr:colOff>
      <xdr:row>24</xdr:row>
      <xdr:rowOff>0</xdr:rowOff>
    </xdr:from>
    <xdr:to>
      <xdr:col>32</xdr:col>
      <xdr:colOff>171450</xdr:colOff>
      <xdr:row>24</xdr:row>
      <xdr:rowOff>104775</xdr:rowOff>
    </xdr:to>
    <xdr:pic>
      <xdr:nvPicPr>
        <xdr:cNvPr id="29" name="Picture 2" descr="Toucher">
          <a:extLst>
            <a:ext uri="{FF2B5EF4-FFF2-40B4-BE49-F238E27FC236}">
              <a16:creationId xmlns="" xmlns:a16="http://schemas.microsoft.com/office/drawing/2014/main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58450" y="350520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0</xdr:colOff>
      <xdr:row>27</xdr:row>
      <xdr:rowOff>0</xdr:rowOff>
    </xdr:from>
    <xdr:to>
      <xdr:col>32</xdr:col>
      <xdr:colOff>171450</xdr:colOff>
      <xdr:row>27</xdr:row>
      <xdr:rowOff>104775</xdr:rowOff>
    </xdr:to>
    <xdr:pic>
      <xdr:nvPicPr>
        <xdr:cNvPr id="30" name="Picture 2" descr="Toucher">
          <a:extLst>
            <a:ext uri="{FF2B5EF4-FFF2-40B4-BE49-F238E27FC236}">
              <a16:creationId xmlns="" xmlns:a16="http://schemas.microsoft.com/office/drawing/2014/main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58450" y="396240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38100</xdr:colOff>
      <xdr:row>16</xdr:row>
      <xdr:rowOff>0</xdr:rowOff>
    </xdr:from>
    <xdr:to>
      <xdr:col>32</xdr:col>
      <xdr:colOff>133350</xdr:colOff>
      <xdr:row>16</xdr:row>
      <xdr:rowOff>123825</xdr:rowOff>
    </xdr:to>
    <xdr:pic>
      <xdr:nvPicPr>
        <xdr:cNvPr id="32" name="Picture 3" descr="Esquiver">
          <a:extLst>
            <a:ext uri="{FF2B5EF4-FFF2-40B4-BE49-F238E27FC236}">
              <a16:creationId xmlns="" xmlns:a16="http://schemas.microsoft.com/office/drawing/2014/main" id="{00000000-0008-0000-03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96550" y="2286000"/>
          <a:ext cx="95250" cy="12382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0</xdr:colOff>
      <xdr:row>18</xdr:row>
      <xdr:rowOff>0</xdr:rowOff>
    </xdr:from>
    <xdr:to>
      <xdr:col>32</xdr:col>
      <xdr:colOff>171450</xdr:colOff>
      <xdr:row>18</xdr:row>
      <xdr:rowOff>104775</xdr:rowOff>
    </xdr:to>
    <xdr:pic>
      <xdr:nvPicPr>
        <xdr:cNvPr id="33" name="Picture 2" descr="Toucher">
          <a:extLst>
            <a:ext uri="{FF2B5EF4-FFF2-40B4-BE49-F238E27FC236}">
              <a16:creationId xmlns="" xmlns:a16="http://schemas.microsoft.com/office/drawing/2014/main" id="{00000000-0008-0000-03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58450" y="259080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38100</xdr:colOff>
      <xdr:row>19</xdr:row>
      <xdr:rowOff>0</xdr:rowOff>
    </xdr:from>
    <xdr:to>
      <xdr:col>32</xdr:col>
      <xdr:colOff>133350</xdr:colOff>
      <xdr:row>19</xdr:row>
      <xdr:rowOff>123825</xdr:rowOff>
    </xdr:to>
    <xdr:pic>
      <xdr:nvPicPr>
        <xdr:cNvPr id="34" name="Picture 3" descr="Esquiver">
          <a:extLst>
            <a:ext uri="{FF2B5EF4-FFF2-40B4-BE49-F238E27FC236}">
              <a16:creationId xmlns="" xmlns:a16="http://schemas.microsoft.com/office/drawing/2014/main" id="{00000000-0008-0000-03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96550" y="2743200"/>
          <a:ext cx="95250" cy="12382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0</xdr:colOff>
      <xdr:row>21</xdr:row>
      <xdr:rowOff>0</xdr:rowOff>
    </xdr:from>
    <xdr:to>
      <xdr:col>32</xdr:col>
      <xdr:colOff>171450</xdr:colOff>
      <xdr:row>21</xdr:row>
      <xdr:rowOff>104775</xdr:rowOff>
    </xdr:to>
    <xdr:pic>
      <xdr:nvPicPr>
        <xdr:cNvPr id="35" name="Picture 2" descr="Toucher">
          <a:extLst>
            <a:ext uri="{FF2B5EF4-FFF2-40B4-BE49-F238E27FC236}">
              <a16:creationId xmlns="" xmlns:a16="http://schemas.microsoft.com/office/drawing/2014/main" id="{00000000-0008-0000-03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58450" y="304800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38100</xdr:colOff>
      <xdr:row>22</xdr:row>
      <xdr:rowOff>0</xdr:rowOff>
    </xdr:from>
    <xdr:to>
      <xdr:col>32</xdr:col>
      <xdr:colOff>133350</xdr:colOff>
      <xdr:row>22</xdr:row>
      <xdr:rowOff>123825</xdr:rowOff>
    </xdr:to>
    <xdr:pic>
      <xdr:nvPicPr>
        <xdr:cNvPr id="36" name="Picture 3" descr="Esquiver">
          <a:extLst>
            <a:ext uri="{FF2B5EF4-FFF2-40B4-BE49-F238E27FC236}">
              <a16:creationId xmlns="" xmlns:a16="http://schemas.microsoft.com/office/drawing/2014/main" id="{00000000-0008-0000-03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96550" y="3200400"/>
          <a:ext cx="95250" cy="12382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0</xdr:colOff>
      <xdr:row>24</xdr:row>
      <xdr:rowOff>0</xdr:rowOff>
    </xdr:from>
    <xdr:to>
      <xdr:col>32</xdr:col>
      <xdr:colOff>171450</xdr:colOff>
      <xdr:row>24</xdr:row>
      <xdr:rowOff>104775</xdr:rowOff>
    </xdr:to>
    <xdr:pic>
      <xdr:nvPicPr>
        <xdr:cNvPr id="37" name="Picture 2" descr="Toucher">
          <a:extLst>
            <a:ext uri="{FF2B5EF4-FFF2-40B4-BE49-F238E27FC236}">
              <a16:creationId xmlns="" xmlns:a16="http://schemas.microsoft.com/office/drawing/2014/main" id="{00000000-0008-0000-03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58450" y="350520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38100</xdr:colOff>
      <xdr:row>25</xdr:row>
      <xdr:rowOff>0</xdr:rowOff>
    </xdr:from>
    <xdr:to>
      <xdr:col>32</xdr:col>
      <xdr:colOff>133350</xdr:colOff>
      <xdr:row>25</xdr:row>
      <xdr:rowOff>123825</xdr:rowOff>
    </xdr:to>
    <xdr:pic>
      <xdr:nvPicPr>
        <xdr:cNvPr id="38" name="Picture 3" descr="Esquiver">
          <a:extLst>
            <a:ext uri="{FF2B5EF4-FFF2-40B4-BE49-F238E27FC236}">
              <a16:creationId xmlns="" xmlns:a16="http://schemas.microsoft.com/office/drawing/2014/main" id="{00000000-0008-0000-03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96550" y="3657600"/>
          <a:ext cx="95250" cy="12382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0</xdr:colOff>
      <xdr:row>27</xdr:row>
      <xdr:rowOff>0</xdr:rowOff>
    </xdr:from>
    <xdr:to>
      <xdr:col>32</xdr:col>
      <xdr:colOff>171450</xdr:colOff>
      <xdr:row>27</xdr:row>
      <xdr:rowOff>104775</xdr:rowOff>
    </xdr:to>
    <xdr:pic>
      <xdr:nvPicPr>
        <xdr:cNvPr id="39" name="Picture 2" descr="Toucher"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58450" y="3962400"/>
          <a:ext cx="171450" cy="10477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38100</xdr:colOff>
      <xdr:row>28</xdr:row>
      <xdr:rowOff>0</xdr:rowOff>
    </xdr:from>
    <xdr:to>
      <xdr:col>32</xdr:col>
      <xdr:colOff>133350</xdr:colOff>
      <xdr:row>28</xdr:row>
      <xdr:rowOff>123825</xdr:rowOff>
    </xdr:to>
    <xdr:pic>
      <xdr:nvPicPr>
        <xdr:cNvPr id="40" name="Picture 3" descr="Esquiver">
          <a:extLst>
            <a:ext uri="{FF2B5EF4-FFF2-40B4-BE49-F238E27FC236}">
              <a16:creationId xmlns="" xmlns:a16="http://schemas.microsoft.com/office/drawing/2014/main" id="{00000000-0008-0000-03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496550" y="4114800"/>
          <a:ext cx="95250" cy="123825"/>
        </a:xfrm>
        <a:prstGeom prst="rect">
          <a:avLst/>
        </a:prstGeom>
        <a:noFill/>
      </xdr:spPr>
    </xdr:pic>
    <xdr:clientData/>
  </xdr:twoCellAnchor>
  <xdr:twoCellAnchor editAs="absolute">
    <xdr:from>
      <xdr:col>31</xdr:col>
      <xdr:colOff>89777</xdr:colOff>
      <xdr:row>1</xdr:row>
      <xdr:rowOff>5041</xdr:rowOff>
    </xdr:from>
    <xdr:to>
      <xdr:col>37</xdr:col>
      <xdr:colOff>94657</xdr:colOff>
      <xdr:row>5</xdr:row>
      <xdr:rowOff>128588</xdr:rowOff>
    </xdr:to>
    <xdr:pic>
      <xdr:nvPicPr>
        <xdr:cNvPr id="9" name="Picture 4" descr="The West -  FR forum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031119" y="100291"/>
          <a:ext cx="1809617" cy="725126"/>
        </a:xfrm>
        <a:prstGeom prst="rect">
          <a:avLst/>
        </a:prstGeom>
        <a:noFill/>
      </xdr:spPr>
    </xdr:pic>
    <xdr:clientData/>
  </xdr:twoCellAnchor>
  <xdr:twoCellAnchor editAs="absolute">
    <xdr:from>
      <xdr:col>31</xdr:col>
      <xdr:colOff>122822</xdr:colOff>
      <xdr:row>6</xdr:row>
      <xdr:rowOff>41108</xdr:rowOff>
    </xdr:from>
    <xdr:to>
      <xdr:col>33</xdr:col>
      <xdr:colOff>138824</xdr:colOff>
      <xdr:row>7</xdr:row>
      <xdr:rowOff>148070</xdr:rowOff>
    </xdr:to>
    <xdr:pic>
      <xdr:nvPicPr>
        <xdr:cNvPr id="1036" name="Picture 12" descr="Soldat.png">
          <a:extLst>
            <a:ext uri="{FF2B5EF4-FFF2-40B4-BE49-F238E27FC236}">
              <a16:creationId xmlns="" xmlns:a16="http://schemas.microsoft.com/office/drawing/2014/main" id="{00000000-0008-0000-03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064164" y="888332"/>
          <a:ext cx="417055" cy="257356"/>
        </a:xfrm>
        <a:prstGeom prst="rect">
          <a:avLst/>
        </a:prstGeom>
        <a:noFill/>
      </xdr:spPr>
    </xdr:pic>
    <xdr:clientData/>
  </xdr:twoCellAnchor>
  <xdr:twoCellAnchor editAs="absolute">
    <xdr:from>
      <xdr:col>35</xdr:col>
      <xdr:colOff>347913</xdr:colOff>
      <xdr:row>6</xdr:row>
      <xdr:rowOff>63666</xdr:rowOff>
    </xdr:from>
    <xdr:to>
      <xdr:col>37</xdr:col>
      <xdr:colOff>72450</xdr:colOff>
      <xdr:row>7</xdr:row>
      <xdr:rowOff>141291</xdr:rowOff>
    </xdr:to>
    <xdr:pic>
      <xdr:nvPicPr>
        <xdr:cNvPr id="1037" name="Picture 13" descr="Duelliste.png">
          <a:extLst>
            <a:ext uri="{FF2B5EF4-FFF2-40B4-BE49-F238E27FC236}">
              <a16:creationId xmlns="" xmlns:a16="http://schemas.microsoft.com/office/drawing/2014/main" id="{00000000-0008-0000-03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392150" y="910890"/>
          <a:ext cx="426379" cy="228019"/>
        </a:xfrm>
        <a:prstGeom prst="rect">
          <a:avLst/>
        </a:prstGeom>
        <a:noFill/>
      </xdr:spPr>
    </xdr:pic>
    <xdr:clientData/>
  </xdr:twoCellAnchor>
  <xdr:twoCellAnchor editAs="absolute">
    <xdr:from>
      <xdr:col>34</xdr:col>
      <xdr:colOff>247649</xdr:colOff>
      <xdr:row>6</xdr:row>
      <xdr:rowOff>25567</xdr:rowOff>
    </xdr:from>
    <xdr:to>
      <xdr:col>35</xdr:col>
      <xdr:colOff>308609</xdr:colOff>
      <xdr:row>8</xdr:row>
      <xdr:rowOff>3470</xdr:rowOff>
    </xdr:to>
    <xdr:pic>
      <xdr:nvPicPr>
        <xdr:cNvPr id="1038" name="Picture 14" descr="Aventurier.png">
          <a:extLst>
            <a:ext uri="{FF2B5EF4-FFF2-40B4-BE49-F238E27FC236}">
              <a16:creationId xmlns="" xmlns:a16="http://schemas.microsoft.com/office/drawing/2014/main" id="{00000000-0008-0000-03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940965" y="872791"/>
          <a:ext cx="411881" cy="278692"/>
        </a:xfrm>
        <a:prstGeom prst="rect">
          <a:avLst/>
        </a:prstGeom>
        <a:noFill/>
      </xdr:spPr>
    </xdr:pic>
    <xdr:clientData/>
  </xdr:twoCellAnchor>
  <xdr:twoCellAnchor editAs="absolute">
    <xdr:from>
      <xdr:col>33</xdr:col>
      <xdr:colOff>180975</xdr:colOff>
      <xdr:row>6</xdr:row>
      <xdr:rowOff>30580</xdr:rowOff>
    </xdr:from>
    <xdr:to>
      <xdr:col>34</xdr:col>
      <xdr:colOff>199263</xdr:colOff>
      <xdr:row>7</xdr:row>
      <xdr:rowOff>148210</xdr:rowOff>
    </xdr:to>
    <xdr:pic>
      <xdr:nvPicPr>
        <xdr:cNvPr id="1039" name="Picture 15" descr="Ouvrier.png">
          <a:extLst>
            <a:ext uri="{FF2B5EF4-FFF2-40B4-BE49-F238E27FC236}">
              <a16:creationId xmlns="" xmlns:a16="http://schemas.microsoft.com/office/drawing/2014/main" id="{00000000-0008-0000-03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523370" y="877804"/>
          <a:ext cx="369209" cy="268024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57150</xdr:colOff>
      <xdr:row>3</xdr:row>
      <xdr:rowOff>19050</xdr:rowOff>
    </xdr:from>
    <xdr:to>
      <xdr:col>6</xdr:col>
      <xdr:colOff>447675</xdr:colOff>
      <xdr:row>4</xdr:row>
      <xdr:rowOff>37757</xdr:rowOff>
    </xdr:to>
    <xdr:pic>
      <xdr:nvPicPr>
        <xdr:cNvPr id="4" name="Picture 13" descr="Duelliste.png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86100" y="600075"/>
          <a:ext cx="390525" cy="209207"/>
        </a:xfrm>
        <a:prstGeom prst="rect">
          <a:avLst/>
        </a:prstGeom>
        <a:noFill/>
      </xdr:spPr>
    </xdr:pic>
    <xdr:clientData/>
  </xdr:twoCellAnchor>
  <xdr:twoCellAnchor editAs="absolute">
    <xdr:from>
      <xdr:col>2</xdr:col>
      <xdr:colOff>571500</xdr:colOff>
      <xdr:row>9</xdr:row>
      <xdr:rowOff>0</xdr:rowOff>
    </xdr:from>
    <xdr:to>
      <xdr:col>5</xdr:col>
      <xdr:colOff>100130</xdr:colOff>
      <xdr:row>12</xdr:row>
      <xdr:rowOff>161647</xdr:rowOff>
    </xdr:to>
    <xdr:pic>
      <xdr:nvPicPr>
        <xdr:cNvPr id="5" name="Picture 4" descr="The West -  FR forum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6775" y="1733550"/>
          <a:ext cx="1814630" cy="733147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76200</xdr:colOff>
      <xdr:row>6</xdr:row>
      <xdr:rowOff>28575</xdr:rowOff>
    </xdr:from>
    <xdr:to>
      <xdr:col>10</xdr:col>
      <xdr:colOff>228600</xdr:colOff>
      <xdr:row>6</xdr:row>
      <xdr:rowOff>180975</xdr:rowOff>
    </xdr:to>
    <xdr:pic>
      <xdr:nvPicPr>
        <xdr:cNvPr id="2052" name="Picture 4">
          <a:extLst>
            <a:ext uri="{FF2B5EF4-FFF2-40B4-BE49-F238E27FC236}">
              <a16:creationId xmlns="" xmlns:a16="http://schemas.microsoft.com/office/drawing/2014/main" id="{00000000-0008-0000-04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371975" y="118110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76200</xdr:colOff>
      <xdr:row>8</xdr:row>
      <xdr:rowOff>19050</xdr:rowOff>
    </xdr:from>
    <xdr:to>
      <xdr:col>10</xdr:col>
      <xdr:colOff>228600</xdr:colOff>
      <xdr:row>8</xdr:row>
      <xdr:rowOff>171450</xdr:rowOff>
    </xdr:to>
    <xdr:pic>
      <xdr:nvPicPr>
        <xdr:cNvPr id="2053" name="Picture 5">
          <a:extLst>
            <a:ext uri="{FF2B5EF4-FFF2-40B4-BE49-F238E27FC236}">
              <a16:creationId xmlns="" xmlns:a16="http://schemas.microsoft.com/office/drawing/2014/main" id="{00000000-0008-0000-04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371975" y="156210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114300</xdr:colOff>
      <xdr:row>4</xdr:row>
      <xdr:rowOff>161925</xdr:rowOff>
    </xdr:from>
    <xdr:to>
      <xdr:col>6</xdr:col>
      <xdr:colOff>361950</xdr:colOff>
      <xdr:row>6</xdr:row>
      <xdr:rowOff>28575</xdr:rowOff>
    </xdr:to>
    <xdr:pic>
      <xdr:nvPicPr>
        <xdr:cNvPr id="2054" name="Picture 6">
          <a:extLst>
            <a:ext uri="{FF2B5EF4-FFF2-40B4-BE49-F238E27FC236}">
              <a16:creationId xmlns="" xmlns:a16="http://schemas.microsoft.com/office/drawing/2014/main" id="{00000000-0008-0000-04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43250" y="933450"/>
          <a:ext cx="247650" cy="247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228600</xdr:colOff>
      <xdr:row>3</xdr:row>
      <xdr:rowOff>28575</xdr:rowOff>
    </xdr:from>
    <xdr:to>
      <xdr:col>11</xdr:col>
      <xdr:colOff>381000</xdr:colOff>
      <xdr:row>3</xdr:row>
      <xdr:rowOff>180975</xdr:rowOff>
    </xdr:to>
    <xdr:pic>
      <xdr:nvPicPr>
        <xdr:cNvPr id="2056" name="Picture 8">
          <a:extLst>
            <a:ext uri="{FF2B5EF4-FFF2-40B4-BE49-F238E27FC236}">
              <a16:creationId xmlns="" xmlns:a16="http://schemas.microsoft.com/office/drawing/2014/main" id="{00000000-0008-0000-04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943475" y="60960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123825</xdr:colOff>
      <xdr:row>6</xdr:row>
      <xdr:rowOff>180975</xdr:rowOff>
    </xdr:from>
    <xdr:to>
      <xdr:col>6</xdr:col>
      <xdr:colOff>361950</xdr:colOff>
      <xdr:row>8</xdr:row>
      <xdr:rowOff>38100</xdr:rowOff>
    </xdr:to>
    <xdr:pic>
      <xdr:nvPicPr>
        <xdr:cNvPr id="2" name="Picture 4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152775" y="1333500"/>
          <a:ext cx="238125" cy="238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247650</xdr:colOff>
      <xdr:row>16</xdr:row>
      <xdr:rowOff>19050</xdr:rowOff>
    </xdr:from>
    <xdr:to>
      <xdr:col>11</xdr:col>
      <xdr:colOff>9525</xdr:colOff>
      <xdr:row>16</xdr:row>
      <xdr:rowOff>171450</xdr:rowOff>
    </xdr:to>
    <xdr:pic>
      <xdr:nvPicPr>
        <xdr:cNvPr id="12" name="Picture 8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43425" y="3095625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238125</xdr:colOff>
      <xdr:row>14</xdr:row>
      <xdr:rowOff>19050</xdr:rowOff>
    </xdr:from>
    <xdr:to>
      <xdr:col>11</xdr:col>
      <xdr:colOff>0</xdr:colOff>
      <xdr:row>14</xdr:row>
      <xdr:rowOff>171450</xdr:rowOff>
    </xdr:to>
    <xdr:pic>
      <xdr:nvPicPr>
        <xdr:cNvPr id="13" name="Picture 8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533900" y="2705100"/>
          <a:ext cx="152400" cy="152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10</xdr:row>
      <xdr:rowOff>9526</xdr:rowOff>
    </xdr:from>
    <xdr:to>
      <xdr:col>1</xdr:col>
      <xdr:colOff>790575</xdr:colOff>
      <xdr:row>11</xdr:row>
      <xdr:rowOff>2382</xdr:rowOff>
    </xdr:to>
    <xdr:pic>
      <xdr:nvPicPr>
        <xdr:cNvPr id="4" name="Image 3" descr="Monter_à_cheval.png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0" y="2124076"/>
          <a:ext cx="314325" cy="183356"/>
        </a:xfrm>
        <a:prstGeom prst="rect">
          <a:avLst/>
        </a:prstGeom>
      </xdr:spPr>
    </xdr:pic>
    <xdr:clientData/>
  </xdr:twoCellAnchor>
  <xdr:twoCellAnchor editAs="absolute">
    <xdr:from>
      <xdr:col>0</xdr:col>
      <xdr:colOff>180975</xdr:colOff>
      <xdr:row>16</xdr:row>
      <xdr:rowOff>142875</xdr:rowOff>
    </xdr:from>
    <xdr:to>
      <xdr:col>1</xdr:col>
      <xdr:colOff>835536</xdr:colOff>
      <xdr:row>18</xdr:row>
      <xdr:rowOff>83382</xdr:rowOff>
    </xdr:to>
    <xdr:sp macro="" textlink="">
      <xdr:nvSpPr>
        <xdr:cNvPr id="3" name="ZoneTexte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 rot="462596">
          <a:off x="180975" y="3876675"/>
          <a:ext cx="883161" cy="216732"/>
        </a:xfrm>
        <a:prstGeom prst="rect">
          <a:avLst/>
        </a:prstGeom>
        <a:noFill/>
        <a:effectLst>
          <a:outerShdw blurRad="76200" dist="12700" dir="2700000" sy="-23000" kx="-800400" algn="bl" rotWithShape="0">
            <a:prstClr val="black">
              <a:alpha val="2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fr-FR" sz="800" b="1">
              <a:solidFill>
                <a:schemeClr val="accent1">
                  <a:lumMod val="50000"/>
                </a:schemeClr>
              </a:solidFill>
              <a:effectLst>
                <a:outerShdw blurRad="60007" dir="15000000" sy="30000" kx="-1800000" algn="bl" rotWithShape="0">
                  <a:prstClr val="black">
                    <a:alpha val="32000"/>
                  </a:prstClr>
                </a:outerShdw>
              </a:effectLst>
            </a:rPr>
            <a:t>Mac Murdock ©</a:t>
          </a:r>
        </a:p>
      </xdr:txBody>
    </xdr:sp>
    <xdr:clientData/>
  </xdr:twoCellAnchor>
  <xdr:twoCellAnchor editAs="oneCell">
    <xdr:from>
      <xdr:col>3</xdr:col>
      <xdr:colOff>714375</xdr:colOff>
      <xdr:row>0</xdr:row>
      <xdr:rowOff>0</xdr:rowOff>
    </xdr:from>
    <xdr:to>
      <xdr:col>6</xdr:col>
      <xdr:colOff>514350</xdr:colOff>
      <xdr:row>1</xdr:row>
      <xdr:rowOff>314325</xdr:rowOff>
    </xdr:to>
    <xdr:pic>
      <xdr:nvPicPr>
        <xdr:cNvPr id="7" name="Image 6" descr="item_wrightbrothers_animal.png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flipH="1">
          <a:off x="2124075" y="0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219074</xdr:colOff>
      <xdr:row>0</xdr:row>
      <xdr:rowOff>28575</xdr:rowOff>
    </xdr:from>
    <xdr:to>
      <xdr:col>1</xdr:col>
      <xdr:colOff>647699</xdr:colOff>
      <xdr:row>0</xdr:row>
      <xdr:rowOff>685800</xdr:rowOff>
    </xdr:to>
    <xdr:pic>
      <xdr:nvPicPr>
        <xdr:cNvPr id="8" name="Image 7" descr="independence_eagle.png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flipH="1">
          <a:off x="219074" y="28575"/>
          <a:ext cx="657225" cy="657225"/>
        </a:xfrm>
        <a:prstGeom prst="rect">
          <a:avLst/>
        </a:prstGeom>
      </xdr:spPr>
    </xdr:pic>
    <xdr:clientData/>
  </xdr:twoCellAnchor>
  <xdr:twoCellAnchor editAs="oneCell">
    <xdr:from>
      <xdr:col>4</xdr:col>
      <xdr:colOff>9524</xdr:colOff>
      <xdr:row>15</xdr:row>
      <xdr:rowOff>0</xdr:rowOff>
    </xdr:from>
    <xdr:to>
      <xdr:col>7</xdr:col>
      <xdr:colOff>28575</xdr:colOff>
      <xdr:row>21</xdr:row>
      <xdr:rowOff>142876</xdr:rowOff>
    </xdr:to>
    <xdr:pic>
      <xdr:nvPicPr>
        <xdr:cNvPr id="9" name="Image 8" descr="easter_event_horse_2.png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2181224" y="3543300"/>
          <a:ext cx="1228726" cy="1228726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1</xdr:row>
      <xdr:rowOff>114300</xdr:rowOff>
    </xdr:from>
    <xdr:to>
      <xdr:col>6</xdr:col>
      <xdr:colOff>438150</xdr:colOff>
      <xdr:row>4</xdr:row>
      <xdr:rowOff>76200</xdr:rowOff>
    </xdr:to>
    <xdr:pic>
      <xdr:nvPicPr>
        <xdr:cNvPr id="13" name="Image 12" descr="cupid_horse.png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362200" y="809625"/>
          <a:ext cx="695325" cy="6953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19</xdr:col>
      <xdr:colOff>114300</xdr:colOff>
      <xdr:row>0</xdr:row>
      <xdr:rowOff>133350</xdr:rowOff>
    </xdr:from>
    <xdr:to>
      <xdr:col>21</xdr:col>
      <xdr:colOff>159261</xdr:colOff>
      <xdr:row>1</xdr:row>
      <xdr:rowOff>150057</xdr:rowOff>
    </xdr:to>
    <xdr:sp macro="" textlink="">
      <xdr:nvSpPr>
        <xdr:cNvPr id="2" name="ZoneTexte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 rot="462596">
          <a:off x="8772525" y="133350"/>
          <a:ext cx="883161" cy="216732"/>
        </a:xfrm>
        <a:prstGeom prst="rect">
          <a:avLst/>
        </a:prstGeom>
        <a:noFill/>
        <a:effectLst>
          <a:outerShdw blurRad="76200" dist="12700" dir="2700000" sy="-23000" kx="-800400" algn="bl" rotWithShape="0">
            <a:prstClr val="black">
              <a:alpha val="2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fr-FR" sz="800" b="1">
              <a:solidFill>
                <a:schemeClr val="accent1">
                  <a:lumMod val="50000"/>
                </a:schemeClr>
              </a:solidFill>
              <a:effectLst>
                <a:outerShdw blurRad="60007" dir="15000000" sy="30000" kx="-1800000" algn="bl" rotWithShape="0">
                  <a:prstClr val="black">
                    <a:alpha val="32000"/>
                  </a:prstClr>
                </a:outerShdw>
              </a:effectLst>
            </a:rPr>
            <a:t>Mac Murdock ©</a:t>
          </a:r>
        </a:p>
      </xdr:txBody>
    </xdr:sp>
    <xdr:clientData/>
  </xdr:twoCellAnchor>
  <xdr:twoCellAnchor editAs="oneCell">
    <xdr:from>
      <xdr:col>15</xdr:col>
      <xdr:colOff>19050</xdr:colOff>
      <xdr:row>0</xdr:row>
      <xdr:rowOff>40006</xdr:rowOff>
    </xdr:from>
    <xdr:to>
      <xdr:col>17</xdr:col>
      <xdr:colOff>38100</xdr:colOff>
      <xdr:row>3</xdr:row>
      <xdr:rowOff>135256</xdr:rowOff>
    </xdr:to>
    <xdr:pic>
      <xdr:nvPicPr>
        <xdr:cNvPr id="5" name="Image 4" descr="Hôtel.png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00875" y="40006"/>
          <a:ext cx="857250" cy="685800"/>
        </a:xfrm>
        <a:prstGeom prst="rect">
          <a:avLst/>
        </a:prstGeom>
      </xdr:spPr>
    </xdr:pic>
    <xdr:clientData/>
  </xdr:twoCellAnchor>
  <xdr:twoCellAnchor editAs="oneCell">
    <xdr:from>
      <xdr:col>18</xdr:col>
      <xdr:colOff>304800</xdr:colOff>
      <xdr:row>1</xdr:row>
      <xdr:rowOff>2380</xdr:rowOff>
    </xdr:from>
    <xdr:to>
      <xdr:col>20</xdr:col>
      <xdr:colOff>276399</xdr:colOff>
      <xdr:row>4</xdr:row>
      <xdr:rowOff>19179</xdr:rowOff>
    </xdr:to>
    <xdr:pic>
      <xdr:nvPicPr>
        <xdr:cNvPr id="7" name="Image 6" descr="Premium_plein_d'énergie.png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43925" y="202405"/>
          <a:ext cx="809799" cy="607349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304800</xdr:colOff>
      <xdr:row>1</xdr:row>
      <xdr:rowOff>180975</xdr:rowOff>
    </xdr:from>
    <xdr:to>
      <xdr:col>11</xdr:col>
      <xdr:colOff>38100</xdr:colOff>
      <xdr:row>2</xdr:row>
      <xdr:rowOff>161925</xdr:rowOff>
    </xdr:to>
    <xdr:pic>
      <xdr:nvPicPr>
        <xdr:cNvPr id="8" name="Image 7" descr="Points_de_repos.png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352925" y="381000"/>
          <a:ext cx="990600" cy="1714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142875</xdr:colOff>
      <xdr:row>12</xdr:row>
      <xdr:rowOff>19051</xdr:rowOff>
    </xdr:from>
    <xdr:to>
      <xdr:col>5</xdr:col>
      <xdr:colOff>235192</xdr:colOff>
      <xdr:row>20</xdr:row>
      <xdr:rowOff>123825</xdr:rowOff>
    </xdr:to>
    <xdr:pic>
      <xdr:nvPicPr>
        <xdr:cNvPr id="1025" name="Picture 1" descr="Awesomi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400301"/>
          <a:ext cx="2454517" cy="1666874"/>
        </a:xfrm>
        <a:prstGeom prst="rect">
          <a:avLst/>
        </a:prstGeom>
        <a:noFill/>
      </xdr:spPr>
    </xdr:pic>
    <xdr:clientData/>
  </xdr:twoCellAnchor>
  <xdr:twoCellAnchor editAs="absolute">
    <xdr:from>
      <xdr:col>16</xdr:col>
      <xdr:colOff>114300</xdr:colOff>
      <xdr:row>0</xdr:row>
      <xdr:rowOff>19050</xdr:rowOff>
    </xdr:from>
    <xdr:to>
      <xdr:col>21</xdr:col>
      <xdr:colOff>9525</xdr:colOff>
      <xdr:row>8</xdr:row>
      <xdr:rowOff>9525</xdr:rowOff>
    </xdr:to>
    <xdr:pic>
      <xdr:nvPicPr>
        <xdr:cNvPr id="1026" name="Picture 2" descr="Ville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82300" y="19050"/>
          <a:ext cx="2609850" cy="1571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G732"/>
  <sheetViews>
    <sheetView tabSelected="1" topLeftCell="H1" workbookViewId="0">
      <selection activeCell="Q15" sqref="Q15:R15"/>
    </sheetView>
  </sheetViews>
  <sheetFormatPr baseColWidth="10" defaultRowHeight="15"/>
  <cols>
    <col min="1" max="1" width="1.7109375" style="381" customWidth="1"/>
    <col min="2" max="2" width="2.7109375" style="381" customWidth="1"/>
    <col min="3" max="6" width="9.7109375" style="381" customWidth="1"/>
    <col min="7" max="7" width="2.7109375" style="381" customWidth="1"/>
    <col min="8" max="8" width="1.7109375" style="381" customWidth="1"/>
    <col min="9" max="9" width="2.7109375" style="381" customWidth="1"/>
    <col min="10" max="12" width="9.7109375" style="381" customWidth="1"/>
    <col min="13" max="13" width="2.7109375" style="381" customWidth="1"/>
    <col min="14" max="14" width="7.7109375" style="381" customWidth="1"/>
    <col min="15" max="15" width="2.7109375" style="381" customWidth="1"/>
    <col min="16" max="16" width="7.7109375" style="381" customWidth="1"/>
    <col min="17" max="17" width="2.7109375" style="381" customWidth="1"/>
    <col min="18" max="18" width="7.7109375" style="381" customWidth="1"/>
    <col min="19" max="19" width="9.7109375" style="381" customWidth="1"/>
    <col min="20" max="20" width="2.7109375" style="381" customWidth="1"/>
    <col min="21" max="21" width="7.7109375" style="111" customWidth="1"/>
    <col min="22" max="25" width="5.28515625" style="111" customWidth="1"/>
    <col min="26" max="26" width="2.7109375" style="111" customWidth="1"/>
    <col min="27" max="27" width="3.28515625" style="111" customWidth="1"/>
    <col min="28" max="31" width="5.28515625" style="111" customWidth="1"/>
    <col min="32" max="32" width="2.7109375" style="111" customWidth="1"/>
    <col min="33" max="33" width="3.28515625" style="111" customWidth="1"/>
    <col min="34" max="37" width="5.28515625" style="111" customWidth="1"/>
    <col min="38" max="39" width="2.7109375" style="111" customWidth="1"/>
    <col min="40" max="40" width="11.42578125" style="121"/>
    <col min="41" max="46" width="11.42578125" style="129"/>
    <col min="47" max="189" width="11.42578125" style="21"/>
    <col min="190" max="16384" width="11.42578125" style="381"/>
  </cols>
  <sheetData>
    <row r="1" spans="1:53" ht="8.1" customHeight="1" thickBot="1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2"/>
      <c r="S1" s="2"/>
      <c r="T1" s="2"/>
      <c r="U1" s="4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O1" s="141"/>
      <c r="AP1" s="129">
        <v>1</v>
      </c>
      <c r="AQ1" s="129">
        <v>110</v>
      </c>
      <c r="AR1" s="129">
        <v>100</v>
      </c>
    </row>
    <row r="2" spans="1:53" ht="12" customHeight="1">
      <c r="A2" s="1"/>
      <c r="B2" s="7"/>
      <c r="C2" s="647" t="s">
        <v>92</v>
      </c>
      <c r="D2" s="647"/>
      <c r="E2" s="647"/>
      <c r="F2" s="647"/>
      <c r="G2" s="8"/>
      <c r="H2" s="666"/>
      <c r="I2" s="9"/>
      <c r="J2" s="667" t="s">
        <v>68</v>
      </c>
      <c r="K2" s="667"/>
      <c r="L2" s="667"/>
      <c r="M2" s="668" t="s">
        <v>168</v>
      </c>
      <c r="N2" s="668"/>
      <c r="O2" s="668"/>
      <c r="P2" s="136"/>
      <c r="Q2" s="136"/>
      <c r="R2" s="136" t="s">
        <v>69</v>
      </c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1"/>
      <c r="AF2" s="136"/>
      <c r="AG2" s="136"/>
      <c r="AH2" s="136"/>
      <c r="AI2" s="136"/>
      <c r="AJ2" s="136"/>
      <c r="AK2" s="11"/>
      <c r="AL2" s="12"/>
      <c r="AM2" s="5"/>
      <c r="AN2" s="121" t="s">
        <v>169</v>
      </c>
      <c r="AO2" s="129">
        <f>ROUNDDOWN(1+MAX(0,(MIN(S10,S6,S7)^0.8+MEDIAN(,S10,S6,S7)^0.7+MAX(S10,S6,S7)^0.6-ABS(S5/10-AVERAGE(S10,S6,S7))^0.6)/400),2)</f>
        <v>1.48</v>
      </c>
      <c r="AP2" s="129">
        <v>2</v>
      </c>
      <c r="AQ2" s="129">
        <f>IF(AP2=1,110,ROUND(100+(AP2*9.93288590604026),0))</f>
        <v>120</v>
      </c>
      <c r="AR2" s="129">
        <v>110</v>
      </c>
      <c r="AU2" s="129"/>
      <c r="AV2" s="129"/>
      <c r="AW2" s="129"/>
      <c r="AX2" s="129"/>
      <c r="AY2" s="129"/>
      <c r="AZ2" s="129"/>
      <c r="BA2" s="129"/>
    </row>
    <row r="3" spans="1:53" ht="12" customHeight="1">
      <c r="A3" s="1"/>
      <c r="B3" s="13"/>
      <c r="C3" s="14"/>
      <c r="D3" s="14"/>
      <c r="E3" s="14"/>
      <c r="F3" s="14"/>
      <c r="G3" s="15"/>
      <c r="H3" s="66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9"/>
      <c r="AM3" s="5"/>
      <c r="AP3" s="129">
        <v>3</v>
      </c>
      <c r="AQ3" s="129">
        <f t="shared" ref="AQ3:AQ66" si="0">IF(AP3=1,110,ROUND(100+(AP3*9.93288590604026),0))</f>
        <v>130</v>
      </c>
      <c r="AR3" s="129">
        <v>120</v>
      </c>
      <c r="AS3" s="129" t="s">
        <v>71</v>
      </c>
      <c r="AU3" s="129"/>
      <c r="AV3" s="129"/>
      <c r="AW3" s="129"/>
      <c r="AX3" s="129"/>
      <c r="AY3" s="129"/>
      <c r="AZ3" s="129"/>
      <c r="BA3" s="129"/>
    </row>
    <row r="4" spans="1:53" ht="12" customHeight="1">
      <c r="A4" s="1"/>
      <c r="B4" s="13"/>
      <c r="C4" s="20" t="s">
        <v>0</v>
      </c>
      <c r="D4" s="20"/>
      <c r="E4" s="20"/>
      <c r="F4" s="122" t="s">
        <v>60</v>
      </c>
      <c r="G4" s="15"/>
      <c r="H4" s="666"/>
      <c r="I4" s="16"/>
      <c r="J4" s="669" t="s">
        <v>4</v>
      </c>
      <c r="K4" s="671" t="s">
        <v>8</v>
      </c>
      <c r="L4" s="673" t="s">
        <v>7</v>
      </c>
      <c r="M4" s="17"/>
      <c r="N4" s="654" t="s">
        <v>9</v>
      </c>
      <c r="O4" s="675"/>
      <c r="P4" s="661"/>
      <c r="Q4" s="22"/>
      <c r="R4" s="654" t="s">
        <v>13</v>
      </c>
      <c r="S4" s="661"/>
      <c r="T4" s="17"/>
      <c r="U4" s="662" t="s">
        <v>56</v>
      </c>
      <c r="V4" s="663"/>
      <c r="W4" s="663"/>
      <c r="X4" s="663"/>
      <c r="Y4" s="663"/>
      <c r="Z4" s="663"/>
      <c r="AA4" s="663"/>
      <c r="AB4" s="663"/>
      <c r="AC4" s="663"/>
      <c r="AD4" s="663"/>
      <c r="AE4" s="664"/>
      <c r="AF4" s="62"/>
      <c r="AG4" s="62"/>
      <c r="AH4" s="62"/>
      <c r="AI4" s="62"/>
      <c r="AJ4" s="62"/>
      <c r="AK4" s="62"/>
      <c r="AL4" s="19"/>
      <c r="AM4" s="5"/>
      <c r="AP4" s="129">
        <v>4</v>
      </c>
      <c r="AQ4" s="129">
        <f t="shared" si="0"/>
        <v>140</v>
      </c>
      <c r="AR4" s="129">
        <v>130</v>
      </c>
      <c r="AS4" s="129" t="s">
        <v>70</v>
      </c>
      <c r="AT4" s="129">
        <v>27</v>
      </c>
      <c r="AU4" s="129">
        <v>20</v>
      </c>
      <c r="AV4" s="129">
        <v>28</v>
      </c>
      <c r="AW4" s="129">
        <v>21</v>
      </c>
      <c r="AX4" s="129">
        <v>24</v>
      </c>
      <c r="AY4" s="129">
        <v>15</v>
      </c>
      <c r="AZ4" s="141"/>
      <c r="BA4" s="141"/>
    </row>
    <row r="5" spans="1:53" ht="12" customHeight="1">
      <c r="A5" s="1"/>
      <c r="B5" s="13"/>
      <c r="C5" s="20" t="s">
        <v>1</v>
      </c>
      <c r="D5" s="20"/>
      <c r="E5" s="20"/>
      <c r="F5" s="122" t="s">
        <v>64</v>
      </c>
      <c r="G5" s="15"/>
      <c r="H5" s="666"/>
      <c r="I5" s="16"/>
      <c r="J5" s="670"/>
      <c r="K5" s="672"/>
      <c r="L5" s="674"/>
      <c r="M5" s="17"/>
      <c r="N5" s="665" t="s">
        <v>10</v>
      </c>
      <c r="O5" s="653"/>
      <c r="P5" s="32">
        <f>L11*((F8+F9)/2)+F10</f>
        <v>381.6</v>
      </c>
      <c r="Q5" s="23"/>
      <c r="R5" s="24" t="s">
        <v>52</v>
      </c>
      <c r="S5" s="25">
        <f>IF(F7="Création",IF(AND(F4="Soldat",F5="Non"),(V30+(D17*15)+(F17*15)+(M20*15)),IF(AND(F4="Soldat",F5="Oui"),(V30+(D17*20)+(F17*20)+(M20*20)),(V30+(D17*10)+(F17*10)+(M20*10)))),IF(AND(F4="Soldat",F5="Non"),(V30+(M15*15)),IF(AND(F4="Soldat",F5="Oui"),(V30+(M15*20)),(V30+(M15*10)))))</f>
        <v>7230</v>
      </c>
      <c r="T5" s="17"/>
      <c r="U5" s="380" t="s">
        <v>18</v>
      </c>
      <c r="V5" s="378" t="s">
        <v>20</v>
      </c>
      <c r="W5" s="378">
        <v>1</v>
      </c>
      <c r="X5" s="378">
        <v>2</v>
      </c>
      <c r="Y5" s="378">
        <v>3</v>
      </c>
      <c r="Z5" s="653">
        <v>4</v>
      </c>
      <c r="AA5" s="653"/>
      <c r="AB5" s="378">
        <v>5</v>
      </c>
      <c r="AC5" s="378">
        <v>6</v>
      </c>
      <c r="AD5" s="378">
        <v>7</v>
      </c>
      <c r="AE5" s="382">
        <v>8</v>
      </c>
      <c r="AF5" s="18"/>
      <c r="AG5" s="18"/>
      <c r="AH5" s="18"/>
      <c r="AI5" s="18"/>
      <c r="AJ5" s="18"/>
      <c r="AK5" s="18"/>
      <c r="AL5" s="19"/>
      <c r="AM5" s="5"/>
      <c r="AN5" s="121" t="s">
        <v>58</v>
      </c>
      <c r="AP5" s="129">
        <v>5</v>
      </c>
      <c r="AQ5" s="129">
        <f t="shared" si="0"/>
        <v>150</v>
      </c>
      <c r="AR5" s="129">
        <v>140</v>
      </c>
      <c r="AS5" s="129" t="s">
        <v>72</v>
      </c>
      <c r="AT5" s="129">
        <v>20</v>
      </c>
      <c r="AU5" s="129">
        <v>20</v>
      </c>
      <c r="AV5" s="129">
        <v>21</v>
      </c>
      <c r="AW5" s="129">
        <v>21</v>
      </c>
      <c r="AX5" s="129">
        <v>18</v>
      </c>
      <c r="AY5" s="129">
        <v>15</v>
      </c>
      <c r="AZ5" s="141"/>
      <c r="BA5" s="141"/>
    </row>
    <row r="6" spans="1:53" ht="12" customHeight="1">
      <c r="A6" s="1"/>
      <c r="B6" s="13"/>
      <c r="C6" s="20" t="s">
        <v>2</v>
      </c>
      <c r="D6" s="20"/>
      <c r="E6" s="20"/>
      <c r="F6" s="123">
        <v>134</v>
      </c>
      <c r="G6" s="15"/>
      <c r="H6" s="666"/>
      <c r="I6" s="16"/>
      <c r="J6" s="29"/>
      <c r="K6" s="402" t="s">
        <v>5</v>
      </c>
      <c r="L6" s="31"/>
      <c r="M6" s="17"/>
      <c r="N6" s="665" t="s">
        <v>11</v>
      </c>
      <c r="O6" s="653"/>
      <c r="P6" s="32">
        <f>L11*F8+F10</f>
        <v>371</v>
      </c>
      <c r="Q6" s="23"/>
      <c r="R6" s="380" t="s">
        <v>14</v>
      </c>
      <c r="S6" s="32">
        <f>IF(F7="Création",IF(AND(F4="Soldat",F5="Non"),(O25*0.25+O25),IF(AND(F4="Soldat",F5="Oui"),(O25*0.5+O25),O25)),IF(AND(F4="Soldat",F5="Non"),(O15*0.25+O15),IF(AND(F4="Soldat",F5="Oui"),(O15*0.5+O15),O15)))</f>
        <v>454</v>
      </c>
      <c r="T6" s="17"/>
      <c r="U6" s="380" t="s">
        <v>19</v>
      </c>
      <c r="V6" s="378"/>
      <c r="W6" s="374">
        <f>K7-2</f>
        <v>106</v>
      </c>
      <c r="X6" s="374">
        <f>K7-4</f>
        <v>104</v>
      </c>
      <c r="Y6" s="374">
        <f>K7-6</f>
        <v>102</v>
      </c>
      <c r="Z6" s="657">
        <f>K7-8</f>
        <v>100</v>
      </c>
      <c r="AA6" s="657"/>
      <c r="AB6" s="374">
        <f>K7-10</f>
        <v>98</v>
      </c>
      <c r="AC6" s="374">
        <f>IF(K7-13&gt;0,K7-13,0)</f>
        <v>95</v>
      </c>
      <c r="AD6" s="374">
        <f>IF(K7-16&gt;0,K7-16,0)</f>
        <v>92</v>
      </c>
      <c r="AE6" s="116">
        <f>IF(K7-19&gt;0,K7-19,0)</f>
        <v>89</v>
      </c>
      <c r="AF6" s="18"/>
      <c r="AG6" s="18"/>
      <c r="AH6" s="18"/>
      <c r="AI6" s="18"/>
      <c r="AJ6" s="18"/>
      <c r="AK6" s="18"/>
      <c r="AL6" s="19"/>
      <c r="AM6" s="5"/>
      <c r="AN6" s="121" t="s">
        <v>54</v>
      </c>
      <c r="AP6" s="129">
        <v>6</v>
      </c>
      <c r="AQ6" s="129">
        <f t="shared" si="0"/>
        <v>160</v>
      </c>
      <c r="AR6" s="129">
        <v>150</v>
      </c>
      <c r="AS6" s="129" t="s">
        <v>73</v>
      </c>
      <c r="AU6" s="129"/>
      <c r="AV6" s="129"/>
      <c r="AW6" s="129"/>
      <c r="AX6" s="129"/>
      <c r="AY6" s="129"/>
      <c r="AZ6" s="141"/>
      <c r="BA6" s="141"/>
    </row>
    <row r="7" spans="1:53" ht="12" customHeight="1">
      <c r="A7" s="1"/>
      <c r="B7" s="13"/>
      <c r="C7" s="20" t="s">
        <v>3</v>
      </c>
      <c r="D7" s="20"/>
      <c r="E7" s="20"/>
      <c r="F7" s="122" t="s">
        <v>54</v>
      </c>
      <c r="G7" s="15"/>
      <c r="H7" s="666"/>
      <c r="I7" s="16"/>
      <c r="J7" s="34">
        <f>((300*S10)/S5)+F11</f>
        <v>112.29460580912863</v>
      </c>
      <c r="K7" s="35">
        <f>ROUNDDOWN((IF(AND(F4="Ouvrier",F5="Non"),(((S6^0.5)+(S10^0.6)+(S7^0.5)+25+F13)*0.2)+((S6^0.5)+(S10^0.6)+(S7^0.5)+25+F13),IF(AND(F4="OUVRIER",F5="OUI"),(((S6^0.5)+(S10^0.6)+(S7^0.5)+25+F13)*0.4)+((S6^0.5)+(S10^0.6)+(S7^0.5)+25+F13),(S6^0.5)+(S10^0.6)+(S7^0.5)+25+F13))),2)</f>
        <v>108</v>
      </c>
      <c r="L7" s="33">
        <f>ROUNDDOWN((IF(AND(F4="Ouvrier",F5="Non"),(((S6^0.5)+(S10^0.6)+(S8^0.5)+10+F12)*0.2)+((S6^0.5)+(S10^0.6)+(S8^0.5)+10+F12),IF(AND(F4="OUVRIER",F5="OUI"),(((S6^0.5)+(S10^0.6)+(S8^0.5)+10+F12)*0.4)+((S6^0.5)+(S10^0.6)+(S8^0.5)+10+F12),(S6^0.5)+(S10^0.6)+(S8^0.5)+10+F12))),2)</f>
        <v>103.63</v>
      </c>
      <c r="M7" s="17"/>
      <c r="N7" s="676" t="s">
        <v>12</v>
      </c>
      <c r="O7" s="677"/>
      <c r="P7" s="53">
        <f>L11*F9+F10</f>
        <v>392.20000000000005</v>
      </c>
      <c r="Q7" s="23"/>
      <c r="R7" s="36" t="s">
        <v>15</v>
      </c>
      <c r="S7" s="37">
        <f>IF(F7="Création",T25,T15)</f>
        <v>382</v>
      </c>
      <c r="T7" s="17"/>
      <c r="U7" s="38"/>
      <c r="V7" s="378"/>
      <c r="W7" s="379">
        <f>K10-2</f>
        <v>80.52</v>
      </c>
      <c r="X7" s="379">
        <f>K10-4</f>
        <v>78.52</v>
      </c>
      <c r="Y7" s="379">
        <f>K10-6</f>
        <v>76.52</v>
      </c>
      <c r="Z7" s="652">
        <f>K10-8</f>
        <v>74.52</v>
      </c>
      <c r="AA7" s="652"/>
      <c r="AB7" s="379">
        <f>K10-10</f>
        <v>72.52</v>
      </c>
      <c r="AC7" s="379">
        <f>IF(K10-13&gt;0,K10-13,0)</f>
        <v>69.52</v>
      </c>
      <c r="AD7" s="379">
        <f>IF(K10-16&gt;0,K10-16,0)</f>
        <v>66.52</v>
      </c>
      <c r="AE7" s="118">
        <f>IF(K10-19&gt;0,K10-19,0)</f>
        <v>63.519999999999996</v>
      </c>
      <c r="AF7" s="18"/>
      <c r="AG7" s="18"/>
      <c r="AH7" s="138"/>
      <c r="AI7" s="18"/>
      <c r="AJ7" s="18"/>
      <c r="AK7" s="18"/>
      <c r="AL7" s="19"/>
      <c r="AM7" s="5"/>
      <c r="AP7" s="129">
        <v>7</v>
      </c>
      <c r="AQ7" s="129">
        <f t="shared" si="0"/>
        <v>170</v>
      </c>
      <c r="AR7" s="129">
        <v>160</v>
      </c>
      <c r="AS7" s="129" t="s">
        <v>70</v>
      </c>
      <c r="AT7" s="129">
        <v>27</v>
      </c>
      <c r="AU7" s="129"/>
      <c r="AV7" s="129">
        <v>28</v>
      </c>
      <c r="AW7" s="129"/>
      <c r="AX7" s="129">
        <v>24</v>
      </c>
      <c r="AY7" s="129"/>
      <c r="AZ7" s="141"/>
      <c r="BA7" s="141"/>
    </row>
    <row r="8" spans="1:53" ht="12" customHeight="1">
      <c r="A8" s="1"/>
      <c r="B8" s="13"/>
      <c r="C8" s="39" t="s">
        <v>22</v>
      </c>
      <c r="D8" s="40"/>
      <c r="E8" s="41" t="s">
        <v>23</v>
      </c>
      <c r="F8" s="122">
        <v>350</v>
      </c>
      <c r="G8" s="15"/>
      <c r="H8" s="666"/>
      <c r="I8" s="16"/>
      <c r="J8" s="678"/>
      <c r="K8" s="679"/>
      <c r="L8" s="680"/>
      <c r="M8" s="17"/>
      <c r="N8" s="397" t="s">
        <v>167</v>
      </c>
      <c r="O8" s="384"/>
      <c r="P8" s="398" t="str">
        <f>ROUNDDOWN(J11/F9,2)&amp;"x"</f>
        <v>1,06x</v>
      </c>
      <c r="Q8" s="23"/>
      <c r="R8" s="36" t="s">
        <v>16</v>
      </c>
      <c r="S8" s="37">
        <f>IF(F7="Création",Q25,Q15)</f>
        <v>649</v>
      </c>
      <c r="T8" s="17"/>
      <c r="U8" s="380" t="s">
        <v>18</v>
      </c>
      <c r="V8" s="378" t="s">
        <v>20</v>
      </c>
      <c r="W8" s="378">
        <v>9</v>
      </c>
      <c r="X8" s="378">
        <v>10</v>
      </c>
      <c r="Y8" s="378">
        <v>11</v>
      </c>
      <c r="Z8" s="653">
        <v>12</v>
      </c>
      <c r="AA8" s="653"/>
      <c r="AB8" s="378">
        <v>13</v>
      </c>
      <c r="AC8" s="378">
        <v>14</v>
      </c>
      <c r="AD8" s="378">
        <v>15</v>
      </c>
      <c r="AE8" s="382">
        <v>16</v>
      </c>
      <c r="AF8" s="140"/>
      <c r="AG8" s="18"/>
      <c r="AH8" s="18"/>
      <c r="AI8" s="18"/>
      <c r="AJ8" s="18"/>
      <c r="AK8" s="18"/>
      <c r="AL8" s="19"/>
      <c r="AM8" s="5"/>
      <c r="AN8" s="121" t="s">
        <v>59</v>
      </c>
      <c r="AP8" s="129">
        <v>8</v>
      </c>
      <c r="AQ8" s="129">
        <f t="shared" si="0"/>
        <v>179</v>
      </c>
      <c r="AR8" s="129">
        <v>170</v>
      </c>
      <c r="AS8" s="129" t="s">
        <v>72</v>
      </c>
      <c r="AT8" s="129">
        <v>20</v>
      </c>
      <c r="AU8" s="129"/>
      <c r="AV8" s="129">
        <v>21</v>
      </c>
      <c r="AW8" s="129"/>
      <c r="AX8" s="129">
        <v>18</v>
      </c>
      <c r="AY8" s="129"/>
      <c r="AZ8" s="141"/>
      <c r="BA8" s="141"/>
    </row>
    <row r="9" spans="1:53" ht="12" customHeight="1">
      <c r="A9" s="1"/>
      <c r="B9" s="13"/>
      <c r="C9" s="18"/>
      <c r="D9" s="18"/>
      <c r="E9" s="43" t="s">
        <v>24</v>
      </c>
      <c r="F9" s="122">
        <v>370</v>
      </c>
      <c r="G9" s="15"/>
      <c r="H9" s="666"/>
      <c r="I9" s="16"/>
      <c r="J9" s="400"/>
      <c r="K9" s="403" t="s">
        <v>6</v>
      </c>
      <c r="L9" s="401"/>
      <c r="M9" s="17"/>
      <c r="N9" s="654" t="s">
        <v>66</v>
      </c>
      <c r="O9" s="655"/>
      <c r="P9" s="656"/>
      <c r="Q9" s="23"/>
      <c r="R9" s="36" t="s">
        <v>17</v>
      </c>
      <c r="S9" s="37">
        <f>IF(F7="Création",V25,V15)</f>
        <v>85</v>
      </c>
      <c r="T9" s="17"/>
      <c r="U9" s="380" t="s">
        <v>19</v>
      </c>
      <c r="V9" s="378"/>
      <c r="W9" s="374">
        <f>IF(K7-21&gt;0,K7-21,0)</f>
        <v>87</v>
      </c>
      <c r="X9" s="374">
        <f>IF(K7-25&gt;0,K7-25,0)</f>
        <v>83</v>
      </c>
      <c r="Y9" s="374">
        <f>IF(K7-29&gt;0,K7-29,0)</f>
        <v>79</v>
      </c>
      <c r="Z9" s="657">
        <f>IF(K7-33&gt;0,K7-33,0)</f>
        <v>75</v>
      </c>
      <c r="AA9" s="657"/>
      <c r="AB9" s="374">
        <f>IF(K7-37&gt;0,K7-37,0)</f>
        <v>71</v>
      </c>
      <c r="AC9" s="374">
        <f>IF(K7-41&gt;0,K7-41,0)</f>
        <v>67</v>
      </c>
      <c r="AD9" s="374">
        <f>IF(K7-44&gt;0,K7-44,0)</f>
        <v>64</v>
      </c>
      <c r="AE9" s="116">
        <f>IF(K7-47&gt;0,K7-47,0)</f>
        <v>61</v>
      </c>
      <c r="AF9" s="18"/>
      <c r="AG9" s="18"/>
      <c r="AH9" s="138"/>
      <c r="AI9" s="18"/>
      <c r="AJ9" s="18"/>
      <c r="AK9" s="18"/>
      <c r="AL9" s="19"/>
      <c r="AM9" s="5"/>
      <c r="AN9" s="121" t="s">
        <v>60</v>
      </c>
      <c r="AP9" s="129">
        <v>9</v>
      </c>
      <c r="AQ9" s="129">
        <f t="shared" si="0"/>
        <v>189</v>
      </c>
      <c r="AR9" s="129">
        <v>180</v>
      </c>
      <c r="AS9" s="129" t="s">
        <v>74</v>
      </c>
      <c r="AU9" s="129"/>
      <c r="AV9" s="129"/>
      <c r="AW9" s="129"/>
      <c r="AX9" s="129"/>
      <c r="AY9" s="129"/>
      <c r="AZ9" s="141"/>
      <c r="BA9" s="141"/>
    </row>
    <row r="10" spans="1:53" ht="12" customHeight="1">
      <c r="A10" s="1"/>
      <c r="B10" s="47"/>
      <c r="C10" s="20" t="s">
        <v>65</v>
      </c>
      <c r="D10" s="18"/>
      <c r="E10" s="18"/>
      <c r="F10" s="122"/>
      <c r="G10" s="49"/>
      <c r="H10" s="666"/>
      <c r="I10" s="16"/>
      <c r="J10" s="50">
        <f>((300*S9)/S5)+F11</f>
        <v>96.526970954356841</v>
      </c>
      <c r="K10" s="51">
        <f>ROUNDDOWN((IF(AND(F4="Ouvrier",F5="Non"),(((S6^0.5)+(S9^0.6)+(S7^0.5)+25+F13)*0.2)+((S6^0.5)+(S9^0.6)+(S7^0.5)+25+F13),IF(AND(F4="OUVRIER",F5="OUI"),(((S6^0.5)+(S9^0.6)+(S7^0.5)+25+F13)*0.4)+((S6^0.5)+(S9^0.6)+(S7^0.5)+25+F13),(S6^0.5)+(S9^0.6)+(S7^0.5)+25+F13))),2)</f>
        <v>82.52</v>
      </c>
      <c r="L10" s="52">
        <f>ROUNDDOWN((IF(AND(F4="Ouvrier",F5="Non"),(((S6^0.5)+(S9^0.6)+(S8^0.5)+10+F12)*0.2)+((S6^0.5)+(S9^0.6)+(S8^0.5)+10+F12),IF(AND(F4="OUVRIER",F5="OUI"),(((S6^0.5)+(S9^0.6)+(S8^0.5)+10+F12)*0.4)+((S6^0.5)+(S9^0.6)+(S8^0.5)+10+F12),(S6^0.5)+(S9^0.6)+(S8^0.5)+10+F12))),2)</f>
        <v>78.150000000000006</v>
      </c>
      <c r="M10" s="17"/>
      <c r="N10" s="132" t="s">
        <v>67</v>
      </c>
      <c r="O10" s="658">
        <f>IF(F7="Création",(AN23-AN24),(AN23-AN25))</f>
        <v>0</v>
      </c>
      <c r="P10" s="659"/>
      <c r="Q10" s="23"/>
      <c r="R10" s="54" t="s">
        <v>30</v>
      </c>
      <c r="S10" s="55">
        <f>IF(F7="Création",S25,S15)</f>
        <v>465</v>
      </c>
      <c r="T10" s="17"/>
      <c r="U10" s="376"/>
      <c r="V10" s="377"/>
      <c r="W10" s="375">
        <f>IF(K10-21&gt;0,K10-21,0)</f>
        <v>61.519999999999996</v>
      </c>
      <c r="X10" s="375">
        <f>IF(K10-25&gt;0,K10-25,0)</f>
        <v>57.519999999999996</v>
      </c>
      <c r="Y10" s="375">
        <f>IF(K10-29&gt;0,K10-29,0)</f>
        <v>53.519999999999996</v>
      </c>
      <c r="Z10" s="660">
        <f>IF(K10-33&gt;0,K10-33,0)</f>
        <v>49.519999999999996</v>
      </c>
      <c r="AA10" s="660"/>
      <c r="AB10" s="375">
        <f>IF(K10-37&gt;0,K10-37,0)</f>
        <v>45.519999999999996</v>
      </c>
      <c r="AC10" s="375">
        <f>IF(K10-41&gt;0,K10-41,0)</f>
        <v>41.519999999999996</v>
      </c>
      <c r="AD10" s="375">
        <f>IF(K10-44&gt;0,K10-44,0)</f>
        <v>38.519999999999996</v>
      </c>
      <c r="AE10" s="120">
        <f>IF(K10-47&gt;0,K10-47,0)</f>
        <v>35.519999999999996</v>
      </c>
      <c r="AF10" s="18"/>
      <c r="AG10" s="18"/>
      <c r="AH10" s="18"/>
      <c r="AI10" s="18"/>
      <c r="AJ10" s="18"/>
      <c r="AK10" s="18"/>
      <c r="AL10" s="19"/>
      <c r="AM10" s="5"/>
      <c r="AN10" s="121" t="s">
        <v>61</v>
      </c>
      <c r="AP10" s="129">
        <v>10</v>
      </c>
      <c r="AQ10" s="129">
        <f t="shared" si="0"/>
        <v>199</v>
      </c>
      <c r="AR10" s="129">
        <v>190</v>
      </c>
      <c r="AS10" s="129" t="s">
        <v>70</v>
      </c>
      <c r="AT10" s="129">
        <v>8</v>
      </c>
      <c r="AU10" s="129"/>
      <c r="AV10" s="129">
        <v>9</v>
      </c>
      <c r="AW10" s="129"/>
      <c r="AX10" s="129">
        <v>7</v>
      </c>
      <c r="AY10" s="129"/>
      <c r="AZ10" s="141"/>
      <c r="BA10" s="141"/>
    </row>
    <row r="11" spans="1:53" ht="12" customHeight="1" thickBot="1">
      <c r="A11" s="1"/>
      <c r="B11" s="13"/>
      <c r="C11" s="20" t="s">
        <v>25</v>
      </c>
      <c r="D11" s="48"/>
      <c r="E11" s="48"/>
      <c r="F11" s="122">
        <v>93</v>
      </c>
      <c r="G11" s="15"/>
      <c r="H11" s="666"/>
      <c r="I11" s="58"/>
      <c r="J11" s="399">
        <f>F9+((F9*S6)/S5)</f>
        <v>393.23374827109268</v>
      </c>
      <c r="K11" s="59"/>
      <c r="L11" s="399">
        <f>ROUNDDOWN(J11/F9,2)</f>
        <v>1.06</v>
      </c>
      <c r="M11" s="59"/>
      <c r="N11" s="59"/>
      <c r="O11" s="59"/>
      <c r="P11" s="59"/>
      <c r="Q11" s="59"/>
      <c r="R11" s="59"/>
      <c r="S11" s="59"/>
      <c r="T11" s="59"/>
      <c r="U11" s="60"/>
      <c r="V11" s="61"/>
      <c r="W11" s="61"/>
      <c r="X11" s="61"/>
      <c r="Y11" s="61"/>
      <c r="Z11" s="62"/>
      <c r="AA11" s="62"/>
      <c r="AB11" s="62"/>
      <c r="AC11" s="62"/>
      <c r="AD11" s="62"/>
      <c r="AE11" s="62"/>
      <c r="AF11" s="62"/>
      <c r="AG11" s="62"/>
      <c r="AH11" s="62"/>
      <c r="AI11" s="138"/>
      <c r="AJ11" s="138"/>
      <c r="AK11" s="138"/>
      <c r="AL11" s="19"/>
      <c r="AM11" s="5"/>
      <c r="AN11" s="121" t="s">
        <v>53</v>
      </c>
      <c r="AP11" s="129">
        <v>11</v>
      </c>
      <c r="AQ11" s="129">
        <f t="shared" si="0"/>
        <v>209</v>
      </c>
      <c r="AR11" s="129">
        <v>200</v>
      </c>
      <c r="AS11" s="129" t="s">
        <v>72</v>
      </c>
      <c r="AT11" s="129">
        <v>14</v>
      </c>
      <c r="AU11" s="129"/>
      <c r="AV11" s="129">
        <v>15</v>
      </c>
      <c r="AW11" s="129"/>
      <c r="AX11" s="129">
        <v>12</v>
      </c>
      <c r="AY11" s="129"/>
      <c r="AZ11" s="141"/>
      <c r="BA11" s="141"/>
    </row>
    <row r="12" spans="1:53" ht="12" customHeight="1" thickBot="1">
      <c r="A12" s="1"/>
      <c r="B12" s="47"/>
      <c r="C12" s="20" t="s">
        <v>26</v>
      </c>
      <c r="D12" s="18"/>
      <c r="E12" s="43" t="s">
        <v>27</v>
      </c>
      <c r="F12" s="124">
        <v>7</v>
      </c>
      <c r="G12" s="49"/>
      <c r="H12" s="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4"/>
      <c r="V12" s="5"/>
      <c r="W12" s="5"/>
      <c r="X12" s="5"/>
      <c r="Y12" s="5"/>
      <c r="Z12" s="63"/>
      <c r="AA12" s="649" t="s">
        <v>57</v>
      </c>
      <c r="AB12" s="649"/>
      <c r="AC12" s="649"/>
      <c r="AD12" s="649"/>
      <c r="AE12" s="649"/>
      <c r="AF12" s="649"/>
      <c r="AG12" s="649"/>
      <c r="AH12" s="649"/>
      <c r="AI12" s="649"/>
      <c r="AJ12" s="649"/>
      <c r="AK12" s="649"/>
      <c r="AL12" s="19"/>
      <c r="AM12" s="5"/>
      <c r="AP12" s="129">
        <v>12</v>
      </c>
      <c r="AQ12" s="129">
        <f t="shared" si="0"/>
        <v>219</v>
      </c>
      <c r="AR12" s="129">
        <v>210</v>
      </c>
      <c r="AS12" s="129" t="s">
        <v>75</v>
      </c>
      <c r="AU12" s="129"/>
      <c r="AV12" s="129"/>
      <c r="AW12" s="129"/>
      <c r="AX12" s="129"/>
      <c r="AY12" s="129"/>
      <c r="AZ12" s="141"/>
      <c r="BA12" s="141"/>
    </row>
    <row r="13" spans="1:53" ht="12" customHeight="1" thickBot="1">
      <c r="A13" s="1"/>
      <c r="B13" s="64"/>
      <c r="C13" s="108"/>
      <c r="D13" s="108"/>
      <c r="E13" s="130" t="s">
        <v>28</v>
      </c>
      <c r="F13" s="131">
        <v>2.2999999999999998</v>
      </c>
      <c r="G13" s="65"/>
      <c r="H13" s="3"/>
      <c r="I13" s="9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66"/>
      <c r="V13" s="11"/>
      <c r="W13" s="11"/>
      <c r="X13" s="12"/>
      <c r="Y13" s="5"/>
      <c r="Z13" s="63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19"/>
      <c r="AM13" s="5"/>
      <c r="AP13" s="129">
        <v>13</v>
      </c>
      <c r="AQ13" s="129">
        <f t="shared" si="0"/>
        <v>229</v>
      </c>
      <c r="AR13" s="129">
        <v>220</v>
      </c>
      <c r="AS13" s="129" t="s">
        <v>70</v>
      </c>
      <c r="AT13" s="129">
        <v>3</v>
      </c>
      <c r="AU13" s="129"/>
      <c r="AV13" s="129">
        <v>4</v>
      </c>
      <c r="AW13" s="129"/>
      <c r="AX13" s="129">
        <v>2</v>
      </c>
      <c r="AY13" s="129"/>
      <c r="AZ13" s="141"/>
      <c r="BA13" s="141"/>
    </row>
    <row r="14" spans="1:53" ht="12" customHeight="1" thickBot="1">
      <c r="A14" s="1"/>
      <c r="B14" s="68"/>
      <c r="C14" s="68"/>
      <c r="D14" s="68"/>
      <c r="E14" s="68"/>
      <c r="F14" s="3"/>
      <c r="G14" s="3"/>
      <c r="H14" s="3"/>
      <c r="I14" s="16"/>
      <c r="J14" s="628" t="s">
        <v>31</v>
      </c>
      <c r="K14" s="628"/>
      <c r="L14" s="88" t="s">
        <v>32</v>
      </c>
      <c r="M14" s="631" t="s">
        <v>29</v>
      </c>
      <c r="N14" s="614"/>
      <c r="O14" s="632" t="s">
        <v>14</v>
      </c>
      <c r="P14" s="614"/>
      <c r="Q14" s="633" t="s">
        <v>16</v>
      </c>
      <c r="R14" s="634"/>
      <c r="S14" s="69" t="s">
        <v>30</v>
      </c>
      <c r="T14" s="635" t="s">
        <v>15</v>
      </c>
      <c r="U14" s="635"/>
      <c r="V14" s="636" t="s">
        <v>38</v>
      </c>
      <c r="W14" s="636"/>
      <c r="X14" s="19"/>
      <c r="Y14" s="5"/>
      <c r="Z14" s="63"/>
      <c r="AA14" s="67"/>
      <c r="AB14" s="650" t="s">
        <v>5</v>
      </c>
      <c r="AC14" s="651"/>
      <c r="AD14" s="645" t="s">
        <v>6</v>
      </c>
      <c r="AE14" s="646"/>
      <c r="AF14" s="62"/>
      <c r="AG14" s="67"/>
      <c r="AH14" s="650" t="s">
        <v>5</v>
      </c>
      <c r="AI14" s="651"/>
      <c r="AJ14" s="645" t="s">
        <v>6</v>
      </c>
      <c r="AK14" s="646"/>
      <c r="AL14" s="19"/>
      <c r="AM14" s="5"/>
      <c r="AP14" s="129">
        <v>14</v>
      </c>
      <c r="AQ14" s="129">
        <f t="shared" si="0"/>
        <v>239</v>
      </c>
      <c r="AR14" s="129">
        <v>230</v>
      </c>
      <c r="AS14" s="129" t="s">
        <v>72</v>
      </c>
      <c r="AT14" s="129">
        <v>4</v>
      </c>
      <c r="AU14" s="129"/>
      <c r="AV14" s="129">
        <v>5</v>
      </c>
      <c r="AW14" s="129"/>
      <c r="AX14" s="129">
        <v>3</v>
      </c>
      <c r="AY14" s="129"/>
      <c r="AZ14" s="141"/>
      <c r="BA14" s="141"/>
    </row>
    <row r="15" spans="1:53" ht="12" customHeight="1">
      <c r="A15" s="1"/>
      <c r="B15" s="72"/>
      <c r="C15" s="647" t="s">
        <v>39</v>
      </c>
      <c r="D15" s="647"/>
      <c r="E15" s="647"/>
      <c r="F15" s="647"/>
      <c r="G15" s="73"/>
      <c r="H15" s="2"/>
      <c r="I15" s="16"/>
      <c r="J15" s="628"/>
      <c r="K15" s="628"/>
      <c r="L15" s="91">
        <f>IF(F7="Estimation",IF(AND(F4="Soldat",F5="Non"),(V30+(M15*15)),IF(AND(F4="Soldat",F5="Oui"),(V30+(M15*20)),(V30+(M15*10)))),"")</f>
        <v>7230</v>
      </c>
      <c r="M15" s="637">
        <f>24+556</f>
        <v>580</v>
      </c>
      <c r="N15" s="648"/>
      <c r="O15" s="639">
        <f>39+415</f>
        <v>454</v>
      </c>
      <c r="P15" s="648"/>
      <c r="Q15" s="640">
        <f>599+50</f>
        <v>649</v>
      </c>
      <c r="R15" s="641"/>
      <c r="S15" s="114">
        <f>415+50</f>
        <v>465</v>
      </c>
      <c r="T15" s="642">
        <f>297+85</f>
        <v>382</v>
      </c>
      <c r="U15" s="642"/>
      <c r="V15" s="642">
        <f>85</f>
        <v>85</v>
      </c>
      <c r="W15" s="642"/>
      <c r="X15" s="19"/>
      <c r="Y15" s="5"/>
      <c r="Z15" s="63"/>
      <c r="AA15" s="70" t="s">
        <v>82</v>
      </c>
      <c r="AB15" s="70"/>
      <c r="AC15" s="70"/>
      <c r="AD15" s="70"/>
      <c r="AE15" s="71"/>
      <c r="AF15" s="62"/>
      <c r="AG15" s="70" t="s">
        <v>83</v>
      </c>
      <c r="AH15" s="70"/>
      <c r="AI15" s="70"/>
      <c r="AJ15" s="70"/>
      <c r="AK15" s="71"/>
      <c r="AL15" s="19"/>
      <c r="AM15" s="5"/>
      <c r="AP15" s="129">
        <v>15</v>
      </c>
      <c r="AQ15" s="129">
        <f t="shared" si="0"/>
        <v>249</v>
      </c>
      <c r="AR15" s="129">
        <v>240</v>
      </c>
      <c r="AS15" s="129" t="s">
        <v>76</v>
      </c>
      <c r="AU15" s="129"/>
      <c r="AV15" s="129"/>
      <c r="AW15" s="129"/>
      <c r="AX15" s="129"/>
      <c r="AY15" s="129"/>
      <c r="AZ15" s="141"/>
      <c r="BA15" s="141"/>
    </row>
    <row r="16" spans="1:53" ht="12" customHeight="1" thickBot="1">
      <c r="A16" s="1"/>
      <c r="B16" s="75"/>
      <c r="C16" s="20"/>
      <c r="D16" s="20"/>
      <c r="E16" s="20"/>
      <c r="F16" s="76"/>
      <c r="G16" s="77"/>
      <c r="H16" s="2"/>
      <c r="I16" s="58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60"/>
      <c r="V16" s="61"/>
      <c r="W16" s="61"/>
      <c r="X16" s="78"/>
      <c r="Y16" s="5"/>
      <c r="Z16" s="63"/>
      <c r="AA16" s="40"/>
      <c r="AB16" s="609">
        <f>K7</f>
        <v>108</v>
      </c>
      <c r="AC16" s="610"/>
      <c r="AD16" s="611">
        <f>K10</f>
        <v>82.52</v>
      </c>
      <c r="AE16" s="612"/>
      <c r="AF16" s="62"/>
      <c r="AG16" s="40"/>
      <c r="AH16" s="609">
        <f>IF(M2="GRAND FORT",K7*1.05,IF(M2="MOYEN FORT",K7*1.04,K7*1.03))</f>
        <v>112.32000000000001</v>
      </c>
      <c r="AI16" s="610"/>
      <c r="AJ16" s="611">
        <f>IF(M2="GRAND FORT",K10*1.05,IF(M2="MOYEN FORT",K10*1.04,K10*1.03))</f>
        <v>85.820800000000006</v>
      </c>
      <c r="AK16" s="612"/>
      <c r="AL16" s="19"/>
      <c r="AM16" s="5"/>
      <c r="AP16" s="129">
        <v>16</v>
      </c>
      <c r="AQ16" s="129">
        <f t="shared" si="0"/>
        <v>259</v>
      </c>
      <c r="AR16" s="129">
        <v>250</v>
      </c>
      <c r="AS16" s="129" t="s">
        <v>70</v>
      </c>
      <c r="AT16" s="129">
        <v>-10</v>
      </c>
      <c r="AU16" s="129"/>
      <c r="AV16" s="129">
        <v>-10</v>
      </c>
      <c r="AW16" s="129"/>
      <c r="AX16" s="129">
        <v>-10</v>
      </c>
      <c r="AY16" s="129"/>
      <c r="AZ16" s="141"/>
      <c r="BA16" s="141"/>
    </row>
    <row r="17" spans="1:53" ht="12" customHeight="1" thickBot="1">
      <c r="A17" s="1"/>
      <c r="B17" s="75"/>
      <c r="C17" s="79" t="s">
        <v>34</v>
      </c>
      <c r="D17" s="112">
        <v>0</v>
      </c>
      <c r="E17" s="80" t="s">
        <v>29</v>
      </c>
      <c r="F17" s="112">
        <v>24</v>
      </c>
      <c r="G17" s="81"/>
      <c r="H17" s="1"/>
      <c r="I17" s="1"/>
      <c r="J17" s="1"/>
      <c r="K17" s="1"/>
      <c r="L17" s="1"/>
      <c r="M17" s="1"/>
      <c r="N17" s="1"/>
      <c r="O17" s="1"/>
      <c r="P17" s="1"/>
      <c r="Q17" s="1"/>
      <c r="R17" s="139"/>
      <c r="S17" s="1"/>
      <c r="T17" s="1"/>
      <c r="U17" s="5"/>
      <c r="V17" s="5"/>
      <c r="W17" s="5"/>
      <c r="X17" s="5"/>
      <c r="Y17" s="5"/>
      <c r="Z17" s="63"/>
      <c r="AA17" s="40"/>
      <c r="AB17" s="601">
        <f>L7</f>
        <v>103.63</v>
      </c>
      <c r="AC17" s="602"/>
      <c r="AD17" s="599">
        <f>L10</f>
        <v>78.150000000000006</v>
      </c>
      <c r="AE17" s="600"/>
      <c r="AF17" s="62"/>
      <c r="AG17" s="40"/>
      <c r="AH17" s="601">
        <f>IF(M2="GRAND FORT",L7*1.06,IF(M2="MOYEN FORT",L7*1.05,L7*1.04))</f>
        <v>108.8115</v>
      </c>
      <c r="AI17" s="602"/>
      <c r="AJ17" s="599">
        <f>IF(M2="GRAND FORT",L10*1.06,IF(M2="MOYEN FORT",L10*1.05,L10*1.04))</f>
        <v>82.057500000000005</v>
      </c>
      <c r="AK17" s="600"/>
      <c r="AL17" s="19"/>
      <c r="AM17" s="5"/>
      <c r="AP17" s="129">
        <v>17</v>
      </c>
      <c r="AQ17" s="129">
        <f t="shared" si="0"/>
        <v>269</v>
      </c>
      <c r="AR17" s="129">
        <v>260</v>
      </c>
      <c r="AS17" s="129" t="s">
        <v>72</v>
      </c>
      <c r="AT17" s="129">
        <v>-10</v>
      </c>
      <c r="AU17" s="129"/>
      <c r="AV17" s="129">
        <v>-10</v>
      </c>
      <c r="AW17" s="129"/>
      <c r="AX17" s="129">
        <v>-10</v>
      </c>
      <c r="AY17" s="129"/>
      <c r="AZ17" s="141"/>
      <c r="BA17" s="141"/>
    </row>
    <row r="18" spans="1:53" ht="12" customHeight="1">
      <c r="A18" s="1"/>
      <c r="B18" s="75"/>
      <c r="C18" s="82"/>
      <c r="D18" s="378"/>
      <c r="E18" s="83"/>
      <c r="F18" s="125"/>
      <c r="G18" s="81"/>
      <c r="H18" s="1"/>
      <c r="I18" s="9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66"/>
      <c r="V18" s="11"/>
      <c r="W18" s="11"/>
      <c r="X18" s="12"/>
      <c r="Y18" s="5"/>
      <c r="Z18" s="63"/>
      <c r="AA18" s="70" t="s">
        <v>50</v>
      </c>
      <c r="AB18" s="378"/>
      <c r="AC18" s="378"/>
      <c r="AD18" s="378"/>
      <c r="AE18" s="382"/>
      <c r="AF18" s="62"/>
      <c r="AG18" s="70" t="s">
        <v>84</v>
      </c>
      <c r="AH18" s="378"/>
      <c r="AI18" s="378"/>
      <c r="AJ18" s="378"/>
      <c r="AK18" s="382"/>
      <c r="AL18" s="19"/>
      <c r="AM18" s="5"/>
      <c r="AP18" s="129">
        <v>18</v>
      </c>
      <c r="AQ18" s="129">
        <f t="shared" si="0"/>
        <v>279</v>
      </c>
      <c r="AR18" s="129">
        <v>270</v>
      </c>
      <c r="AS18" s="129" t="s">
        <v>77</v>
      </c>
      <c r="AU18" s="129"/>
      <c r="AV18" s="129"/>
      <c r="AW18" s="129"/>
      <c r="AX18" s="129"/>
      <c r="AY18" s="129"/>
      <c r="AZ18" s="141"/>
      <c r="BA18" s="141"/>
    </row>
    <row r="19" spans="1:53" ht="12" customHeight="1">
      <c r="A19" s="1"/>
      <c r="B19" s="75"/>
      <c r="C19" s="84" t="s">
        <v>37</v>
      </c>
      <c r="D19" s="168">
        <v>81</v>
      </c>
      <c r="E19" s="85" t="s">
        <v>35</v>
      </c>
      <c r="F19" s="126">
        <v>268</v>
      </c>
      <c r="G19" s="81"/>
      <c r="H19" s="1"/>
      <c r="I19" s="644" t="s">
        <v>41</v>
      </c>
      <c r="J19" s="628"/>
      <c r="K19" s="628"/>
      <c r="L19" s="628"/>
      <c r="M19" s="631" t="s">
        <v>29</v>
      </c>
      <c r="N19" s="614"/>
      <c r="O19" s="632" t="s">
        <v>14</v>
      </c>
      <c r="P19" s="614"/>
      <c r="Q19" s="633" t="s">
        <v>16</v>
      </c>
      <c r="R19" s="634"/>
      <c r="S19" s="69" t="s">
        <v>30</v>
      </c>
      <c r="T19" s="635" t="s">
        <v>15</v>
      </c>
      <c r="U19" s="635"/>
      <c r="V19" s="636" t="s">
        <v>38</v>
      </c>
      <c r="W19" s="636"/>
      <c r="X19" s="19"/>
      <c r="Y19" s="5"/>
      <c r="Z19" s="63"/>
      <c r="AA19" s="40"/>
      <c r="AB19" s="609">
        <f>IF(M2="GRAND FORT",K7*1.61,IF(M2="MOYEN FORT",K7*1.59,K7*1.49))</f>
        <v>171.72</v>
      </c>
      <c r="AC19" s="610"/>
      <c r="AD19" s="611">
        <f>IF(M2="GRAND FORT",K10*1.61,IF(M2="MOYEN FORT",K10*1.59,K10*1.49))</f>
        <v>131.20679999999999</v>
      </c>
      <c r="AE19" s="612"/>
      <c r="AF19" s="62"/>
      <c r="AG19" s="40"/>
      <c r="AH19" s="609">
        <f>IF(M2="GRAND FORT",K7*1.2,IF(M2="MOYEN FORT",K7*1.18,K7*1.16))</f>
        <v>127.44</v>
      </c>
      <c r="AI19" s="610"/>
      <c r="AJ19" s="611">
        <f>IF(M2="GRAND FORT",K10*1.2,IF(M2="MOYEN FORT",K10*1.18,K10*1.16))</f>
        <v>97.373599999999996</v>
      </c>
      <c r="AK19" s="612"/>
      <c r="AL19" s="19"/>
      <c r="AM19" s="5"/>
      <c r="AP19" s="129">
        <v>19</v>
      </c>
      <c r="AQ19" s="129">
        <f t="shared" si="0"/>
        <v>289</v>
      </c>
      <c r="AR19" s="129">
        <v>280</v>
      </c>
      <c r="AS19" s="129" t="s">
        <v>70</v>
      </c>
      <c r="AT19" s="129">
        <v>-5</v>
      </c>
      <c r="AU19" s="129"/>
      <c r="AV19" s="129">
        <v>-5</v>
      </c>
      <c r="AW19" s="129"/>
      <c r="AX19" s="129">
        <v>-5</v>
      </c>
      <c r="AY19" s="129"/>
      <c r="AZ19" s="141"/>
      <c r="BA19" s="141"/>
    </row>
    <row r="20" spans="1:53" ht="12" customHeight="1">
      <c r="A20" s="1"/>
      <c r="B20" s="75"/>
      <c r="C20" s="84"/>
      <c r="D20" s="169"/>
      <c r="E20" s="85" t="s">
        <v>30</v>
      </c>
      <c r="F20" s="126">
        <v>0</v>
      </c>
      <c r="G20" s="81"/>
      <c r="H20" s="1"/>
      <c r="I20" s="644"/>
      <c r="J20" s="628"/>
      <c r="K20" s="628"/>
      <c r="L20" s="628"/>
      <c r="M20" s="637">
        <v>0</v>
      </c>
      <c r="N20" s="638"/>
      <c r="O20" s="639">
        <v>975</v>
      </c>
      <c r="P20" s="638"/>
      <c r="Q20" s="640">
        <v>119</v>
      </c>
      <c r="R20" s="641"/>
      <c r="S20" s="114">
        <v>1179</v>
      </c>
      <c r="T20" s="642">
        <v>619</v>
      </c>
      <c r="U20" s="642"/>
      <c r="V20" s="643">
        <v>150</v>
      </c>
      <c r="W20" s="643"/>
      <c r="X20" s="19"/>
      <c r="Y20" s="5"/>
      <c r="Z20" s="63"/>
      <c r="AA20" s="40"/>
      <c r="AB20" s="601">
        <f>IF(M2="GRAND FORT",L7*1.52,IF(M2="MOYEN FORT",L7*1.5,L7*1.42))</f>
        <v>155.44499999999999</v>
      </c>
      <c r="AC20" s="602"/>
      <c r="AD20" s="599">
        <f>IF(M2="GRAND FORT",L10*1.52,IF(M2="MOYEN FORT",L10*1.5,L10*1.42))</f>
        <v>117.22500000000001</v>
      </c>
      <c r="AE20" s="600"/>
      <c r="AF20" s="62"/>
      <c r="AG20" s="40"/>
      <c r="AH20" s="601">
        <f>IF(M2="GRAND FORT",L7*1.1,IF(M2="MOYEN FORT",L7*1.08,L7*1.06))</f>
        <v>111.9204</v>
      </c>
      <c r="AI20" s="602"/>
      <c r="AJ20" s="599">
        <f>IF(M2="GRAND FORT",L10*1.1,IF(M2="MOYEN FORT",L10*1.08,L10*1.06))</f>
        <v>84.402000000000015</v>
      </c>
      <c r="AK20" s="600"/>
      <c r="AL20" s="19"/>
      <c r="AM20" s="5"/>
      <c r="AN20" s="121" t="s">
        <v>21</v>
      </c>
      <c r="AO20" s="386"/>
      <c r="AP20" s="129">
        <v>20</v>
      </c>
      <c r="AQ20" s="129">
        <f t="shared" si="0"/>
        <v>299</v>
      </c>
      <c r="AR20" s="129">
        <v>290</v>
      </c>
      <c r="AS20" s="129" t="s">
        <v>72</v>
      </c>
      <c r="AT20" s="129">
        <v>-5</v>
      </c>
      <c r="AU20" s="129"/>
      <c r="AV20" s="129">
        <v>-5</v>
      </c>
      <c r="AW20" s="129"/>
      <c r="AX20" s="129">
        <v>-5</v>
      </c>
      <c r="AY20" s="129"/>
      <c r="AZ20" s="141"/>
      <c r="BA20" s="141"/>
    </row>
    <row r="21" spans="1:53" ht="12" customHeight="1" thickBot="1">
      <c r="A21" s="21"/>
      <c r="B21" s="75"/>
      <c r="C21" s="82"/>
      <c r="D21" s="378"/>
      <c r="E21" s="83"/>
      <c r="F21" s="125"/>
      <c r="G21" s="81"/>
      <c r="H21" s="21"/>
      <c r="I21" s="58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60"/>
      <c r="V21" s="61"/>
      <c r="W21" s="61"/>
      <c r="X21" s="78"/>
      <c r="Y21" s="5"/>
      <c r="Z21" s="63"/>
      <c r="AA21" s="70" t="s">
        <v>49</v>
      </c>
      <c r="AB21" s="378"/>
      <c r="AC21" s="378"/>
      <c r="AD21" s="378"/>
      <c r="AE21" s="382"/>
      <c r="AF21" s="62"/>
      <c r="AG21" s="70" t="s">
        <v>85</v>
      </c>
      <c r="AH21" s="378"/>
      <c r="AI21" s="378"/>
      <c r="AJ21" s="378"/>
      <c r="AK21" s="382"/>
      <c r="AL21" s="19"/>
      <c r="AM21" s="5"/>
      <c r="AN21" s="121" t="s">
        <v>64</v>
      </c>
      <c r="AO21" s="386"/>
      <c r="AP21" s="129">
        <v>21</v>
      </c>
      <c r="AQ21" s="129">
        <f t="shared" si="0"/>
        <v>309</v>
      </c>
      <c r="AR21" s="129">
        <v>300</v>
      </c>
      <c r="AU21" s="129"/>
      <c r="AV21" s="129"/>
      <c r="AW21" s="129"/>
      <c r="AX21" s="129"/>
      <c r="AY21" s="129"/>
      <c r="AZ21" s="141"/>
      <c r="BA21" s="141"/>
    </row>
    <row r="22" spans="1:53" ht="12" customHeight="1" thickBot="1">
      <c r="A22" s="21"/>
      <c r="B22" s="75"/>
      <c r="C22" s="86" t="s">
        <v>36</v>
      </c>
      <c r="D22" s="170">
        <v>82</v>
      </c>
      <c r="E22" s="87" t="s">
        <v>15</v>
      </c>
      <c r="F22" s="170">
        <v>69</v>
      </c>
      <c r="G22" s="8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5"/>
      <c r="V22" s="5"/>
      <c r="W22" s="5"/>
      <c r="X22" s="5"/>
      <c r="Y22" s="5"/>
      <c r="Z22" s="63"/>
      <c r="AA22" s="40"/>
      <c r="AB22" s="609">
        <f>IF(M2="GRAND FORT",K7*1.35,IF(M2="MOYEN FORT",K7*1.34,K7*1.3))</f>
        <v>144.72</v>
      </c>
      <c r="AC22" s="610"/>
      <c r="AD22" s="611">
        <f>IF(M2="GRAND FORT",K10*1.35,IF(M2="MOYEN FORT",K10*1.34,K10*1.3))</f>
        <v>110.57680000000001</v>
      </c>
      <c r="AE22" s="612"/>
      <c r="AF22" s="62"/>
      <c r="AG22" s="40"/>
      <c r="AH22" s="609">
        <f>K7*1.1</f>
        <v>118.80000000000001</v>
      </c>
      <c r="AI22" s="610"/>
      <c r="AJ22" s="611">
        <f>K10*1.1</f>
        <v>90.772000000000006</v>
      </c>
      <c r="AK22" s="612"/>
      <c r="AL22" s="19"/>
      <c r="AM22" s="5"/>
      <c r="AO22" s="386"/>
      <c r="AP22" s="129">
        <v>22</v>
      </c>
      <c r="AQ22" s="129">
        <f t="shared" si="0"/>
        <v>319</v>
      </c>
      <c r="AR22" s="129">
        <v>310</v>
      </c>
      <c r="AS22" s="129" t="s">
        <v>79</v>
      </c>
      <c r="AT22" s="129">
        <v>8</v>
      </c>
      <c r="AU22" s="129"/>
      <c r="AV22" s="129">
        <v>8</v>
      </c>
      <c r="AW22" s="129"/>
      <c r="AX22" s="129">
        <v>8</v>
      </c>
      <c r="AY22" s="129"/>
      <c r="AZ22" s="141"/>
      <c r="BA22" s="141"/>
    </row>
    <row r="23" spans="1:53" ht="12" customHeight="1">
      <c r="A23" s="21"/>
      <c r="B23" s="75"/>
      <c r="C23" s="86"/>
      <c r="D23" s="171"/>
      <c r="E23" s="87" t="s">
        <v>38</v>
      </c>
      <c r="F23" s="127">
        <v>0</v>
      </c>
      <c r="G23" s="81"/>
      <c r="H23" s="21"/>
      <c r="I23" s="9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66"/>
      <c r="V23" s="11"/>
      <c r="W23" s="11"/>
      <c r="X23" s="12"/>
      <c r="Y23" s="5"/>
      <c r="Z23" s="63"/>
      <c r="AA23" s="40"/>
      <c r="AB23" s="601">
        <f>IF(M2="GRAND FORT",L7*1.26,IF(M2="MOYEN FORT",L7*1.25,L7*1.23))</f>
        <v>129.53749999999999</v>
      </c>
      <c r="AC23" s="602"/>
      <c r="AD23" s="599">
        <f>IF(M2="GRAND FORT",L10*1.26,IF(M2="MOYEN FORT",L10*1.25,L10*1.23))</f>
        <v>97.6875</v>
      </c>
      <c r="AE23" s="600"/>
      <c r="AF23" s="62"/>
      <c r="AG23" s="40"/>
      <c r="AH23" s="601">
        <f>L7*1.2</f>
        <v>124.35599999999999</v>
      </c>
      <c r="AI23" s="602"/>
      <c r="AJ23" s="599">
        <f>L10*1.2</f>
        <v>93.78</v>
      </c>
      <c r="AK23" s="600"/>
      <c r="AL23" s="19"/>
      <c r="AM23" s="5"/>
      <c r="AN23" s="133">
        <f>((S6^0.5)+(S10^0.6)+(S7^0.5)+F13)</f>
        <v>83.006082756693303</v>
      </c>
      <c r="AO23" s="386"/>
      <c r="AP23" s="129">
        <v>23</v>
      </c>
      <c r="AQ23" s="129">
        <f t="shared" si="0"/>
        <v>328</v>
      </c>
      <c r="AR23" s="129">
        <v>320</v>
      </c>
      <c r="AT23" s="129">
        <v>16</v>
      </c>
      <c r="AU23" s="129"/>
      <c r="AV23" s="129">
        <v>16</v>
      </c>
      <c r="AW23" s="129"/>
      <c r="AX23" s="129">
        <v>16</v>
      </c>
      <c r="AY23" s="129"/>
      <c r="AZ23" s="141"/>
      <c r="BA23" s="141"/>
    </row>
    <row r="24" spans="1:53" ht="12" customHeight="1">
      <c r="A24" s="21"/>
      <c r="B24" s="75"/>
      <c r="C24" s="82"/>
      <c r="D24" s="378"/>
      <c r="E24" s="83"/>
      <c r="F24" s="125"/>
      <c r="G24" s="81"/>
      <c r="H24" s="21"/>
      <c r="I24" s="16"/>
      <c r="J24" s="628" t="s">
        <v>33</v>
      </c>
      <c r="K24" s="629"/>
      <c r="L24" s="88" t="s">
        <v>32</v>
      </c>
      <c r="M24" s="631" t="s">
        <v>29</v>
      </c>
      <c r="N24" s="614"/>
      <c r="O24" s="632" t="s">
        <v>14</v>
      </c>
      <c r="P24" s="614"/>
      <c r="Q24" s="633" t="s">
        <v>16</v>
      </c>
      <c r="R24" s="634"/>
      <c r="S24" s="69" t="s">
        <v>30</v>
      </c>
      <c r="T24" s="635" t="s">
        <v>15</v>
      </c>
      <c r="U24" s="635"/>
      <c r="V24" s="636" t="s">
        <v>38</v>
      </c>
      <c r="W24" s="636"/>
      <c r="X24" s="19"/>
      <c r="Y24" s="5"/>
      <c r="Z24" s="63"/>
      <c r="AA24" s="70" t="s">
        <v>51</v>
      </c>
      <c r="AB24" s="378"/>
      <c r="AC24" s="378"/>
      <c r="AD24" s="378"/>
      <c r="AE24" s="382"/>
      <c r="AF24" s="62"/>
      <c r="AG24" s="70" t="s">
        <v>86</v>
      </c>
      <c r="AH24" s="378"/>
      <c r="AI24" s="378"/>
      <c r="AJ24" s="378"/>
      <c r="AK24" s="382"/>
      <c r="AL24" s="19"/>
      <c r="AM24" s="5"/>
      <c r="AN24" s="134">
        <f>(O25^0.5)+(S10^0.6)+(S7^0.5)+F13</f>
        <v>92.923796996022773</v>
      </c>
      <c r="AO24" s="386"/>
      <c r="AP24" s="129">
        <v>24</v>
      </c>
      <c r="AQ24" s="129">
        <f t="shared" si="0"/>
        <v>338</v>
      </c>
      <c r="AR24" s="129">
        <v>330</v>
      </c>
      <c r="AU24" s="129"/>
      <c r="AV24" s="129"/>
      <c r="AW24" s="129"/>
      <c r="AX24" s="129"/>
      <c r="AY24" s="129"/>
      <c r="AZ24" s="141"/>
      <c r="BA24" s="141"/>
    </row>
    <row r="25" spans="1:53" ht="12" customHeight="1">
      <c r="A25" s="21"/>
      <c r="B25" s="75"/>
      <c r="C25" s="89" t="s">
        <v>40</v>
      </c>
      <c r="D25" s="172">
        <v>0</v>
      </c>
      <c r="E25" s="90" t="s">
        <v>14</v>
      </c>
      <c r="F25" s="128">
        <v>0</v>
      </c>
      <c r="G25" s="81"/>
      <c r="H25" s="21"/>
      <c r="I25" s="16"/>
      <c r="J25" s="630"/>
      <c r="K25" s="629"/>
      <c r="L25" s="91" t="str">
        <f>IF(F7="Création",IF(AND(F4="Soldat",F5="Non"),(V30+(M25*15)),IF(AND(F4="Soldat",F5="Oui"),(V30+(M25*20)),(V30+(D17*10)+(F17*10)+(M20*10)))),"")</f>
        <v/>
      </c>
      <c r="M25" s="623">
        <f>M20+D17+F17</f>
        <v>24</v>
      </c>
      <c r="N25" s="604"/>
      <c r="O25" s="624">
        <f>D25+F25+O20</f>
        <v>975</v>
      </c>
      <c r="P25" s="604"/>
      <c r="Q25" s="625">
        <f>D19+F19+Q20</f>
        <v>468</v>
      </c>
      <c r="R25" s="626"/>
      <c r="S25" s="74">
        <f>D19+F20+S20</f>
        <v>1260</v>
      </c>
      <c r="T25" s="627">
        <f>D22+F22+T20</f>
        <v>770</v>
      </c>
      <c r="U25" s="627"/>
      <c r="V25" s="627">
        <f>D22+F23+V20</f>
        <v>232</v>
      </c>
      <c r="W25" s="627"/>
      <c r="X25" s="19"/>
      <c r="Y25" s="5"/>
      <c r="Z25" s="63"/>
      <c r="AA25" s="40"/>
      <c r="AB25" s="609">
        <f>IF(M2="GRAND FORT",K7*1.11,IF(M2="MOYEN FORT",K7*1.1,L7+7))</f>
        <v>118.80000000000001</v>
      </c>
      <c r="AC25" s="610"/>
      <c r="AD25" s="611">
        <f>IF(M2="GRAND FORT",K10*1.11,IF(M2="MOYEN FORT",K10*1.1,L7+7))</f>
        <v>90.772000000000006</v>
      </c>
      <c r="AE25" s="612"/>
      <c r="AF25" s="62"/>
      <c r="AG25" s="40"/>
      <c r="AH25" s="609">
        <f>K7*1.15</f>
        <v>124.19999999999999</v>
      </c>
      <c r="AI25" s="610"/>
      <c r="AJ25" s="611">
        <f>K10*1.15</f>
        <v>94.897999999999982</v>
      </c>
      <c r="AK25" s="612"/>
      <c r="AL25" s="19"/>
      <c r="AM25" s="5"/>
      <c r="AN25" s="134">
        <f>(O15^0.5)+(S10^0.6)+(S7^0.5)+F13</f>
        <v>83.006082756693303</v>
      </c>
      <c r="AO25" s="386"/>
      <c r="AP25" s="129">
        <v>25</v>
      </c>
      <c r="AQ25" s="129">
        <f t="shared" si="0"/>
        <v>348</v>
      </c>
      <c r="AR25" s="129">
        <v>340</v>
      </c>
      <c r="AS25" s="129" t="s">
        <v>80</v>
      </c>
      <c r="AT25" s="129">
        <v>14</v>
      </c>
      <c r="AU25" s="129"/>
      <c r="AV25" s="129">
        <v>16</v>
      </c>
      <c r="AW25" s="129"/>
      <c r="AX25" s="129">
        <v>9</v>
      </c>
      <c r="AY25" s="129"/>
      <c r="AZ25" s="141"/>
      <c r="BA25" s="141"/>
    </row>
    <row r="26" spans="1:53" ht="12" customHeight="1" thickBot="1">
      <c r="A26" s="21"/>
      <c r="B26" s="92"/>
      <c r="C26" s="93"/>
      <c r="D26" s="93"/>
      <c r="E26" s="93"/>
      <c r="F26" s="93"/>
      <c r="G26" s="94"/>
      <c r="H26" s="21"/>
      <c r="I26" s="58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60"/>
      <c r="V26" s="61"/>
      <c r="W26" s="61"/>
      <c r="X26" s="78"/>
      <c r="Y26" s="21"/>
      <c r="Z26" s="47"/>
      <c r="AA26" s="40"/>
      <c r="AB26" s="601">
        <f>IF(M2="GRAND FORT",L7*1.19,IF(M2="MOYEN FORT",L7*1.18,L7+12))</f>
        <v>122.28339999999999</v>
      </c>
      <c r="AC26" s="602"/>
      <c r="AD26" s="599">
        <f>IF(M2="GRAND FORT",L10*1.19,IF(M2="MOYEN FORT",L10*1.18,L7+12))</f>
        <v>92.216999999999999</v>
      </c>
      <c r="AE26" s="600"/>
      <c r="AF26" s="62"/>
      <c r="AG26" s="40"/>
      <c r="AH26" s="601">
        <f>L7*1.15</f>
        <v>119.17449999999998</v>
      </c>
      <c r="AI26" s="602"/>
      <c r="AJ26" s="599">
        <f>L10*1.15</f>
        <v>89.872500000000002</v>
      </c>
      <c r="AK26" s="600"/>
      <c r="AL26" s="49"/>
      <c r="AM26" s="21"/>
      <c r="AN26" s="385"/>
      <c r="AO26" s="386"/>
      <c r="AP26" s="129">
        <v>26</v>
      </c>
      <c r="AQ26" s="129">
        <f t="shared" si="0"/>
        <v>358</v>
      </c>
      <c r="AR26" s="129">
        <v>350</v>
      </c>
      <c r="AT26" s="129">
        <v>6</v>
      </c>
      <c r="AU26" s="129"/>
      <c r="AV26" s="129">
        <v>8</v>
      </c>
      <c r="AW26" s="129"/>
      <c r="AX26" s="129">
        <v>3</v>
      </c>
      <c r="AY26" s="129"/>
      <c r="AZ26" s="141"/>
      <c r="BA26" s="141"/>
    </row>
    <row r="27" spans="1:53" ht="12" customHeight="1" thickBo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63"/>
      <c r="AA27" s="70" t="s">
        <v>63</v>
      </c>
      <c r="AB27" s="378"/>
      <c r="AC27" s="378"/>
      <c r="AD27" s="378"/>
      <c r="AE27" s="382"/>
      <c r="AF27" s="48"/>
      <c r="AG27" s="70" t="s">
        <v>62</v>
      </c>
      <c r="AH27" s="378"/>
      <c r="AI27" s="378"/>
      <c r="AJ27" s="378"/>
      <c r="AK27" s="382"/>
      <c r="AL27" s="49"/>
      <c r="AM27" s="21"/>
      <c r="AN27" s="385"/>
      <c r="AO27" s="386"/>
      <c r="AP27" s="129">
        <v>27</v>
      </c>
      <c r="AQ27" s="129">
        <f t="shared" si="0"/>
        <v>368</v>
      </c>
      <c r="AR27" s="129">
        <v>360</v>
      </c>
      <c r="AS27" s="129" t="s">
        <v>81</v>
      </c>
      <c r="AT27" s="129">
        <v>12</v>
      </c>
      <c r="AU27" s="129"/>
      <c r="AV27" s="129">
        <v>12</v>
      </c>
      <c r="AW27" s="129"/>
      <c r="AX27" s="129">
        <v>12</v>
      </c>
      <c r="AY27" s="129"/>
      <c r="AZ27" s="141"/>
      <c r="BA27" s="141"/>
    </row>
    <row r="28" spans="1:53" ht="12" customHeight="1">
      <c r="A28" s="21"/>
      <c r="B28" s="95"/>
      <c r="C28" s="608" t="s">
        <v>42</v>
      </c>
      <c r="D28" s="608"/>
      <c r="E28" s="608"/>
      <c r="F28" s="608"/>
      <c r="G28" s="96"/>
      <c r="H28" s="21"/>
      <c r="I28" s="95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11"/>
      <c r="V28" s="11"/>
      <c r="W28" s="11"/>
      <c r="X28" s="12"/>
      <c r="Y28" s="21"/>
      <c r="Z28" s="63"/>
      <c r="AA28" s="40"/>
      <c r="AB28" s="609">
        <f>K7-(K7*0.125)</f>
        <v>94.5</v>
      </c>
      <c r="AC28" s="610"/>
      <c r="AD28" s="611">
        <f>K10-(K10*0.125)</f>
        <v>72.204999999999998</v>
      </c>
      <c r="AE28" s="612"/>
      <c r="AF28" s="62"/>
      <c r="AG28" s="40"/>
      <c r="AH28" s="609">
        <f>K7-(K7*0.25)</f>
        <v>81</v>
      </c>
      <c r="AI28" s="610"/>
      <c r="AJ28" s="611">
        <f>K10-(K10*0.25)</f>
        <v>61.89</v>
      </c>
      <c r="AK28" s="612"/>
      <c r="AL28" s="49"/>
      <c r="AM28" s="21"/>
      <c r="AN28" s="385"/>
      <c r="AO28" s="386"/>
      <c r="AP28" s="129">
        <v>28</v>
      </c>
      <c r="AQ28" s="129">
        <f t="shared" si="0"/>
        <v>378</v>
      </c>
      <c r="AR28" s="129">
        <v>370</v>
      </c>
      <c r="AT28" s="129">
        <v>12</v>
      </c>
      <c r="AU28" s="129"/>
      <c r="AV28" s="129">
        <v>12</v>
      </c>
      <c r="AW28" s="129"/>
      <c r="AX28" s="129">
        <v>12</v>
      </c>
      <c r="AY28" s="129"/>
      <c r="AZ28" s="141"/>
      <c r="BA28" s="141"/>
    </row>
    <row r="29" spans="1:53" ht="12" customHeight="1">
      <c r="A29" s="21"/>
      <c r="B29" s="47"/>
      <c r="C29" s="98"/>
      <c r="D29" s="98"/>
      <c r="E29" s="98"/>
      <c r="F29" s="98"/>
      <c r="G29" s="49"/>
      <c r="H29" s="21"/>
      <c r="I29" s="47"/>
      <c r="J29" s="613" t="s">
        <v>47</v>
      </c>
      <c r="K29" s="614"/>
      <c r="L29" s="99" t="s">
        <v>43</v>
      </c>
      <c r="M29" s="617" t="s">
        <v>44</v>
      </c>
      <c r="N29" s="618"/>
      <c r="O29" s="48"/>
      <c r="P29" s="48"/>
      <c r="Q29" s="613" t="s">
        <v>55</v>
      </c>
      <c r="R29" s="619"/>
      <c r="S29" s="619"/>
      <c r="T29" s="619"/>
      <c r="U29" s="620"/>
      <c r="V29" s="621" t="s">
        <v>48</v>
      </c>
      <c r="W29" s="622"/>
      <c r="X29" s="19"/>
      <c r="Y29" s="21"/>
      <c r="Z29" s="47"/>
      <c r="AA29" s="40"/>
      <c r="AB29" s="601">
        <f>L7-(K7*0.125)</f>
        <v>90.13</v>
      </c>
      <c r="AC29" s="602"/>
      <c r="AD29" s="599">
        <f>L10-(K10*0.125)</f>
        <v>67.835000000000008</v>
      </c>
      <c r="AE29" s="600"/>
      <c r="AF29" s="62"/>
      <c r="AG29" s="40"/>
      <c r="AH29" s="601">
        <f>L7-(L7*0.25)</f>
        <v>77.722499999999997</v>
      </c>
      <c r="AI29" s="602"/>
      <c r="AJ29" s="599">
        <f>L10-(L10*0.25)</f>
        <v>58.612500000000004</v>
      </c>
      <c r="AK29" s="600"/>
      <c r="AL29" s="49"/>
      <c r="AM29" s="21"/>
      <c r="AN29" s="385"/>
      <c r="AO29" s="386"/>
      <c r="AP29" s="129">
        <v>29</v>
      </c>
      <c r="AQ29" s="129">
        <f t="shared" si="0"/>
        <v>388</v>
      </c>
      <c r="AR29" s="129">
        <v>380</v>
      </c>
      <c r="AU29" s="129"/>
      <c r="AV29" s="129"/>
      <c r="AW29" s="129"/>
      <c r="AX29" s="129"/>
      <c r="AY29" s="129"/>
      <c r="AZ29" s="141"/>
      <c r="BA29" s="141"/>
    </row>
    <row r="30" spans="1:53" ht="12" customHeight="1">
      <c r="A30" s="21"/>
      <c r="B30" s="47"/>
      <c r="C30" s="100" t="s">
        <v>45</v>
      </c>
      <c r="D30" s="113">
        <v>111</v>
      </c>
      <c r="E30" s="100" t="s">
        <v>46</v>
      </c>
      <c r="F30" s="113">
        <v>340</v>
      </c>
      <c r="G30" s="49"/>
      <c r="H30" s="21"/>
      <c r="I30" s="47"/>
      <c r="J30" s="615"/>
      <c r="K30" s="616"/>
      <c r="L30" s="101">
        <f>D30-(D17+D19+D22+D25)</f>
        <v>-52</v>
      </c>
      <c r="M30" s="603">
        <f>F30-(F17+F19+F20+F22+F23+F25)</f>
        <v>-21</v>
      </c>
      <c r="N30" s="604"/>
      <c r="O30" s="48"/>
      <c r="P30" s="48"/>
      <c r="Q30" s="102"/>
      <c r="R30" s="103"/>
      <c r="S30" s="104">
        <f>S9-S10</f>
        <v>-380</v>
      </c>
      <c r="T30" s="105"/>
      <c r="U30" s="106"/>
      <c r="V30" s="605">
        <f>VLOOKUP(F6,AP1:AR150,3,FALSE)</f>
        <v>1430</v>
      </c>
      <c r="W30" s="606"/>
      <c r="X30" s="19"/>
      <c r="Y30" s="21"/>
      <c r="Z30" s="63"/>
      <c r="AA30" s="48"/>
      <c r="AB30" s="607"/>
      <c r="AC30" s="607"/>
      <c r="AD30" s="607"/>
      <c r="AE30" s="607"/>
      <c r="AF30" s="62"/>
      <c r="AG30" s="48"/>
      <c r="AH30" s="137"/>
      <c r="AI30" s="137"/>
      <c r="AJ30" s="607"/>
      <c r="AK30" s="607"/>
      <c r="AL30" s="49"/>
      <c r="AM30" s="21"/>
      <c r="AN30" s="385"/>
      <c r="AO30" s="386"/>
      <c r="AP30" s="129">
        <v>30</v>
      </c>
      <c r="AQ30" s="129">
        <f t="shared" si="0"/>
        <v>398</v>
      </c>
      <c r="AR30" s="129">
        <v>390</v>
      </c>
      <c r="AU30" s="129"/>
      <c r="AV30" s="129"/>
      <c r="AW30" s="129"/>
      <c r="AX30" s="129"/>
      <c r="AY30" s="129"/>
      <c r="AZ30" s="141"/>
      <c r="BA30" s="141"/>
    </row>
    <row r="31" spans="1:53" ht="12" customHeight="1" thickBot="1">
      <c r="A31" s="21"/>
      <c r="B31" s="107"/>
      <c r="C31" s="108"/>
      <c r="D31" s="108"/>
      <c r="E31" s="108"/>
      <c r="F31" s="108"/>
      <c r="G31" s="109"/>
      <c r="H31" s="21"/>
      <c r="I31" s="107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61"/>
      <c r="V31" s="61"/>
      <c r="W31" s="61"/>
      <c r="X31" s="78"/>
      <c r="Y31" s="21"/>
      <c r="Z31" s="110"/>
      <c r="AA31" s="108"/>
      <c r="AB31" s="598"/>
      <c r="AC31" s="598"/>
      <c r="AD31" s="598"/>
      <c r="AE31" s="598"/>
      <c r="AF31" s="61"/>
      <c r="AG31" s="108"/>
      <c r="AH31" s="598"/>
      <c r="AI31" s="598"/>
      <c r="AJ31" s="598"/>
      <c r="AK31" s="598"/>
      <c r="AL31" s="109"/>
      <c r="AM31" s="21"/>
      <c r="AP31" s="129">
        <v>31</v>
      </c>
      <c r="AQ31" s="129">
        <f t="shared" si="0"/>
        <v>408</v>
      </c>
      <c r="AR31" s="129">
        <v>400</v>
      </c>
      <c r="AU31" s="129"/>
      <c r="AV31" s="129"/>
      <c r="AW31" s="129"/>
      <c r="AX31" s="129"/>
      <c r="AY31" s="129"/>
      <c r="AZ31" s="141"/>
      <c r="BA31" s="141"/>
    </row>
    <row r="32" spans="1:53" ht="12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P32" s="129">
        <v>32</v>
      </c>
      <c r="AQ32" s="129">
        <f t="shared" si="0"/>
        <v>418</v>
      </c>
      <c r="AR32" s="129">
        <v>410</v>
      </c>
      <c r="AY32" s="129"/>
      <c r="AZ32" s="129"/>
      <c r="BA32" s="129"/>
    </row>
    <row r="33" spans="1:47" ht="12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P33" s="129">
        <v>33</v>
      </c>
      <c r="AQ33" s="129">
        <f t="shared" si="0"/>
        <v>428</v>
      </c>
      <c r="AR33" s="129">
        <v>420</v>
      </c>
    </row>
    <row r="34" spans="1:47" ht="12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O34" s="141"/>
      <c r="AP34" s="129">
        <v>34</v>
      </c>
      <c r="AQ34" s="129">
        <f t="shared" si="0"/>
        <v>438</v>
      </c>
      <c r="AR34" s="129">
        <v>430</v>
      </c>
    </row>
    <row r="35" spans="1:47" ht="12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O35" s="141"/>
      <c r="AP35" s="129">
        <v>35</v>
      </c>
      <c r="AQ35" s="129">
        <f t="shared" si="0"/>
        <v>448</v>
      </c>
      <c r="AR35" s="129">
        <v>440</v>
      </c>
    </row>
    <row r="36" spans="1:47" s="21" customFormat="1" ht="12" customHeight="1"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121"/>
      <c r="AO36" s="141"/>
      <c r="AP36" s="129">
        <v>36</v>
      </c>
      <c r="AQ36" s="129">
        <f t="shared" si="0"/>
        <v>458</v>
      </c>
      <c r="AR36" s="129">
        <v>450</v>
      </c>
      <c r="AS36" s="129"/>
      <c r="AT36" s="129"/>
    </row>
    <row r="37" spans="1:47" s="21" customFormat="1" ht="12" customHeight="1"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121"/>
      <c r="AO37" s="141"/>
      <c r="AP37" s="129">
        <v>37</v>
      </c>
      <c r="AQ37" s="129">
        <f t="shared" si="0"/>
        <v>468</v>
      </c>
      <c r="AR37" s="129">
        <v>460</v>
      </c>
      <c r="AS37" s="129"/>
      <c r="AT37" s="129"/>
    </row>
    <row r="38" spans="1:47" s="21" customFormat="1" ht="12" customHeight="1"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121"/>
      <c r="AO38" s="141"/>
      <c r="AP38" s="129">
        <v>38</v>
      </c>
      <c r="AQ38" s="129">
        <f t="shared" si="0"/>
        <v>477</v>
      </c>
      <c r="AR38" s="129">
        <v>470</v>
      </c>
      <c r="AS38" s="129"/>
      <c r="AT38" s="129"/>
    </row>
    <row r="39" spans="1:47" s="21" customFormat="1"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121"/>
      <c r="AO39" s="129"/>
      <c r="AP39" s="129">
        <v>39</v>
      </c>
      <c r="AQ39" s="129">
        <f t="shared" si="0"/>
        <v>487</v>
      </c>
      <c r="AR39" s="129">
        <v>480</v>
      </c>
      <c r="AS39" s="129"/>
      <c r="AT39" s="129"/>
      <c r="AU39" s="129"/>
    </row>
    <row r="40" spans="1:47" s="21" customFormat="1"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121"/>
      <c r="AO40" s="129"/>
      <c r="AP40" s="129">
        <v>40</v>
      </c>
      <c r="AQ40" s="129">
        <f t="shared" si="0"/>
        <v>497</v>
      </c>
      <c r="AR40" s="129">
        <v>490</v>
      </c>
      <c r="AS40" s="129"/>
      <c r="AT40" s="129"/>
      <c r="AU40" s="129"/>
    </row>
    <row r="41" spans="1:47" s="21" customFormat="1"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121" t="s">
        <v>104</v>
      </c>
      <c r="AO41" s="129"/>
      <c r="AP41" s="129">
        <v>41</v>
      </c>
      <c r="AQ41" s="129">
        <f t="shared" si="0"/>
        <v>507</v>
      </c>
      <c r="AR41" s="129">
        <v>500</v>
      </c>
      <c r="AS41" s="129"/>
      <c r="AT41" s="129"/>
      <c r="AU41" s="129"/>
    </row>
    <row r="42" spans="1:47" s="21" customFormat="1"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121" t="s">
        <v>104</v>
      </c>
      <c r="AO42" s="129"/>
      <c r="AP42" s="129">
        <v>42</v>
      </c>
      <c r="AQ42" s="129">
        <f t="shared" si="0"/>
        <v>517</v>
      </c>
      <c r="AR42" s="129">
        <v>510</v>
      </c>
      <c r="AS42" s="129"/>
      <c r="AT42" s="129"/>
      <c r="AU42" s="129"/>
    </row>
    <row r="43" spans="1:47" s="21" customFormat="1"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121" t="s">
        <v>104</v>
      </c>
      <c r="AO43" s="129"/>
      <c r="AP43" s="129">
        <v>43</v>
      </c>
      <c r="AQ43" s="129">
        <f t="shared" si="0"/>
        <v>527</v>
      </c>
      <c r="AR43" s="129">
        <v>520</v>
      </c>
      <c r="AS43" s="129">
        <v>520</v>
      </c>
      <c r="AT43" s="129"/>
      <c r="AU43" s="129"/>
    </row>
    <row r="44" spans="1:47" s="21" customFormat="1"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121" t="s">
        <v>104</v>
      </c>
      <c r="AO44" s="129"/>
      <c r="AP44" s="129">
        <v>44</v>
      </c>
      <c r="AQ44" s="129">
        <f t="shared" si="0"/>
        <v>537</v>
      </c>
      <c r="AR44" s="129">
        <v>530</v>
      </c>
      <c r="AS44" s="129"/>
      <c r="AT44" s="129"/>
      <c r="AU44" s="129"/>
    </row>
    <row r="45" spans="1:47" s="21" customFormat="1"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121" t="s">
        <v>104</v>
      </c>
      <c r="AO45" s="129"/>
      <c r="AP45" s="129">
        <v>45</v>
      </c>
      <c r="AQ45" s="129">
        <f t="shared" si="0"/>
        <v>547</v>
      </c>
      <c r="AR45" s="129">
        <v>540</v>
      </c>
      <c r="AS45" s="129"/>
      <c r="AT45" s="129"/>
      <c r="AU45" s="129"/>
    </row>
    <row r="46" spans="1:47" s="21" customFormat="1"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121"/>
      <c r="AO46" s="129"/>
      <c r="AP46" s="129">
        <v>46</v>
      </c>
      <c r="AQ46" s="129">
        <f t="shared" si="0"/>
        <v>557</v>
      </c>
      <c r="AR46" s="129">
        <v>550</v>
      </c>
      <c r="AS46" s="129"/>
      <c r="AT46" s="129"/>
      <c r="AU46" s="129"/>
    </row>
    <row r="47" spans="1:47" s="21" customFormat="1"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121"/>
      <c r="AO47" s="129"/>
      <c r="AP47" s="129">
        <v>47</v>
      </c>
      <c r="AQ47" s="129">
        <f t="shared" si="0"/>
        <v>567</v>
      </c>
      <c r="AR47" s="129">
        <v>560</v>
      </c>
      <c r="AS47" s="129"/>
      <c r="AT47" s="129"/>
      <c r="AU47" s="129"/>
    </row>
    <row r="48" spans="1:47" s="21" customFormat="1"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121"/>
      <c r="AO48" s="129"/>
      <c r="AP48" s="129">
        <v>48</v>
      </c>
      <c r="AQ48" s="129">
        <f t="shared" si="0"/>
        <v>577</v>
      </c>
      <c r="AR48" s="129">
        <v>570</v>
      </c>
      <c r="AS48" s="129"/>
      <c r="AT48" s="129"/>
      <c r="AU48" s="129"/>
    </row>
    <row r="49" spans="21:47" s="21" customFormat="1"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121"/>
      <c r="AO49" s="129"/>
      <c r="AP49" s="129">
        <v>49</v>
      </c>
      <c r="AQ49" s="129">
        <f t="shared" si="0"/>
        <v>587</v>
      </c>
      <c r="AR49" s="129">
        <v>580</v>
      </c>
      <c r="AS49" s="129"/>
      <c r="AT49" s="129"/>
      <c r="AU49" s="129"/>
    </row>
    <row r="50" spans="21:47" s="21" customFormat="1"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121"/>
      <c r="AO50" s="129"/>
      <c r="AP50" s="129">
        <v>50</v>
      </c>
      <c r="AQ50" s="129">
        <f t="shared" si="0"/>
        <v>597</v>
      </c>
      <c r="AR50" s="129">
        <v>590</v>
      </c>
      <c r="AS50" s="129"/>
      <c r="AT50" s="129"/>
      <c r="AU50" s="129"/>
    </row>
    <row r="51" spans="21:47" s="21" customFormat="1"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121"/>
      <c r="AO51" s="141"/>
      <c r="AP51" s="129">
        <v>51</v>
      </c>
      <c r="AQ51" s="129">
        <f t="shared" si="0"/>
        <v>607</v>
      </c>
      <c r="AR51" s="129">
        <v>600</v>
      </c>
      <c r="AS51" s="129"/>
      <c r="AT51" s="129"/>
    </row>
    <row r="52" spans="21:47" s="21" customFormat="1"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121"/>
      <c r="AO52" s="141"/>
      <c r="AP52" s="129">
        <v>52</v>
      </c>
      <c r="AQ52" s="129">
        <f t="shared" si="0"/>
        <v>617</v>
      </c>
      <c r="AR52" s="129">
        <v>610</v>
      </c>
      <c r="AS52" s="129"/>
      <c r="AT52" s="129"/>
    </row>
    <row r="53" spans="21:47" s="21" customFormat="1"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121"/>
      <c r="AO53" s="141"/>
      <c r="AP53" s="129">
        <v>53</v>
      </c>
      <c r="AQ53" s="129">
        <f t="shared" si="0"/>
        <v>626</v>
      </c>
      <c r="AR53" s="129">
        <v>620</v>
      </c>
      <c r="AS53" s="129"/>
      <c r="AT53" s="129"/>
    </row>
    <row r="54" spans="21:47" s="21" customFormat="1"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121"/>
      <c r="AO54" s="141"/>
      <c r="AP54" s="129">
        <v>54</v>
      </c>
      <c r="AQ54" s="129">
        <f t="shared" si="0"/>
        <v>636</v>
      </c>
      <c r="AR54" s="129">
        <v>630</v>
      </c>
      <c r="AS54" s="129"/>
      <c r="AT54" s="129"/>
    </row>
    <row r="55" spans="21:47" s="21" customFormat="1"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121"/>
      <c r="AO55" s="141"/>
      <c r="AP55" s="129">
        <v>55</v>
      </c>
      <c r="AQ55" s="129">
        <f t="shared" si="0"/>
        <v>646</v>
      </c>
      <c r="AR55" s="129">
        <v>640</v>
      </c>
      <c r="AS55" s="129"/>
      <c r="AT55" s="129"/>
    </row>
    <row r="56" spans="21:47" s="21" customFormat="1"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121"/>
      <c r="AO56" s="141"/>
      <c r="AP56" s="129">
        <v>56</v>
      </c>
      <c r="AQ56" s="129">
        <f t="shared" si="0"/>
        <v>656</v>
      </c>
      <c r="AR56" s="129">
        <v>650</v>
      </c>
      <c r="AS56" s="129"/>
      <c r="AT56" s="129"/>
    </row>
    <row r="57" spans="21:47" s="21" customFormat="1"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121"/>
      <c r="AO57" s="141"/>
      <c r="AP57" s="129">
        <v>57</v>
      </c>
      <c r="AQ57" s="129">
        <f t="shared" si="0"/>
        <v>666</v>
      </c>
      <c r="AR57" s="129">
        <v>660</v>
      </c>
      <c r="AS57" s="129"/>
      <c r="AT57" s="129"/>
    </row>
    <row r="58" spans="21:47" s="21" customFormat="1"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121"/>
      <c r="AO58" s="141"/>
      <c r="AP58" s="129">
        <v>58</v>
      </c>
      <c r="AQ58" s="129">
        <f t="shared" si="0"/>
        <v>676</v>
      </c>
      <c r="AR58" s="129">
        <v>670</v>
      </c>
      <c r="AS58" s="129"/>
      <c r="AT58" s="129"/>
    </row>
    <row r="59" spans="21:47" s="21" customFormat="1"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121"/>
      <c r="AO59" s="141"/>
      <c r="AP59" s="129">
        <v>59</v>
      </c>
      <c r="AQ59" s="129">
        <f t="shared" si="0"/>
        <v>686</v>
      </c>
      <c r="AR59" s="129">
        <v>680</v>
      </c>
      <c r="AS59" s="129"/>
      <c r="AT59" s="129"/>
    </row>
    <row r="60" spans="21:47" s="21" customFormat="1"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121"/>
      <c r="AO60" s="141"/>
      <c r="AP60" s="129">
        <v>60</v>
      </c>
      <c r="AQ60" s="129">
        <f t="shared" si="0"/>
        <v>696</v>
      </c>
      <c r="AR60" s="129">
        <v>690</v>
      </c>
      <c r="AS60" s="129"/>
      <c r="AT60" s="129"/>
    </row>
    <row r="61" spans="21:47" s="21" customFormat="1"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121"/>
      <c r="AO61" s="141"/>
      <c r="AP61" s="129">
        <v>61</v>
      </c>
      <c r="AQ61" s="129">
        <f t="shared" si="0"/>
        <v>706</v>
      </c>
      <c r="AR61" s="129">
        <v>700</v>
      </c>
      <c r="AS61" s="129"/>
      <c r="AT61" s="129"/>
    </row>
    <row r="62" spans="21:47" s="21" customFormat="1"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121"/>
      <c r="AO62" s="141"/>
      <c r="AP62" s="129">
        <v>62</v>
      </c>
      <c r="AQ62" s="129">
        <f t="shared" si="0"/>
        <v>716</v>
      </c>
      <c r="AR62" s="129">
        <v>710</v>
      </c>
      <c r="AS62" s="129"/>
      <c r="AT62" s="129"/>
    </row>
    <row r="63" spans="21:47" s="21" customFormat="1"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121"/>
      <c r="AO63" s="141"/>
      <c r="AP63" s="129">
        <v>63</v>
      </c>
      <c r="AQ63" s="129">
        <f t="shared" si="0"/>
        <v>726</v>
      </c>
      <c r="AR63" s="129">
        <v>720</v>
      </c>
      <c r="AS63" s="129"/>
      <c r="AT63" s="129"/>
    </row>
    <row r="64" spans="21:47" s="21" customFormat="1"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121"/>
      <c r="AO64" s="141"/>
      <c r="AP64" s="129">
        <v>64</v>
      </c>
      <c r="AQ64" s="129">
        <f t="shared" si="0"/>
        <v>736</v>
      </c>
      <c r="AR64" s="129">
        <v>730</v>
      </c>
      <c r="AS64" s="129"/>
      <c r="AT64" s="129"/>
    </row>
    <row r="65" spans="21:46" s="21" customFormat="1"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121"/>
      <c r="AO65" s="141"/>
      <c r="AP65" s="129">
        <v>65</v>
      </c>
      <c r="AQ65" s="129">
        <f t="shared" si="0"/>
        <v>746</v>
      </c>
      <c r="AR65" s="129">
        <v>740</v>
      </c>
      <c r="AS65" s="129"/>
      <c r="AT65" s="129"/>
    </row>
    <row r="66" spans="21:46" s="21" customFormat="1"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121"/>
      <c r="AO66" s="141"/>
      <c r="AP66" s="129">
        <v>66</v>
      </c>
      <c r="AQ66" s="129">
        <f t="shared" si="0"/>
        <v>756</v>
      </c>
      <c r="AR66" s="129">
        <v>750</v>
      </c>
      <c r="AS66" s="129"/>
      <c r="AT66" s="129"/>
    </row>
    <row r="67" spans="21:46" s="21" customFormat="1"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121"/>
      <c r="AO67" s="141"/>
      <c r="AP67" s="129">
        <v>67</v>
      </c>
      <c r="AQ67" s="129">
        <f t="shared" ref="AQ67:AQ130" si="1">IF(AP67=1,110,ROUND(100+(AP67*9.93288590604026),0))</f>
        <v>766</v>
      </c>
      <c r="AR67" s="129">
        <v>760</v>
      </c>
      <c r="AS67" s="129"/>
      <c r="AT67" s="129"/>
    </row>
    <row r="68" spans="21:46" s="21" customFormat="1"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121"/>
      <c r="AO68" s="141"/>
      <c r="AP68" s="129">
        <v>68</v>
      </c>
      <c r="AQ68" s="129">
        <f t="shared" si="1"/>
        <v>775</v>
      </c>
      <c r="AR68" s="129">
        <v>770</v>
      </c>
      <c r="AS68" s="129"/>
      <c r="AT68" s="129"/>
    </row>
    <row r="69" spans="21:46" s="21" customFormat="1"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121"/>
      <c r="AO69" s="141"/>
      <c r="AP69" s="129">
        <v>69</v>
      </c>
      <c r="AQ69" s="129">
        <f t="shared" si="1"/>
        <v>785</v>
      </c>
      <c r="AR69" s="129">
        <v>780</v>
      </c>
      <c r="AS69" s="129"/>
      <c r="AT69" s="129"/>
    </row>
    <row r="70" spans="21:46" s="21" customFormat="1"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121"/>
      <c r="AO70" s="141"/>
      <c r="AP70" s="129">
        <v>70</v>
      </c>
      <c r="AQ70" s="129">
        <f t="shared" si="1"/>
        <v>795</v>
      </c>
      <c r="AR70" s="129">
        <v>790</v>
      </c>
      <c r="AS70" s="129"/>
      <c r="AT70" s="129"/>
    </row>
    <row r="71" spans="21:46" s="21" customFormat="1"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121"/>
      <c r="AO71" s="141"/>
      <c r="AP71" s="129">
        <v>71</v>
      </c>
      <c r="AQ71" s="129">
        <f t="shared" si="1"/>
        <v>805</v>
      </c>
      <c r="AR71" s="129">
        <v>800</v>
      </c>
      <c r="AS71" s="129"/>
      <c r="AT71" s="129"/>
    </row>
    <row r="72" spans="21:46" s="21" customFormat="1"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121"/>
      <c r="AO72" s="141"/>
      <c r="AP72" s="129">
        <v>72</v>
      </c>
      <c r="AQ72" s="129">
        <f t="shared" si="1"/>
        <v>815</v>
      </c>
      <c r="AR72" s="129">
        <v>810</v>
      </c>
      <c r="AS72" s="129"/>
      <c r="AT72" s="129"/>
    </row>
    <row r="73" spans="21:46" s="21" customFormat="1"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121"/>
      <c r="AO73" s="141"/>
      <c r="AP73" s="129">
        <v>73</v>
      </c>
      <c r="AQ73" s="129">
        <f t="shared" si="1"/>
        <v>825</v>
      </c>
      <c r="AR73" s="129">
        <v>820</v>
      </c>
      <c r="AS73" s="129"/>
      <c r="AT73" s="129"/>
    </row>
    <row r="74" spans="21:46" s="21" customFormat="1"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121"/>
      <c r="AO74" s="141"/>
      <c r="AP74" s="129">
        <v>74</v>
      </c>
      <c r="AQ74" s="129">
        <f t="shared" si="1"/>
        <v>835</v>
      </c>
      <c r="AR74" s="129">
        <v>830</v>
      </c>
      <c r="AS74" s="129"/>
      <c r="AT74" s="129"/>
    </row>
    <row r="75" spans="21:46" s="21" customFormat="1"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121"/>
      <c r="AO75" s="141"/>
      <c r="AP75" s="129">
        <v>75</v>
      </c>
      <c r="AQ75" s="129">
        <f t="shared" si="1"/>
        <v>845</v>
      </c>
      <c r="AR75" s="129">
        <v>840</v>
      </c>
      <c r="AS75" s="129"/>
      <c r="AT75" s="129"/>
    </row>
    <row r="76" spans="21:46" s="21" customFormat="1"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121"/>
      <c r="AO76" s="141"/>
      <c r="AP76" s="129">
        <v>76</v>
      </c>
      <c r="AQ76" s="129">
        <f t="shared" si="1"/>
        <v>855</v>
      </c>
      <c r="AR76" s="129">
        <v>850</v>
      </c>
      <c r="AS76" s="129"/>
      <c r="AT76" s="129"/>
    </row>
    <row r="77" spans="21:46" s="21" customFormat="1"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121"/>
      <c r="AO77" s="141"/>
      <c r="AP77" s="129">
        <v>77</v>
      </c>
      <c r="AQ77" s="129">
        <f t="shared" si="1"/>
        <v>865</v>
      </c>
      <c r="AR77" s="129">
        <v>860</v>
      </c>
      <c r="AS77" s="129"/>
      <c r="AT77" s="129"/>
    </row>
    <row r="78" spans="21:46" s="21" customFormat="1"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121"/>
      <c r="AO78" s="141"/>
      <c r="AP78" s="129">
        <v>78</v>
      </c>
      <c r="AQ78" s="129">
        <f t="shared" si="1"/>
        <v>875</v>
      </c>
      <c r="AR78" s="129">
        <v>870</v>
      </c>
      <c r="AS78" s="129"/>
      <c r="AT78" s="129"/>
    </row>
    <row r="79" spans="21:46" s="21" customFormat="1"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121"/>
      <c r="AO79" s="141"/>
      <c r="AP79" s="129">
        <v>79</v>
      </c>
      <c r="AQ79" s="129">
        <f t="shared" si="1"/>
        <v>885</v>
      </c>
      <c r="AR79" s="129">
        <v>880</v>
      </c>
      <c r="AS79" s="129"/>
      <c r="AT79" s="129"/>
    </row>
    <row r="80" spans="21:46" s="21" customFormat="1"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121"/>
      <c r="AO80" s="141"/>
      <c r="AP80" s="129">
        <v>80</v>
      </c>
      <c r="AQ80" s="129">
        <f t="shared" si="1"/>
        <v>895</v>
      </c>
      <c r="AR80" s="129">
        <v>890</v>
      </c>
      <c r="AS80" s="129"/>
      <c r="AT80" s="129"/>
    </row>
    <row r="81" spans="21:46" s="21" customFormat="1"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121"/>
      <c r="AO81" s="141"/>
      <c r="AP81" s="129">
        <v>81</v>
      </c>
      <c r="AQ81" s="129">
        <f t="shared" si="1"/>
        <v>905</v>
      </c>
      <c r="AR81" s="129">
        <v>900</v>
      </c>
      <c r="AS81" s="129"/>
      <c r="AT81" s="129"/>
    </row>
    <row r="82" spans="21:46" s="21" customFormat="1"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121"/>
      <c r="AO82" s="141"/>
      <c r="AP82" s="129">
        <v>82</v>
      </c>
      <c r="AQ82" s="129">
        <f t="shared" si="1"/>
        <v>914</v>
      </c>
      <c r="AR82" s="129">
        <v>910</v>
      </c>
      <c r="AS82" s="129"/>
      <c r="AT82" s="129"/>
    </row>
    <row r="83" spans="21:46" s="21" customFormat="1"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121"/>
      <c r="AO83" s="141"/>
      <c r="AP83" s="129">
        <v>83</v>
      </c>
      <c r="AQ83" s="129">
        <f t="shared" si="1"/>
        <v>924</v>
      </c>
      <c r="AR83" s="129">
        <v>920</v>
      </c>
      <c r="AS83" s="129"/>
      <c r="AT83" s="129"/>
    </row>
    <row r="84" spans="21:46" s="21" customFormat="1"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121"/>
      <c r="AO84" s="141"/>
      <c r="AP84" s="129">
        <v>84</v>
      </c>
      <c r="AQ84" s="129">
        <f t="shared" si="1"/>
        <v>934</v>
      </c>
      <c r="AR84" s="129">
        <v>930</v>
      </c>
      <c r="AS84" s="129"/>
      <c r="AT84" s="129"/>
    </row>
    <row r="85" spans="21:46" s="21" customFormat="1"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121"/>
      <c r="AO85" s="141"/>
      <c r="AP85" s="129">
        <v>85</v>
      </c>
      <c r="AQ85" s="129">
        <f t="shared" si="1"/>
        <v>944</v>
      </c>
      <c r="AR85" s="129">
        <v>940</v>
      </c>
      <c r="AS85" s="129"/>
      <c r="AT85" s="129"/>
    </row>
    <row r="86" spans="21:46" s="21" customFormat="1"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121"/>
      <c r="AO86" s="141"/>
      <c r="AP86" s="129">
        <v>86</v>
      </c>
      <c r="AQ86" s="129">
        <f t="shared" si="1"/>
        <v>954</v>
      </c>
      <c r="AR86" s="129">
        <v>950</v>
      </c>
      <c r="AS86" s="129"/>
      <c r="AT86" s="129"/>
    </row>
    <row r="87" spans="21:46" s="21" customFormat="1"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121"/>
      <c r="AO87" s="141"/>
      <c r="AP87" s="129">
        <v>87</v>
      </c>
      <c r="AQ87" s="129">
        <f t="shared" si="1"/>
        <v>964</v>
      </c>
      <c r="AR87" s="129">
        <v>960</v>
      </c>
      <c r="AS87" s="129"/>
      <c r="AT87" s="129"/>
    </row>
    <row r="88" spans="21:46" s="21" customFormat="1"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121"/>
      <c r="AO88" s="141"/>
      <c r="AP88" s="129">
        <v>88</v>
      </c>
      <c r="AQ88" s="129">
        <f t="shared" si="1"/>
        <v>974</v>
      </c>
      <c r="AR88" s="129">
        <v>970</v>
      </c>
      <c r="AS88" s="129"/>
      <c r="AT88" s="129"/>
    </row>
    <row r="89" spans="21:46" s="21" customFormat="1"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121"/>
      <c r="AO89" s="141"/>
      <c r="AP89" s="129">
        <v>89</v>
      </c>
      <c r="AQ89" s="129">
        <f t="shared" si="1"/>
        <v>984</v>
      </c>
      <c r="AR89" s="129">
        <v>980</v>
      </c>
      <c r="AS89" s="129"/>
      <c r="AT89" s="129"/>
    </row>
    <row r="90" spans="21:46" s="21" customFormat="1"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121"/>
      <c r="AO90" s="141"/>
      <c r="AP90" s="129">
        <v>90</v>
      </c>
      <c r="AQ90" s="129">
        <f t="shared" si="1"/>
        <v>994</v>
      </c>
      <c r="AR90" s="129">
        <v>990</v>
      </c>
      <c r="AS90" s="129"/>
      <c r="AT90" s="129"/>
    </row>
    <row r="91" spans="21:46" s="21" customFormat="1"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121"/>
      <c r="AO91" s="141"/>
      <c r="AP91" s="129">
        <v>91</v>
      </c>
      <c r="AQ91" s="129">
        <f t="shared" si="1"/>
        <v>1004</v>
      </c>
      <c r="AR91" s="129">
        <v>1000</v>
      </c>
      <c r="AS91" s="129"/>
      <c r="AT91" s="129"/>
    </row>
    <row r="92" spans="21:46" s="21" customFormat="1"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121"/>
      <c r="AO92" s="141"/>
      <c r="AP92" s="129">
        <v>92</v>
      </c>
      <c r="AQ92" s="129">
        <f t="shared" si="1"/>
        <v>1014</v>
      </c>
      <c r="AR92" s="129">
        <v>1010</v>
      </c>
      <c r="AS92" s="129"/>
      <c r="AT92" s="129"/>
    </row>
    <row r="93" spans="21:46" s="21" customFormat="1"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121"/>
      <c r="AO93" s="141"/>
      <c r="AP93" s="129">
        <v>93</v>
      </c>
      <c r="AQ93" s="129">
        <f t="shared" si="1"/>
        <v>1024</v>
      </c>
      <c r="AR93" s="129">
        <v>1020</v>
      </c>
      <c r="AS93" s="129"/>
      <c r="AT93" s="129"/>
    </row>
    <row r="94" spans="21:46" s="21" customFormat="1"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121"/>
      <c r="AO94" s="141"/>
      <c r="AP94" s="129">
        <v>94</v>
      </c>
      <c r="AQ94" s="129">
        <f t="shared" si="1"/>
        <v>1034</v>
      </c>
      <c r="AR94" s="129">
        <v>1030</v>
      </c>
      <c r="AS94" s="129"/>
      <c r="AT94" s="129"/>
    </row>
    <row r="95" spans="21:46" s="21" customFormat="1"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121"/>
      <c r="AO95" s="141"/>
      <c r="AP95" s="129">
        <v>95</v>
      </c>
      <c r="AQ95" s="129">
        <f t="shared" si="1"/>
        <v>1044</v>
      </c>
      <c r="AR95" s="129">
        <v>1040</v>
      </c>
      <c r="AS95" s="129"/>
      <c r="AT95" s="129"/>
    </row>
    <row r="96" spans="21:46" s="21" customFormat="1"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121"/>
      <c r="AO96" s="141"/>
      <c r="AP96" s="129">
        <v>96</v>
      </c>
      <c r="AQ96" s="129">
        <f t="shared" si="1"/>
        <v>1054</v>
      </c>
      <c r="AR96" s="129">
        <v>1050</v>
      </c>
      <c r="AS96" s="129"/>
      <c r="AT96" s="129"/>
    </row>
    <row r="97" spans="21:46" s="21" customFormat="1"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121"/>
      <c r="AO97" s="141"/>
      <c r="AP97" s="129">
        <v>97</v>
      </c>
      <c r="AQ97" s="129">
        <f t="shared" si="1"/>
        <v>1063</v>
      </c>
      <c r="AR97" s="129">
        <v>1060</v>
      </c>
      <c r="AS97" s="129"/>
      <c r="AT97" s="129"/>
    </row>
    <row r="98" spans="21:46" s="21" customFormat="1"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121"/>
      <c r="AO98" s="141"/>
      <c r="AP98" s="129">
        <v>98</v>
      </c>
      <c r="AQ98" s="129">
        <f>IF(AP98=1,110,ROUND(100+(AP98*9.93288590604026),0))</f>
        <v>1073</v>
      </c>
      <c r="AR98" s="129">
        <v>1070</v>
      </c>
      <c r="AS98" s="129"/>
      <c r="AT98" s="129"/>
    </row>
    <row r="99" spans="21:46" s="21" customFormat="1"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121"/>
      <c r="AO99" s="141"/>
      <c r="AP99" s="129">
        <v>99</v>
      </c>
      <c r="AQ99" s="129">
        <f t="shared" si="1"/>
        <v>1083</v>
      </c>
      <c r="AR99" s="129">
        <v>1080</v>
      </c>
      <c r="AS99" s="129"/>
      <c r="AT99" s="129"/>
    </row>
    <row r="100" spans="21:46" s="21" customFormat="1"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121"/>
      <c r="AO100" s="141"/>
      <c r="AP100" s="129">
        <v>100</v>
      </c>
      <c r="AQ100" s="129">
        <f t="shared" si="1"/>
        <v>1093</v>
      </c>
      <c r="AR100" s="129">
        <v>1090</v>
      </c>
      <c r="AS100" s="129"/>
      <c r="AT100" s="129"/>
    </row>
    <row r="101" spans="21:46" s="21" customFormat="1"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121"/>
      <c r="AO101" s="141"/>
      <c r="AP101" s="129">
        <v>101</v>
      </c>
      <c r="AQ101" s="129">
        <f t="shared" si="1"/>
        <v>1103</v>
      </c>
      <c r="AR101" s="129">
        <v>1100</v>
      </c>
      <c r="AS101" s="129"/>
      <c r="AT101" s="129"/>
    </row>
    <row r="102" spans="21:46" s="21" customFormat="1"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121"/>
      <c r="AO102" s="141"/>
      <c r="AP102" s="129">
        <v>102</v>
      </c>
      <c r="AQ102" s="129">
        <f t="shared" si="1"/>
        <v>1113</v>
      </c>
      <c r="AR102" s="129">
        <v>1110</v>
      </c>
      <c r="AS102" s="129"/>
      <c r="AT102" s="129"/>
    </row>
    <row r="103" spans="21:46" s="21" customFormat="1"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121"/>
      <c r="AO103" s="141"/>
      <c r="AP103" s="129">
        <v>103</v>
      </c>
      <c r="AQ103" s="129">
        <f t="shared" si="1"/>
        <v>1123</v>
      </c>
      <c r="AR103" s="129">
        <v>1120</v>
      </c>
      <c r="AS103" s="129"/>
      <c r="AT103" s="129"/>
    </row>
    <row r="104" spans="21:46" s="21" customFormat="1"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121"/>
      <c r="AO104" s="141"/>
      <c r="AP104" s="129">
        <v>104</v>
      </c>
      <c r="AQ104" s="129">
        <f t="shared" si="1"/>
        <v>1133</v>
      </c>
      <c r="AR104" s="129">
        <v>1130</v>
      </c>
      <c r="AS104" s="129"/>
      <c r="AT104" s="129"/>
    </row>
    <row r="105" spans="21:46" s="21" customFormat="1"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121"/>
      <c r="AO105" s="141"/>
      <c r="AP105" s="129">
        <v>105</v>
      </c>
      <c r="AQ105" s="129">
        <f t="shared" si="1"/>
        <v>1143</v>
      </c>
      <c r="AR105" s="129">
        <v>1140</v>
      </c>
      <c r="AS105" s="129"/>
      <c r="AT105" s="129"/>
    </row>
    <row r="106" spans="21:46" s="21" customFormat="1"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121"/>
      <c r="AO106" s="141"/>
      <c r="AP106" s="129">
        <v>106</v>
      </c>
      <c r="AQ106" s="129">
        <f t="shared" si="1"/>
        <v>1153</v>
      </c>
      <c r="AR106" s="129">
        <v>1150</v>
      </c>
      <c r="AS106" s="129"/>
      <c r="AT106" s="129"/>
    </row>
    <row r="107" spans="21:46" s="21" customFormat="1"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121"/>
      <c r="AO107" s="141"/>
      <c r="AP107" s="129">
        <v>107</v>
      </c>
      <c r="AQ107" s="129">
        <f t="shared" si="1"/>
        <v>1163</v>
      </c>
      <c r="AR107" s="129">
        <v>1160</v>
      </c>
      <c r="AS107" s="129"/>
      <c r="AT107" s="129"/>
    </row>
    <row r="108" spans="21:46" s="21" customFormat="1"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121"/>
      <c r="AO108" s="141"/>
      <c r="AP108" s="129">
        <v>108</v>
      </c>
      <c r="AQ108" s="129">
        <f t="shared" si="1"/>
        <v>1173</v>
      </c>
      <c r="AR108" s="129">
        <v>1170</v>
      </c>
      <c r="AS108" s="129"/>
      <c r="AT108" s="129"/>
    </row>
    <row r="109" spans="21:46" s="21" customFormat="1"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121"/>
      <c r="AO109" s="141"/>
      <c r="AP109" s="129">
        <v>109</v>
      </c>
      <c r="AQ109" s="129">
        <f t="shared" si="1"/>
        <v>1183</v>
      </c>
      <c r="AR109" s="129">
        <v>1180</v>
      </c>
      <c r="AS109" s="129"/>
      <c r="AT109" s="129"/>
    </row>
    <row r="110" spans="21:46" s="21" customFormat="1"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121"/>
      <c r="AO110" s="141"/>
      <c r="AP110" s="129">
        <v>110</v>
      </c>
      <c r="AQ110" s="129">
        <f t="shared" si="1"/>
        <v>1193</v>
      </c>
      <c r="AR110" s="129">
        <v>1190</v>
      </c>
      <c r="AS110" s="129"/>
      <c r="AT110" s="129"/>
    </row>
    <row r="111" spans="21:46" s="21" customFormat="1"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121"/>
      <c r="AO111" s="141"/>
      <c r="AP111" s="129">
        <v>111</v>
      </c>
      <c r="AQ111" s="129">
        <f t="shared" si="1"/>
        <v>1203</v>
      </c>
      <c r="AR111" s="129">
        <v>1200</v>
      </c>
      <c r="AS111" s="129"/>
      <c r="AT111" s="129"/>
    </row>
    <row r="112" spans="21:46" s="21" customFormat="1"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121"/>
      <c r="AO112" s="141"/>
      <c r="AP112" s="129">
        <v>112</v>
      </c>
      <c r="AQ112" s="129">
        <f t="shared" si="1"/>
        <v>1212</v>
      </c>
      <c r="AR112" s="129">
        <v>1210</v>
      </c>
      <c r="AS112" s="129"/>
      <c r="AT112" s="129"/>
    </row>
    <row r="113" spans="21:46" s="21" customFormat="1"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121"/>
      <c r="AO113" s="141"/>
      <c r="AP113" s="129">
        <v>113</v>
      </c>
      <c r="AQ113" s="129">
        <f t="shared" si="1"/>
        <v>1222</v>
      </c>
      <c r="AR113" s="129">
        <v>1220</v>
      </c>
      <c r="AS113" s="129"/>
      <c r="AT113" s="129"/>
    </row>
    <row r="114" spans="21:46" s="21" customFormat="1"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121"/>
      <c r="AO114" s="141"/>
      <c r="AP114" s="129">
        <v>114</v>
      </c>
      <c r="AQ114" s="129">
        <f t="shared" si="1"/>
        <v>1232</v>
      </c>
      <c r="AR114" s="129">
        <v>1230</v>
      </c>
      <c r="AS114" s="129"/>
      <c r="AT114" s="129"/>
    </row>
    <row r="115" spans="21:46" s="21" customFormat="1"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121"/>
      <c r="AO115" s="141"/>
      <c r="AP115" s="129">
        <v>115</v>
      </c>
      <c r="AQ115" s="129">
        <f t="shared" si="1"/>
        <v>1242</v>
      </c>
      <c r="AR115" s="129">
        <v>1240</v>
      </c>
      <c r="AS115" s="129"/>
      <c r="AT115" s="129"/>
    </row>
    <row r="116" spans="21:46" s="21" customFormat="1"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121"/>
      <c r="AO116" s="141"/>
      <c r="AP116" s="129">
        <v>116</v>
      </c>
      <c r="AQ116" s="129">
        <f t="shared" si="1"/>
        <v>1252</v>
      </c>
      <c r="AR116" s="129">
        <v>1250</v>
      </c>
      <c r="AS116" s="129"/>
      <c r="AT116" s="129"/>
    </row>
    <row r="117" spans="21:46" s="21" customFormat="1"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121"/>
      <c r="AO117" s="141"/>
      <c r="AP117" s="129">
        <v>117</v>
      </c>
      <c r="AQ117" s="129">
        <f t="shared" si="1"/>
        <v>1262</v>
      </c>
      <c r="AR117" s="129">
        <v>1260</v>
      </c>
      <c r="AS117" s="129"/>
      <c r="AT117" s="129"/>
    </row>
    <row r="118" spans="21:46" s="21" customFormat="1"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121"/>
      <c r="AO118" s="141"/>
      <c r="AP118" s="129">
        <v>118</v>
      </c>
      <c r="AQ118" s="129">
        <f t="shared" si="1"/>
        <v>1272</v>
      </c>
      <c r="AR118" s="129">
        <v>1270</v>
      </c>
      <c r="AS118" s="129"/>
      <c r="AT118" s="129"/>
    </row>
    <row r="119" spans="21:46" s="21" customFormat="1"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121"/>
      <c r="AO119" s="141"/>
      <c r="AP119" s="129">
        <v>119</v>
      </c>
      <c r="AQ119" s="129">
        <f t="shared" si="1"/>
        <v>1282</v>
      </c>
      <c r="AR119" s="129">
        <v>1280</v>
      </c>
      <c r="AS119" s="129"/>
      <c r="AT119" s="129"/>
    </row>
    <row r="120" spans="21:46" s="21" customFormat="1"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121"/>
      <c r="AO120" s="141"/>
      <c r="AP120" s="129">
        <v>120</v>
      </c>
      <c r="AQ120" s="129">
        <f t="shared" si="1"/>
        <v>1292</v>
      </c>
      <c r="AR120" s="129">
        <v>1290</v>
      </c>
      <c r="AS120" s="129"/>
      <c r="AT120" s="129"/>
    </row>
    <row r="121" spans="21:46" s="21" customFormat="1"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121"/>
      <c r="AO121" s="141"/>
      <c r="AP121" s="129">
        <v>121</v>
      </c>
      <c r="AQ121" s="129">
        <f t="shared" si="1"/>
        <v>1302</v>
      </c>
      <c r="AR121" s="129">
        <v>1300</v>
      </c>
      <c r="AS121" s="129"/>
      <c r="AT121" s="129"/>
    </row>
    <row r="122" spans="21:46" s="21" customFormat="1"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121"/>
      <c r="AO122" s="141"/>
      <c r="AP122" s="129">
        <v>122</v>
      </c>
      <c r="AQ122" s="129">
        <f t="shared" si="1"/>
        <v>1312</v>
      </c>
      <c r="AR122" s="129">
        <v>1310</v>
      </c>
      <c r="AS122" s="129"/>
      <c r="AT122" s="129"/>
    </row>
    <row r="123" spans="21:46" s="21" customFormat="1"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121"/>
      <c r="AO123" s="141"/>
      <c r="AP123" s="129">
        <v>123</v>
      </c>
      <c r="AQ123" s="129">
        <f t="shared" si="1"/>
        <v>1322</v>
      </c>
      <c r="AR123" s="129">
        <v>1320</v>
      </c>
      <c r="AS123" s="129"/>
      <c r="AT123" s="129"/>
    </row>
    <row r="124" spans="21:46" s="21" customFormat="1"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121"/>
      <c r="AO124" s="141"/>
      <c r="AP124" s="129">
        <v>124</v>
      </c>
      <c r="AQ124" s="129">
        <f t="shared" si="1"/>
        <v>1332</v>
      </c>
      <c r="AR124" s="129">
        <v>1330</v>
      </c>
      <c r="AS124" s="129"/>
      <c r="AT124" s="129"/>
    </row>
    <row r="125" spans="21:46" s="21" customFormat="1"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121"/>
      <c r="AO125" s="141"/>
      <c r="AP125" s="129">
        <v>125</v>
      </c>
      <c r="AQ125" s="129">
        <f t="shared" si="1"/>
        <v>1342</v>
      </c>
      <c r="AR125" s="129">
        <v>1340</v>
      </c>
      <c r="AS125" s="129"/>
      <c r="AT125" s="129"/>
    </row>
    <row r="126" spans="21:46" s="21" customFormat="1"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121"/>
      <c r="AO126" s="141"/>
      <c r="AP126" s="129">
        <v>126</v>
      </c>
      <c r="AQ126" s="129">
        <f t="shared" si="1"/>
        <v>1352</v>
      </c>
      <c r="AR126" s="129">
        <v>1350</v>
      </c>
      <c r="AS126" s="129"/>
      <c r="AT126" s="129"/>
    </row>
    <row r="127" spans="21:46" s="21" customFormat="1"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121"/>
      <c r="AO127" s="141"/>
      <c r="AP127" s="129">
        <v>127</v>
      </c>
      <c r="AQ127" s="129">
        <f t="shared" si="1"/>
        <v>1361</v>
      </c>
      <c r="AR127" s="129">
        <v>1360</v>
      </c>
      <c r="AS127" s="129"/>
      <c r="AT127" s="129"/>
    </row>
    <row r="128" spans="21:46" s="21" customFormat="1"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121"/>
      <c r="AO128" s="141"/>
      <c r="AP128" s="129">
        <v>128</v>
      </c>
      <c r="AQ128" s="129">
        <f t="shared" si="1"/>
        <v>1371</v>
      </c>
      <c r="AR128" s="129">
        <v>1370</v>
      </c>
      <c r="AS128" s="129"/>
      <c r="AT128" s="129"/>
    </row>
    <row r="129" spans="21:46" s="21" customFormat="1"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121"/>
      <c r="AO129" s="141"/>
      <c r="AP129" s="129">
        <v>129</v>
      </c>
      <c r="AQ129" s="129">
        <f t="shared" si="1"/>
        <v>1381</v>
      </c>
      <c r="AR129" s="129">
        <v>1380</v>
      </c>
      <c r="AS129" s="129"/>
      <c r="AT129" s="129"/>
    </row>
    <row r="130" spans="21:46" s="21" customFormat="1"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121"/>
      <c r="AO130" s="141"/>
      <c r="AP130" s="129">
        <v>130</v>
      </c>
      <c r="AQ130" s="129">
        <f t="shared" si="1"/>
        <v>1391</v>
      </c>
      <c r="AR130" s="129">
        <v>1390</v>
      </c>
      <c r="AS130" s="129"/>
      <c r="AT130" s="129"/>
    </row>
    <row r="131" spans="21:46" s="21" customFormat="1"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121"/>
      <c r="AO131" s="141"/>
      <c r="AP131" s="129">
        <v>131</v>
      </c>
      <c r="AQ131" s="129">
        <f t="shared" ref="AQ131:AQ150" si="2">IF(AP131=1,110,ROUND(100+(AP131*9.93288590604026),0))</f>
        <v>1401</v>
      </c>
      <c r="AR131" s="129">
        <v>1400</v>
      </c>
      <c r="AS131" s="129"/>
      <c r="AT131" s="129"/>
    </row>
    <row r="132" spans="21:46" s="21" customFormat="1"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121"/>
      <c r="AO132" s="141"/>
      <c r="AP132" s="129">
        <v>132</v>
      </c>
      <c r="AQ132" s="129">
        <f t="shared" si="2"/>
        <v>1411</v>
      </c>
      <c r="AR132" s="129">
        <v>1410</v>
      </c>
      <c r="AS132" s="129"/>
      <c r="AT132" s="129"/>
    </row>
    <row r="133" spans="21:46" s="21" customFormat="1"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121"/>
      <c r="AO133" s="141"/>
      <c r="AP133" s="129">
        <v>133</v>
      </c>
      <c r="AQ133" s="129">
        <f t="shared" si="2"/>
        <v>1421</v>
      </c>
      <c r="AR133" s="129">
        <v>1420</v>
      </c>
      <c r="AS133" s="129"/>
      <c r="AT133" s="129"/>
    </row>
    <row r="134" spans="21:46" s="21" customFormat="1"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121"/>
      <c r="AO134" s="141"/>
      <c r="AP134" s="129">
        <v>134</v>
      </c>
      <c r="AQ134" s="129">
        <f t="shared" si="2"/>
        <v>1431</v>
      </c>
      <c r="AR134" s="129">
        <v>1430</v>
      </c>
      <c r="AS134" s="129"/>
      <c r="AT134" s="129"/>
    </row>
    <row r="135" spans="21:46" s="21" customFormat="1"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121"/>
      <c r="AO135" s="141"/>
      <c r="AP135" s="129">
        <v>135</v>
      </c>
      <c r="AQ135" s="129">
        <f t="shared" si="2"/>
        <v>1441</v>
      </c>
      <c r="AR135" s="129">
        <v>1440</v>
      </c>
      <c r="AS135" s="129"/>
      <c r="AT135" s="129"/>
    </row>
    <row r="136" spans="21:46" s="21" customFormat="1"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121"/>
      <c r="AO136" s="141"/>
      <c r="AP136" s="129">
        <v>136</v>
      </c>
      <c r="AQ136" s="129">
        <f t="shared" si="2"/>
        <v>1451</v>
      </c>
      <c r="AR136" s="129">
        <v>1450</v>
      </c>
      <c r="AS136" s="129"/>
      <c r="AT136" s="129"/>
    </row>
    <row r="137" spans="21:46" s="21" customFormat="1"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121"/>
      <c r="AO137" s="141"/>
      <c r="AP137" s="129">
        <v>137</v>
      </c>
      <c r="AQ137" s="129">
        <f t="shared" si="2"/>
        <v>1461</v>
      </c>
      <c r="AR137" s="129">
        <v>1460</v>
      </c>
      <c r="AS137" s="129"/>
      <c r="AT137" s="129"/>
    </row>
    <row r="138" spans="21:46" s="21" customFormat="1"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121"/>
      <c r="AO138" s="141"/>
      <c r="AP138" s="129">
        <v>138</v>
      </c>
      <c r="AQ138" s="129">
        <f t="shared" si="2"/>
        <v>1471</v>
      </c>
      <c r="AR138" s="129">
        <v>1470</v>
      </c>
      <c r="AS138" s="129"/>
      <c r="AT138" s="129"/>
    </row>
    <row r="139" spans="21:46" s="21" customFormat="1"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121"/>
      <c r="AO139" s="141"/>
      <c r="AP139" s="129">
        <v>139</v>
      </c>
      <c r="AQ139" s="129">
        <f t="shared" si="2"/>
        <v>1481</v>
      </c>
      <c r="AR139" s="129">
        <v>1480</v>
      </c>
      <c r="AS139" s="129"/>
      <c r="AT139" s="129"/>
    </row>
    <row r="140" spans="21:46" s="21" customFormat="1"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121"/>
      <c r="AO140" s="141"/>
      <c r="AP140" s="129">
        <v>140</v>
      </c>
      <c r="AQ140" s="129">
        <f t="shared" si="2"/>
        <v>1491</v>
      </c>
      <c r="AR140" s="129">
        <v>1490</v>
      </c>
      <c r="AS140" s="129"/>
      <c r="AT140" s="129"/>
    </row>
    <row r="141" spans="21:46" s="21" customFormat="1"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121"/>
      <c r="AO141" s="141"/>
      <c r="AP141" s="129">
        <v>141</v>
      </c>
      <c r="AQ141" s="129">
        <f t="shared" si="2"/>
        <v>1501</v>
      </c>
      <c r="AR141" s="129">
        <v>1500</v>
      </c>
      <c r="AS141" s="129"/>
      <c r="AT141" s="129"/>
    </row>
    <row r="142" spans="21:46" s="21" customFormat="1"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121"/>
      <c r="AO142" s="141"/>
      <c r="AP142" s="129">
        <v>142</v>
      </c>
      <c r="AQ142" s="129">
        <f t="shared" si="2"/>
        <v>1510</v>
      </c>
      <c r="AR142" s="129">
        <v>1510</v>
      </c>
      <c r="AS142" s="129"/>
      <c r="AT142" s="129"/>
    </row>
    <row r="143" spans="21:46" s="21" customFormat="1"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121"/>
      <c r="AO143" s="141"/>
      <c r="AP143" s="129">
        <v>143</v>
      </c>
      <c r="AQ143" s="129">
        <f t="shared" si="2"/>
        <v>1520</v>
      </c>
      <c r="AR143" s="129">
        <v>1520</v>
      </c>
      <c r="AS143" s="129"/>
      <c r="AT143" s="129"/>
    </row>
    <row r="144" spans="21:46" s="21" customFormat="1"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121"/>
      <c r="AO144" s="141"/>
      <c r="AP144" s="129">
        <v>144</v>
      </c>
      <c r="AQ144" s="129">
        <f t="shared" si="2"/>
        <v>1530</v>
      </c>
      <c r="AR144" s="129">
        <v>1530</v>
      </c>
      <c r="AS144" s="129"/>
      <c r="AT144" s="129"/>
    </row>
    <row r="145" spans="21:46" s="21" customFormat="1"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121"/>
      <c r="AO145" s="141"/>
      <c r="AP145" s="129">
        <v>145</v>
      </c>
      <c r="AQ145" s="129">
        <f t="shared" si="2"/>
        <v>1540</v>
      </c>
      <c r="AR145" s="129">
        <v>1540</v>
      </c>
      <c r="AS145" s="129"/>
      <c r="AT145" s="129"/>
    </row>
    <row r="146" spans="21:46" s="21" customFormat="1"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121"/>
      <c r="AO146" s="141"/>
      <c r="AP146" s="129">
        <v>146</v>
      </c>
      <c r="AQ146" s="129">
        <f t="shared" si="2"/>
        <v>1550</v>
      </c>
      <c r="AR146" s="129">
        <v>1550</v>
      </c>
      <c r="AS146" s="129"/>
      <c r="AT146" s="129"/>
    </row>
    <row r="147" spans="21:46" s="21" customFormat="1"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121"/>
      <c r="AO147" s="141"/>
      <c r="AP147" s="129">
        <v>147</v>
      </c>
      <c r="AQ147" s="129">
        <f t="shared" si="2"/>
        <v>1560</v>
      </c>
      <c r="AR147" s="129">
        <v>1560</v>
      </c>
      <c r="AS147" s="129"/>
      <c r="AT147" s="129"/>
    </row>
    <row r="148" spans="21:46" s="21" customFormat="1"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121"/>
      <c r="AO148" s="141"/>
      <c r="AP148" s="129">
        <v>148</v>
      </c>
      <c r="AQ148" s="129">
        <f t="shared" si="2"/>
        <v>1570</v>
      </c>
      <c r="AR148" s="129">
        <v>1570</v>
      </c>
      <c r="AS148" s="129"/>
      <c r="AT148" s="129"/>
    </row>
    <row r="149" spans="21:46" s="21" customFormat="1"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121"/>
      <c r="AO149" s="141"/>
      <c r="AP149" s="129">
        <v>149</v>
      </c>
      <c r="AQ149" s="129">
        <f t="shared" si="2"/>
        <v>1580</v>
      </c>
      <c r="AR149" s="129">
        <v>1580</v>
      </c>
      <c r="AS149" s="129"/>
      <c r="AT149" s="129"/>
    </row>
    <row r="150" spans="21:46" s="21" customFormat="1"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121"/>
      <c r="AO150" s="141"/>
      <c r="AP150" s="129">
        <v>150</v>
      </c>
      <c r="AQ150" s="129">
        <f t="shared" si="2"/>
        <v>1590</v>
      </c>
      <c r="AR150" s="129">
        <v>1590</v>
      </c>
      <c r="AS150" s="129"/>
      <c r="AT150" s="129"/>
    </row>
    <row r="151" spans="21:46" s="21" customFormat="1"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121"/>
      <c r="AO151" s="141"/>
      <c r="AP151" s="129"/>
      <c r="AQ151" s="129"/>
      <c r="AR151" s="129"/>
      <c r="AS151" s="129"/>
      <c r="AT151" s="129"/>
    </row>
    <row r="152" spans="21:46" s="21" customFormat="1"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121"/>
      <c r="AO152" s="141"/>
      <c r="AP152" s="129"/>
      <c r="AQ152" s="129"/>
      <c r="AR152" s="129"/>
      <c r="AS152" s="129"/>
      <c r="AT152" s="129"/>
    </row>
    <row r="153" spans="21:46" s="21" customFormat="1"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121"/>
      <c r="AO153" s="141"/>
      <c r="AP153" s="129"/>
      <c r="AQ153" s="129"/>
      <c r="AR153" s="129"/>
      <c r="AS153" s="129"/>
      <c r="AT153" s="129"/>
    </row>
    <row r="154" spans="21:46" s="21" customFormat="1"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121"/>
      <c r="AO154" s="141"/>
      <c r="AP154" s="129"/>
      <c r="AQ154" s="129"/>
      <c r="AR154" s="129"/>
      <c r="AS154" s="129"/>
      <c r="AT154" s="129"/>
    </row>
    <row r="155" spans="21:46" s="21" customFormat="1"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121"/>
      <c r="AO155" s="141"/>
      <c r="AP155" s="129"/>
      <c r="AQ155" s="129"/>
      <c r="AR155" s="129"/>
      <c r="AS155" s="129"/>
      <c r="AT155" s="129"/>
    </row>
    <row r="156" spans="21:46" s="21" customFormat="1"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121"/>
      <c r="AO156" s="141"/>
      <c r="AP156" s="129"/>
      <c r="AQ156" s="129"/>
      <c r="AR156" s="129"/>
      <c r="AS156" s="129"/>
      <c r="AT156" s="129"/>
    </row>
    <row r="157" spans="21:46" s="21" customFormat="1"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121"/>
      <c r="AO157" s="141"/>
      <c r="AP157" s="129"/>
      <c r="AQ157" s="129"/>
      <c r="AR157" s="129"/>
      <c r="AS157" s="129"/>
      <c r="AT157" s="129"/>
    </row>
    <row r="158" spans="21:46" s="21" customFormat="1"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121"/>
      <c r="AO158" s="141"/>
      <c r="AP158" s="129"/>
      <c r="AQ158" s="129"/>
      <c r="AR158" s="129"/>
      <c r="AS158" s="129"/>
      <c r="AT158" s="129"/>
    </row>
    <row r="159" spans="21:46" s="21" customFormat="1"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121"/>
      <c r="AO159" s="141"/>
      <c r="AP159" s="129"/>
      <c r="AQ159" s="129"/>
      <c r="AR159" s="129"/>
      <c r="AS159" s="129"/>
      <c r="AT159" s="129"/>
    </row>
    <row r="160" spans="21:46" s="21" customFormat="1"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121"/>
      <c r="AO160" s="141"/>
      <c r="AP160" s="129"/>
      <c r="AQ160" s="129"/>
      <c r="AR160" s="129"/>
      <c r="AS160" s="129"/>
      <c r="AT160" s="129"/>
    </row>
    <row r="161" spans="21:46" s="21" customFormat="1"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121"/>
      <c r="AO161" s="141"/>
      <c r="AP161" s="129"/>
      <c r="AQ161" s="129"/>
      <c r="AR161" s="129"/>
      <c r="AS161" s="129"/>
      <c r="AT161" s="129"/>
    </row>
    <row r="162" spans="21:46" s="21" customFormat="1"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121"/>
      <c r="AO162" s="141"/>
      <c r="AP162" s="129"/>
      <c r="AQ162" s="129"/>
      <c r="AR162" s="129"/>
      <c r="AS162" s="129"/>
      <c r="AT162" s="129"/>
    </row>
    <row r="163" spans="21:46" s="21" customFormat="1"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121"/>
      <c r="AO163" s="141"/>
      <c r="AP163" s="129"/>
      <c r="AQ163" s="129"/>
      <c r="AR163" s="129"/>
      <c r="AS163" s="129"/>
      <c r="AT163" s="129"/>
    </row>
    <row r="164" spans="21:46" s="21" customFormat="1"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121"/>
      <c r="AO164" s="141"/>
      <c r="AP164" s="129"/>
      <c r="AQ164" s="129"/>
      <c r="AR164" s="129"/>
      <c r="AS164" s="129"/>
      <c r="AT164" s="129"/>
    </row>
    <row r="165" spans="21:46" s="21" customFormat="1"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121"/>
      <c r="AO165" s="141"/>
      <c r="AP165" s="129"/>
      <c r="AQ165" s="129"/>
      <c r="AR165" s="129"/>
      <c r="AS165" s="129"/>
      <c r="AT165" s="129"/>
    </row>
    <row r="166" spans="21:46" s="21" customFormat="1"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121"/>
      <c r="AO166" s="141"/>
      <c r="AP166" s="129"/>
      <c r="AQ166" s="129"/>
      <c r="AR166" s="129"/>
      <c r="AS166" s="129"/>
      <c r="AT166" s="129"/>
    </row>
    <row r="167" spans="21:46" s="21" customFormat="1"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121"/>
      <c r="AO167" s="141"/>
      <c r="AP167" s="129"/>
      <c r="AQ167" s="129"/>
      <c r="AR167" s="129"/>
      <c r="AS167" s="129"/>
      <c r="AT167" s="129"/>
    </row>
    <row r="168" spans="21:46" s="21" customFormat="1"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121"/>
      <c r="AO168" s="141"/>
      <c r="AP168" s="129"/>
      <c r="AQ168" s="129"/>
      <c r="AR168" s="129"/>
      <c r="AS168" s="129"/>
      <c r="AT168" s="129"/>
    </row>
    <row r="169" spans="21:46" s="21" customFormat="1"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121"/>
      <c r="AO169" s="141"/>
      <c r="AP169" s="129"/>
      <c r="AQ169" s="129"/>
      <c r="AR169" s="129"/>
      <c r="AS169" s="129"/>
      <c r="AT169" s="129"/>
    </row>
    <row r="170" spans="21:46" s="21" customFormat="1"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121"/>
      <c r="AO170" s="141"/>
      <c r="AP170" s="129"/>
      <c r="AQ170" s="129"/>
      <c r="AR170" s="129"/>
      <c r="AS170" s="129"/>
      <c r="AT170" s="129"/>
    </row>
    <row r="171" spans="21:46" s="21" customFormat="1"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121"/>
      <c r="AO171" s="141"/>
      <c r="AP171" s="129"/>
      <c r="AQ171" s="129"/>
      <c r="AR171" s="129"/>
      <c r="AS171" s="129"/>
      <c r="AT171" s="129"/>
    </row>
    <row r="172" spans="21:46" s="21" customFormat="1"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121"/>
      <c r="AO172" s="141"/>
      <c r="AP172" s="129"/>
      <c r="AQ172" s="129"/>
      <c r="AR172" s="129"/>
      <c r="AS172" s="129"/>
      <c r="AT172" s="129"/>
    </row>
    <row r="173" spans="21:46" s="21" customFormat="1"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121"/>
      <c r="AO173" s="141"/>
      <c r="AP173" s="129"/>
      <c r="AQ173" s="129"/>
      <c r="AR173" s="129"/>
      <c r="AS173" s="129"/>
      <c r="AT173" s="129"/>
    </row>
    <row r="174" spans="21:46" s="21" customFormat="1"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121"/>
      <c r="AO174" s="141"/>
      <c r="AP174" s="129"/>
      <c r="AQ174" s="129"/>
      <c r="AR174" s="129"/>
      <c r="AS174" s="129"/>
      <c r="AT174" s="129"/>
    </row>
    <row r="175" spans="21:46" s="21" customFormat="1"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121"/>
      <c r="AO175" s="141"/>
      <c r="AP175" s="129"/>
      <c r="AQ175" s="129"/>
      <c r="AR175" s="129"/>
      <c r="AS175" s="129"/>
      <c r="AT175" s="129"/>
    </row>
    <row r="176" spans="21:46" s="21" customFormat="1"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121"/>
      <c r="AO176" s="141"/>
      <c r="AP176" s="129"/>
      <c r="AQ176" s="129"/>
      <c r="AR176" s="129"/>
      <c r="AS176" s="129"/>
      <c r="AT176" s="129"/>
    </row>
    <row r="177" spans="21:46" s="21" customFormat="1"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121"/>
      <c r="AO177" s="141"/>
      <c r="AP177" s="129"/>
      <c r="AQ177" s="129"/>
      <c r="AR177" s="129"/>
      <c r="AS177" s="129"/>
      <c r="AT177" s="129"/>
    </row>
    <row r="178" spans="21:46" s="21" customFormat="1"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121"/>
      <c r="AO178" s="141"/>
      <c r="AP178" s="129"/>
      <c r="AQ178" s="129"/>
      <c r="AR178" s="129"/>
      <c r="AS178" s="129"/>
      <c r="AT178" s="129"/>
    </row>
    <row r="179" spans="21:46" s="21" customFormat="1"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121"/>
      <c r="AO179" s="141"/>
      <c r="AP179" s="129"/>
      <c r="AQ179" s="129"/>
      <c r="AR179" s="129"/>
      <c r="AS179" s="129"/>
      <c r="AT179" s="129"/>
    </row>
    <row r="180" spans="21:46" s="21" customFormat="1"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121"/>
      <c r="AO180" s="141"/>
      <c r="AP180" s="129"/>
      <c r="AQ180" s="129"/>
      <c r="AR180" s="129"/>
      <c r="AS180" s="129"/>
      <c r="AT180" s="129"/>
    </row>
    <row r="181" spans="21:46" s="21" customFormat="1"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121"/>
      <c r="AO181" s="141"/>
      <c r="AP181" s="129"/>
      <c r="AQ181" s="129"/>
      <c r="AR181" s="129"/>
      <c r="AS181" s="129"/>
      <c r="AT181" s="129"/>
    </row>
    <row r="182" spans="21:46" s="21" customFormat="1"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121"/>
      <c r="AO182" s="141"/>
      <c r="AP182" s="129"/>
      <c r="AQ182" s="129"/>
      <c r="AR182" s="129"/>
      <c r="AS182" s="129"/>
      <c r="AT182" s="129"/>
    </row>
    <row r="183" spans="21:46" s="21" customFormat="1"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121"/>
      <c r="AO183" s="141"/>
      <c r="AP183" s="129"/>
      <c r="AQ183" s="129"/>
      <c r="AR183" s="129"/>
      <c r="AS183" s="129"/>
      <c r="AT183" s="129"/>
    </row>
    <row r="184" spans="21:46" s="21" customFormat="1"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121"/>
      <c r="AO184" s="141"/>
      <c r="AP184" s="129"/>
      <c r="AQ184" s="129"/>
      <c r="AR184" s="129"/>
      <c r="AS184" s="129"/>
      <c r="AT184" s="129"/>
    </row>
    <row r="185" spans="21:46" s="21" customFormat="1"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121"/>
      <c r="AO185" s="141"/>
      <c r="AP185" s="129"/>
      <c r="AQ185" s="129"/>
      <c r="AR185" s="129"/>
      <c r="AS185" s="129"/>
      <c r="AT185" s="129"/>
    </row>
    <row r="186" spans="21:46" s="21" customFormat="1"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121"/>
      <c r="AO186" s="141"/>
      <c r="AP186" s="129"/>
      <c r="AQ186" s="129"/>
      <c r="AR186" s="129"/>
      <c r="AS186" s="129"/>
      <c r="AT186" s="129"/>
    </row>
    <row r="187" spans="21:46" s="21" customFormat="1"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121"/>
      <c r="AO187" s="141"/>
      <c r="AP187" s="129"/>
      <c r="AQ187" s="129"/>
      <c r="AR187" s="129"/>
      <c r="AS187" s="129"/>
      <c r="AT187" s="129"/>
    </row>
    <row r="188" spans="21:46" s="21" customFormat="1"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121"/>
      <c r="AO188" s="141"/>
      <c r="AP188" s="129"/>
      <c r="AQ188" s="129"/>
      <c r="AR188" s="129"/>
      <c r="AS188" s="129"/>
      <c r="AT188" s="129"/>
    </row>
    <row r="189" spans="21:46" s="21" customFormat="1"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121"/>
      <c r="AO189" s="141"/>
      <c r="AP189" s="129"/>
      <c r="AQ189" s="129"/>
      <c r="AR189" s="129"/>
      <c r="AS189" s="129"/>
      <c r="AT189" s="129"/>
    </row>
    <row r="190" spans="21:46" s="21" customFormat="1"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121"/>
      <c r="AO190" s="141"/>
      <c r="AP190" s="129"/>
      <c r="AQ190" s="129"/>
      <c r="AR190" s="129"/>
      <c r="AS190" s="129"/>
      <c r="AT190" s="129"/>
    </row>
    <row r="191" spans="21:46" s="21" customFormat="1"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121"/>
      <c r="AO191" s="141"/>
      <c r="AP191" s="129"/>
      <c r="AQ191" s="129"/>
      <c r="AR191" s="129"/>
      <c r="AS191" s="129"/>
      <c r="AT191" s="129"/>
    </row>
    <row r="192" spans="21:46" s="21" customFormat="1"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121"/>
      <c r="AO192" s="141"/>
      <c r="AP192" s="129"/>
      <c r="AQ192" s="129"/>
      <c r="AR192" s="129"/>
      <c r="AS192" s="129"/>
      <c r="AT192" s="129"/>
    </row>
    <row r="193" spans="21:46" s="21" customFormat="1"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121"/>
      <c r="AO193" s="141"/>
      <c r="AP193" s="129"/>
      <c r="AQ193" s="129"/>
      <c r="AR193" s="129"/>
      <c r="AS193" s="129"/>
      <c r="AT193" s="129"/>
    </row>
    <row r="194" spans="21:46" s="21" customFormat="1"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121"/>
      <c r="AO194" s="141"/>
      <c r="AP194" s="129"/>
      <c r="AQ194" s="129"/>
      <c r="AR194" s="129"/>
      <c r="AS194" s="129"/>
      <c r="AT194" s="129"/>
    </row>
    <row r="195" spans="21:46" s="21" customFormat="1"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121"/>
      <c r="AO195" s="141"/>
      <c r="AP195" s="129"/>
      <c r="AQ195" s="129"/>
      <c r="AR195" s="129"/>
      <c r="AS195" s="129"/>
      <c r="AT195" s="129"/>
    </row>
    <row r="196" spans="21:46" s="21" customFormat="1"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121"/>
      <c r="AO196" s="141"/>
      <c r="AP196" s="129"/>
      <c r="AQ196" s="129"/>
      <c r="AR196" s="129"/>
      <c r="AS196" s="129"/>
      <c r="AT196" s="129"/>
    </row>
    <row r="197" spans="21:46" s="21" customFormat="1"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121"/>
      <c r="AO197" s="141"/>
      <c r="AP197" s="129"/>
      <c r="AQ197" s="129"/>
      <c r="AR197" s="129"/>
      <c r="AS197" s="129"/>
      <c r="AT197" s="129"/>
    </row>
    <row r="198" spans="21:46" s="21" customFormat="1"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121"/>
      <c r="AO198" s="129"/>
      <c r="AP198" s="129"/>
      <c r="AQ198" s="129"/>
      <c r="AR198" s="129"/>
      <c r="AS198" s="129"/>
      <c r="AT198" s="129"/>
    </row>
    <row r="199" spans="21:46" s="21" customFormat="1"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121"/>
      <c r="AO199" s="129"/>
      <c r="AP199" s="129"/>
      <c r="AQ199" s="129"/>
      <c r="AR199" s="129"/>
      <c r="AS199" s="129"/>
      <c r="AT199" s="129"/>
    </row>
    <row r="200" spans="21:46" s="21" customFormat="1"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121"/>
      <c r="AO200" s="129"/>
      <c r="AP200" s="129"/>
      <c r="AQ200" s="129"/>
      <c r="AR200" s="129"/>
      <c r="AS200" s="129"/>
      <c r="AT200" s="129"/>
    </row>
    <row r="201" spans="21:46" s="21" customFormat="1"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121"/>
      <c r="AO201" s="129"/>
      <c r="AP201" s="129"/>
      <c r="AQ201" s="129"/>
      <c r="AR201" s="129"/>
      <c r="AS201" s="129"/>
      <c r="AT201" s="129"/>
    </row>
    <row r="202" spans="21:46" s="21" customFormat="1"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121"/>
      <c r="AO202" s="129"/>
      <c r="AP202" s="129"/>
      <c r="AQ202" s="129"/>
      <c r="AR202" s="129"/>
      <c r="AS202" s="129"/>
      <c r="AT202" s="129"/>
    </row>
    <row r="203" spans="21:46" s="21" customFormat="1"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121"/>
      <c r="AO203" s="129"/>
      <c r="AP203" s="129"/>
      <c r="AQ203" s="129"/>
      <c r="AR203" s="129"/>
      <c r="AS203" s="129"/>
      <c r="AT203" s="129"/>
    </row>
    <row r="204" spans="21:46" s="21" customFormat="1"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121"/>
      <c r="AO204" s="129"/>
      <c r="AP204" s="129"/>
      <c r="AQ204" s="129"/>
      <c r="AR204" s="129"/>
      <c r="AS204" s="129"/>
      <c r="AT204" s="129"/>
    </row>
    <row r="205" spans="21:46" s="21" customFormat="1"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121"/>
      <c r="AO205" s="129"/>
      <c r="AP205" s="129"/>
      <c r="AQ205" s="129"/>
      <c r="AR205" s="129"/>
      <c r="AS205" s="129"/>
      <c r="AT205" s="129"/>
    </row>
    <row r="206" spans="21:46" s="21" customFormat="1"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121"/>
      <c r="AO206" s="129"/>
      <c r="AP206" s="129"/>
      <c r="AQ206" s="129"/>
      <c r="AR206" s="129"/>
      <c r="AS206" s="129"/>
      <c r="AT206" s="129"/>
    </row>
    <row r="207" spans="21:46" s="21" customFormat="1"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121"/>
      <c r="AO207" s="129"/>
      <c r="AP207" s="129"/>
      <c r="AQ207" s="129"/>
      <c r="AR207" s="129"/>
      <c r="AS207" s="129"/>
      <c r="AT207" s="129"/>
    </row>
    <row r="208" spans="21:46" s="21" customFormat="1"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121"/>
      <c r="AO208" s="129"/>
      <c r="AP208" s="129"/>
      <c r="AQ208" s="129"/>
      <c r="AR208" s="129"/>
      <c r="AS208" s="129"/>
      <c r="AT208" s="129"/>
    </row>
    <row r="209" spans="21:46" s="21" customFormat="1"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121"/>
      <c r="AO209" s="129"/>
      <c r="AP209" s="129"/>
      <c r="AQ209" s="129"/>
      <c r="AR209" s="129"/>
      <c r="AS209" s="129"/>
      <c r="AT209" s="129"/>
    </row>
    <row r="210" spans="21:46" s="21" customFormat="1"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121"/>
      <c r="AO210" s="129"/>
      <c r="AP210" s="129"/>
      <c r="AQ210" s="129"/>
      <c r="AR210" s="129"/>
      <c r="AS210" s="129"/>
      <c r="AT210" s="129"/>
    </row>
    <row r="211" spans="21:46" s="21" customFormat="1"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121"/>
      <c r="AO211" s="129"/>
      <c r="AP211" s="129"/>
      <c r="AQ211" s="129"/>
      <c r="AR211" s="129"/>
      <c r="AS211" s="129"/>
      <c r="AT211" s="129"/>
    </row>
    <row r="212" spans="21:46" s="21" customFormat="1"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121"/>
      <c r="AO212" s="129"/>
      <c r="AP212" s="129"/>
      <c r="AQ212" s="129"/>
      <c r="AR212" s="129"/>
      <c r="AS212" s="129"/>
      <c r="AT212" s="129"/>
    </row>
    <row r="213" spans="21:46" s="21" customFormat="1"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121"/>
      <c r="AO213" s="129"/>
      <c r="AP213" s="129"/>
      <c r="AQ213" s="129"/>
      <c r="AR213" s="129"/>
      <c r="AS213" s="129"/>
      <c r="AT213" s="129"/>
    </row>
    <row r="214" spans="21:46" s="21" customFormat="1"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121"/>
      <c r="AO214" s="129"/>
      <c r="AP214" s="129"/>
      <c r="AQ214" s="129"/>
      <c r="AR214" s="129"/>
      <c r="AS214" s="129"/>
      <c r="AT214" s="129"/>
    </row>
    <row r="215" spans="21:46" s="21" customFormat="1"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121"/>
      <c r="AO215" s="129"/>
      <c r="AP215" s="129"/>
      <c r="AQ215" s="129"/>
      <c r="AR215" s="129"/>
      <c r="AS215" s="129"/>
      <c r="AT215" s="129"/>
    </row>
    <row r="216" spans="21:46" s="21" customFormat="1"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121"/>
      <c r="AO216" s="129"/>
      <c r="AP216" s="129"/>
      <c r="AQ216" s="129"/>
      <c r="AR216" s="129"/>
      <c r="AS216" s="129"/>
      <c r="AT216" s="129"/>
    </row>
    <row r="217" spans="21:46" s="21" customFormat="1"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121"/>
      <c r="AO217" s="129"/>
      <c r="AP217" s="129"/>
      <c r="AQ217" s="129"/>
      <c r="AR217" s="129"/>
      <c r="AS217" s="129"/>
      <c r="AT217" s="129"/>
    </row>
    <row r="218" spans="21:46" s="21" customFormat="1"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121"/>
      <c r="AO218" s="129"/>
      <c r="AP218" s="129"/>
      <c r="AQ218" s="129"/>
      <c r="AR218" s="129"/>
      <c r="AS218" s="129"/>
      <c r="AT218" s="129"/>
    </row>
    <row r="219" spans="21:46" s="21" customFormat="1"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121"/>
      <c r="AO219" s="129"/>
      <c r="AP219" s="129"/>
      <c r="AQ219" s="129"/>
      <c r="AR219" s="129"/>
      <c r="AS219" s="129"/>
      <c r="AT219" s="129"/>
    </row>
    <row r="220" spans="21:46" s="21" customFormat="1"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121"/>
      <c r="AO220" s="129"/>
      <c r="AP220" s="129"/>
      <c r="AQ220" s="129"/>
      <c r="AR220" s="129"/>
      <c r="AS220" s="129"/>
      <c r="AT220" s="129"/>
    </row>
    <row r="221" spans="21:46" s="21" customFormat="1"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121"/>
      <c r="AO221" s="129"/>
      <c r="AP221" s="129"/>
      <c r="AQ221" s="129"/>
      <c r="AR221" s="129"/>
      <c r="AS221" s="129"/>
      <c r="AT221" s="129"/>
    </row>
    <row r="222" spans="21:46" s="21" customFormat="1"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121"/>
      <c r="AO222" s="129"/>
      <c r="AP222" s="129"/>
      <c r="AQ222" s="129"/>
      <c r="AR222" s="129"/>
      <c r="AS222" s="129"/>
      <c r="AT222" s="129"/>
    </row>
    <row r="223" spans="21:46" s="21" customFormat="1"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121"/>
      <c r="AO223" s="129"/>
      <c r="AP223" s="129"/>
      <c r="AQ223" s="129"/>
      <c r="AR223" s="129"/>
      <c r="AS223" s="129"/>
      <c r="AT223" s="129"/>
    </row>
    <row r="224" spans="21:46" s="21" customFormat="1"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121"/>
      <c r="AO224" s="129"/>
      <c r="AP224" s="129"/>
      <c r="AQ224" s="129"/>
      <c r="AR224" s="129"/>
      <c r="AS224" s="129"/>
      <c r="AT224" s="129"/>
    </row>
    <row r="225" spans="21:46" s="21" customFormat="1"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121"/>
      <c r="AO225" s="129"/>
      <c r="AP225" s="129"/>
      <c r="AQ225" s="129"/>
      <c r="AR225" s="129"/>
      <c r="AS225" s="129"/>
      <c r="AT225" s="129"/>
    </row>
    <row r="226" spans="21:46" s="21" customFormat="1"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121"/>
      <c r="AO226" s="129"/>
      <c r="AP226" s="129"/>
      <c r="AQ226" s="129"/>
      <c r="AR226" s="129"/>
      <c r="AS226" s="129"/>
      <c r="AT226" s="129"/>
    </row>
    <row r="227" spans="21:46" s="21" customFormat="1"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121"/>
      <c r="AO227" s="129"/>
      <c r="AP227" s="129"/>
      <c r="AQ227" s="129"/>
      <c r="AR227" s="129"/>
      <c r="AS227" s="129"/>
      <c r="AT227" s="129"/>
    </row>
    <row r="228" spans="21:46" s="21" customFormat="1"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121"/>
      <c r="AO228" s="129"/>
      <c r="AP228" s="129"/>
      <c r="AQ228" s="129"/>
      <c r="AR228" s="129"/>
      <c r="AS228" s="129"/>
      <c r="AT228" s="129"/>
    </row>
    <row r="229" spans="21:46" s="21" customFormat="1"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121"/>
      <c r="AO229" s="129"/>
      <c r="AP229" s="129"/>
      <c r="AQ229" s="129"/>
      <c r="AR229" s="129"/>
      <c r="AS229" s="129"/>
      <c r="AT229" s="129"/>
    </row>
    <row r="230" spans="21:46" s="21" customFormat="1"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121"/>
      <c r="AO230" s="129"/>
      <c r="AP230" s="129"/>
      <c r="AQ230" s="129"/>
      <c r="AR230" s="129"/>
      <c r="AS230" s="129"/>
      <c r="AT230" s="129"/>
    </row>
    <row r="231" spans="21:46" s="21" customFormat="1"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121"/>
      <c r="AO231" s="129"/>
      <c r="AP231" s="129"/>
      <c r="AQ231" s="129"/>
      <c r="AR231" s="129"/>
      <c r="AS231" s="129"/>
      <c r="AT231" s="129"/>
    </row>
    <row r="232" spans="21:46" s="21" customFormat="1"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121"/>
      <c r="AO232" s="129"/>
      <c r="AP232" s="129"/>
      <c r="AQ232" s="129"/>
      <c r="AR232" s="129"/>
      <c r="AS232" s="129"/>
      <c r="AT232" s="129"/>
    </row>
    <row r="233" spans="21:46" s="21" customFormat="1"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121"/>
      <c r="AO233" s="129"/>
      <c r="AP233" s="129"/>
      <c r="AQ233" s="129"/>
      <c r="AR233" s="129"/>
      <c r="AS233" s="129"/>
      <c r="AT233" s="129"/>
    </row>
    <row r="234" spans="21:46" s="21" customFormat="1"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121"/>
      <c r="AO234" s="129"/>
      <c r="AP234" s="129"/>
      <c r="AQ234" s="129"/>
      <c r="AR234" s="129"/>
      <c r="AS234" s="129"/>
      <c r="AT234" s="129"/>
    </row>
    <row r="235" spans="21:46" s="21" customFormat="1"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121"/>
      <c r="AO235" s="129"/>
      <c r="AP235" s="129"/>
      <c r="AQ235" s="129"/>
      <c r="AR235" s="129"/>
      <c r="AS235" s="129"/>
      <c r="AT235" s="129"/>
    </row>
    <row r="236" spans="21:46" s="21" customFormat="1"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121"/>
      <c r="AO236" s="129"/>
      <c r="AP236" s="129"/>
      <c r="AQ236" s="129"/>
      <c r="AR236" s="129"/>
      <c r="AS236" s="129"/>
      <c r="AT236" s="129"/>
    </row>
    <row r="237" spans="21:46" s="21" customFormat="1"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121"/>
      <c r="AO237" s="129"/>
      <c r="AP237" s="129"/>
      <c r="AQ237" s="129"/>
      <c r="AR237" s="129"/>
      <c r="AS237" s="129"/>
      <c r="AT237" s="129"/>
    </row>
    <row r="238" spans="21:46" s="21" customFormat="1"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121"/>
      <c r="AO238" s="129"/>
      <c r="AP238" s="129"/>
      <c r="AQ238" s="129"/>
      <c r="AR238" s="129"/>
      <c r="AS238" s="129"/>
      <c r="AT238" s="129"/>
    </row>
    <row r="239" spans="21:46" s="21" customFormat="1"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121"/>
      <c r="AO239" s="129"/>
      <c r="AP239" s="129"/>
      <c r="AQ239" s="129"/>
      <c r="AR239" s="129"/>
      <c r="AS239" s="129"/>
      <c r="AT239" s="129"/>
    </row>
    <row r="240" spans="21:46" s="21" customFormat="1"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121"/>
      <c r="AO240" s="129"/>
      <c r="AP240" s="129"/>
      <c r="AQ240" s="129"/>
      <c r="AR240" s="129"/>
      <c r="AS240" s="129"/>
      <c r="AT240" s="129"/>
    </row>
    <row r="241" spans="21:46" s="21" customFormat="1"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121"/>
      <c r="AO241" s="129"/>
      <c r="AP241" s="129"/>
      <c r="AQ241" s="129"/>
      <c r="AR241" s="129"/>
      <c r="AS241" s="129"/>
      <c r="AT241" s="129"/>
    </row>
    <row r="242" spans="21:46" s="21" customFormat="1"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121"/>
      <c r="AO242" s="129"/>
      <c r="AP242" s="129"/>
      <c r="AQ242" s="129"/>
      <c r="AR242" s="129"/>
      <c r="AS242" s="129"/>
      <c r="AT242" s="129"/>
    </row>
    <row r="243" spans="21:46" s="21" customFormat="1"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121"/>
      <c r="AO243" s="129"/>
      <c r="AP243" s="129"/>
      <c r="AQ243" s="129"/>
      <c r="AR243" s="129"/>
      <c r="AS243" s="129"/>
      <c r="AT243" s="129"/>
    </row>
    <row r="244" spans="21:46" s="21" customFormat="1"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121"/>
      <c r="AO244" s="129"/>
      <c r="AP244" s="129"/>
      <c r="AQ244" s="129"/>
      <c r="AR244" s="129"/>
      <c r="AS244" s="129"/>
      <c r="AT244" s="129"/>
    </row>
    <row r="245" spans="21:46" s="21" customFormat="1"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121"/>
      <c r="AO245" s="129"/>
      <c r="AP245" s="129"/>
      <c r="AQ245" s="129"/>
      <c r="AR245" s="129"/>
      <c r="AS245" s="129"/>
      <c r="AT245" s="129"/>
    </row>
    <row r="246" spans="21:46" s="21" customFormat="1"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121"/>
      <c r="AO246" s="129"/>
      <c r="AP246" s="129"/>
      <c r="AQ246" s="129"/>
      <c r="AR246" s="129"/>
      <c r="AS246" s="129"/>
      <c r="AT246" s="129"/>
    </row>
    <row r="247" spans="21:46" s="21" customFormat="1"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121"/>
      <c r="AO247" s="129"/>
      <c r="AP247" s="129"/>
      <c r="AQ247" s="129"/>
      <c r="AR247" s="129"/>
      <c r="AS247" s="129"/>
      <c r="AT247" s="129"/>
    </row>
    <row r="248" spans="21:46" s="21" customFormat="1"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121"/>
      <c r="AO248" s="129"/>
      <c r="AP248" s="129"/>
      <c r="AQ248" s="129"/>
      <c r="AR248" s="129"/>
      <c r="AS248" s="129"/>
      <c r="AT248" s="129"/>
    </row>
    <row r="249" spans="21:46" s="21" customFormat="1"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121"/>
      <c r="AO249" s="129"/>
      <c r="AP249" s="129"/>
      <c r="AQ249" s="129"/>
      <c r="AR249" s="129"/>
      <c r="AS249" s="129"/>
      <c r="AT249" s="129"/>
    </row>
    <row r="250" spans="21:46" s="21" customFormat="1"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121"/>
      <c r="AO250" s="129"/>
      <c r="AP250" s="129"/>
      <c r="AQ250" s="129"/>
      <c r="AR250" s="129"/>
      <c r="AS250" s="129"/>
      <c r="AT250" s="129"/>
    </row>
    <row r="251" spans="21:46" s="21" customFormat="1"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121"/>
      <c r="AO251" s="129"/>
      <c r="AP251" s="129"/>
      <c r="AQ251" s="129"/>
      <c r="AR251" s="129"/>
      <c r="AS251" s="129"/>
      <c r="AT251" s="129"/>
    </row>
    <row r="252" spans="21:46" s="21" customFormat="1"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121"/>
      <c r="AO252" s="129"/>
      <c r="AP252" s="129"/>
      <c r="AQ252" s="129"/>
      <c r="AR252" s="129"/>
      <c r="AS252" s="129"/>
      <c r="AT252" s="129"/>
    </row>
    <row r="253" spans="21:46" s="21" customFormat="1"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121"/>
      <c r="AO253" s="129"/>
      <c r="AP253" s="129"/>
      <c r="AQ253" s="129"/>
      <c r="AR253" s="129"/>
      <c r="AS253" s="129"/>
      <c r="AT253" s="129"/>
    </row>
    <row r="254" spans="21:46" s="21" customFormat="1"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121"/>
      <c r="AO254" s="129"/>
      <c r="AP254" s="129"/>
      <c r="AQ254" s="129"/>
      <c r="AR254" s="129"/>
      <c r="AS254" s="129"/>
      <c r="AT254" s="129"/>
    </row>
    <row r="255" spans="21:46" s="21" customFormat="1"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121"/>
      <c r="AO255" s="129"/>
      <c r="AP255" s="129"/>
      <c r="AQ255" s="129"/>
      <c r="AR255" s="129"/>
      <c r="AS255" s="129"/>
      <c r="AT255" s="129"/>
    </row>
    <row r="256" spans="21:46" s="21" customFormat="1"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121"/>
      <c r="AO256" s="129"/>
      <c r="AP256" s="129"/>
      <c r="AQ256" s="129"/>
      <c r="AR256" s="129"/>
      <c r="AS256" s="129"/>
      <c r="AT256" s="129"/>
    </row>
    <row r="257" spans="21:46" s="21" customFormat="1"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121"/>
      <c r="AO257" s="129"/>
      <c r="AP257" s="129"/>
      <c r="AQ257" s="129"/>
      <c r="AR257" s="129"/>
      <c r="AS257" s="129"/>
      <c r="AT257" s="129"/>
    </row>
    <row r="258" spans="21:46" s="21" customFormat="1"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121"/>
      <c r="AO258" s="129"/>
      <c r="AP258" s="129"/>
      <c r="AQ258" s="129"/>
      <c r="AR258" s="129"/>
      <c r="AS258" s="129"/>
      <c r="AT258" s="129"/>
    </row>
    <row r="259" spans="21:46" s="21" customFormat="1"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121"/>
      <c r="AO259" s="129"/>
      <c r="AP259" s="129"/>
      <c r="AQ259" s="129"/>
      <c r="AR259" s="129"/>
      <c r="AS259" s="129"/>
      <c r="AT259" s="129"/>
    </row>
    <row r="260" spans="21:46" s="21" customFormat="1"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121"/>
      <c r="AO260" s="129"/>
      <c r="AP260" s="129"/>
      <c r="AQ260" s="129"/>
      <c r="AR260" s="129"/>
      <c r="AS260" s="129"/>
      <c r="AT260" s="129"/>
    </row>
    <row r="261" spans="21:46" s="21" customFormat="1"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121"/>
      <c r="AO261" s="129"/>
      <c r="AP261" s="129"/>
      <c r="AQ261" s="129"/>
      <c r="AR261" s="129"/>
      <c r="AS261" s="129"/>
      <c r="AT261" s="129"/>
    </row>
    <row r="262" spans="21:46" s="21" customFormat="1"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121"/>
      <c r="AO262" s="129"/>
      <c r="AP262" s="129"/>
      <c r="AQ262" s="129"/>
      <c r="AR262" s="129"/>
      <c r="AS262" s="129"/>
      <c r="AT262" s="129"/>
    </row>
    <row r="263" spans="21:46" s="21" customFormat="1"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121"/>
      <c r="AO263" s="129"/>
      <c r="AP263" s="129"/>
      <c r="AQ263" s="129"/>
      <c r="AR263" s="129"/>
      <c r="AS263" s="129"/>
      <c r="AT263" s="129"/>
    </row>
    <row r="264" spans="21:46" s="21" customFormat="1"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121"/>
      <c r="AO264" s="129"/>
      <c r="AP264" s="129"/>
      <c r="AQ264" s="129"/>
      <c r="AR264" s="129"/>
      <c r="AS264" s="129"/>
      <c r="AT264" s="129"/>
    </row>
    <row r="265" spans="21:46" s="21" customFormat="1"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121"/>
      <c r="AO265" s="129"/>
      <c r="AP265" s="129"/>
      <c r="AQ265" s="129"/>
      <c r="AR265" s="129"/>
      <c r="AS265" s="129"/>
      <c r="AT265" s="129"/>
    </row>
    <row r="266" spans="21:46" s="21" customFormat="1"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121"/>
      <c r="AO266" s="129"/>
      <c r="AP266" s="129"/>
      <c r="AQ266" s="129"/>
      <c r="AR266" s="129"/>
      <c r="AS266" s="129"/>
      <c r="AT266" s="129"/>
    </row>
    <row r="267" spans="21:46" s="21" customFormat="1"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121"/>
      <c r="AO267" s="129"/>
      <c r="AP267" s="129"/>
      <c r="AQ267" s="129"/>
      <c r="AR267" s="129"/>
      <c r="AS267" s="129"/>
      <c r="AT267" s="129"/>
    </row>
    <row r="268" spans="21:46" s="21" customFormat="1"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121"/>
      <c r="AO268" s="129"/>
      <c r="AP268" s="129"/>
      <c r="AQ268" s="129"/>
      <c r="AR268" s="129"/>
      <c r="AS268" s="129"/>
      <c r="AT268" s="129"/>
    </row>
    <row r="269" spans="21:46" s="21" customFormat="1"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121"/>
      <c r="AO269" s="129"/>
      <c r="AP269" s="129"/>
      <c r="AQ269" s="129"/>
      <c r="AR269" s="129"/>
      <c r="AS269" s="129"/>
      <c r="AT269" s="129"/>
    </row>
    <row r="270" spans="21:46" s="21" customFormat="1"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121"/>
      <c r="AO270" s="129"/>
      <c r="AP270" s="129"/>
      <c r="AQ270" s="129"/>
      <c r="AR270" s="129"/>
      <c r="AS270" s="129"/>
      <c r="AT270" s="129"/>
    </row>
    <row r="271" spans="21:46" s="21" customFormat="1"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121"/>
      <c r="AO271" s="129"/>
      <c r="AP271" s="129"/>
      <c r="AQ271" s="129"/>
      <c r="AR271" s="129"/>
      <c r="AS271" s="129"/>
      <c r="AT271" s="129"/>
    </row>
    <row r="272" spans="21:46" s="21" customFormat="1"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121"/>
      <c r="AO272" s="129"/>
      <c r="AP272" s="129"/>
      <c r="AQ272" s="129"/>
      <c r="AR272" s="129"/>
      <c r="AS272" s="129"/>
      <c r="AT272" s="129"/>
    </row>
    <row r="273" spans="21:46" s="21" customFormat="1"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121"/>
      <c r="AO273" s="129"/>
      <c r="AP273" s="129"/>
      <c r="AQ273" s="129"/>
      <c r="AR273" s="129"/>
      <c r="AS273" s="129"/>
      <c r="AT273" s="129"/>
    </row>
    <row r="274" spans="21:46" s="21" customFormat="1"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121"/>
      <c r="AO274" s="129"/>
      <c r="AP274" s="129"/>
      <c r="AQ274" s="129"/>
      <c r="AR274" s="129"/>
      <c r="AS274" s="129"/>
      <c r="AT274" s="129"/>
    </row>
    <row r="275" spans="21:46" s="21" customFormat="1"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121"/>
      <c r="AO275" s="129"/>
      <c r="AP275" s="129"/>
      <c r="AQ275" s="129"/>
      <c r="AR275" s="129"/>
      <c r="AS275" s="129"/>
      <c r="AT275" s="129"/>
    </row>
    <row r="276" spans="21:46" s="21" customFormat="1"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121"/>
      <c r="AO276" s="129"/>
      <c r="AP276" s="129"/>
      <c r="AQ276" s="129"/>
      <c r="AR276" s="129"/>
      <c r="AS276" s="129"/>
      <c r="AT276" s="129"/>
    </row>
    <row r="277" spans="21:46" s="21" customFormat="1"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121"/>
      <c r="AO277" s="129"/>
      <c r="AP277" s="129"/>
      <c r="AQ277" s="129"/>
      <c r="AR277" s="129"/>
      <c r="AS277" s="129"/>
      <c r="AT277" s="129"/>
    </row>
    <row r="278" spans="21:46" s="21" customFormat="1"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121"/>
      <c r="AO278" s="129"/>
      <c r="AP278" s="129"/>
      <c r="AQ278" s="129"/>
      <c r="AR278" s="129"/>
      <c r="AS278" s="129"/>
      <c r="AT278" s="129"/>
    </row>
    <row r="279" spans="21:46" s="21" customFormat="1"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121"/>
      <c r="AO279" s="129"/>
      <c r="AP279" s="129"/>
      <c r="AQ279" s="129"/>
      <c r="AR279" s="129"/>
      <c r="AS279" s="129"/>
      <c r="AT279" s="129"/>
    </row>
    <row r="280" spans="21:46" s="21" customFormat="1"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121"/>
      <c r="AO280" s="129"/>
      <c r="AP280" s="129"/>
      <c r="AQ280" s="129"/>
      <c r="AR280" s="129"/>
      <c r="AS280" s="129"/>
      <c r="AT280" s="129"/>
    </row>
    <row r="281" spans="21:46" s="21" customFormat="1"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121"/>
      <c r="AO281" s="129"/>
      <c r="AP281" s="129"/>
      <c r="AQ281" s="129"/>
      <c r="AR281" s="129"/>
      <c r="AS281" s="129"/>
      <c r="AT281" s="129"/>
    </row>
    <row r="282" spans="21:46" s="21" customFormat="1"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121"/>
      <c r="AO282" s="129"/>
      <c r="AP282" s="129"/>
      <c r="AQ282" s="129"/>
      <c r="AR282" s="129"/>
      <c r="AS282" s="129"/>
      <c r="AT282" s="129"/>
    </row>
    <row r="283" spans="21:46" s="21" customFormat="1"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121"/>
      <c r="AO283" s="129"/>
      <c r="AP283" s="129"/>
      <c r="AQ283" s="129"/>
      <c r="AR283" s="129"/>
      <c r="AS283" s="129"/>
      <c r="AT283" s="129"/>
    </row>
    <row r="284" spans="21:46" s="21" customFormat="1"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121"/>
      <c r="AO284" s="129"/>
      <c r="AP284" s="129"/>
      <c r="AQ284" s="129"/>
      <c r="AR284" s="129"/>
      <c r="AS284" s="129"/>
      <c r="AT284" s="129"/>
    </row>
    <row r="285" spans="21:46" s="21" customFormat="1"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121"/>
      <c r="AO285" s="129"/>
      <c r="AP285" s="129"/>
      <c r="AQ285" s="129"/>
      <c r="AR285" s="129"/>
      <c r="AS285" s="129"/>
      <c r="AT285" s="129"/>
    </row>
    <row r="286" spans="21:46" s="21" customFormat="1"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121"/>
      <c r="AO286" s="129"/>
      <c r="AP286" s="129"/>
      <c r="AQ286" s="129"/>
      <c r="AR286" s="129"/>
      <c r="AS286" s="129"/>
      <c r="AT286" s="129"/>
    </row>
    <row r="287" spans="21:46" s="21" customFormat="1"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121"/>
      <c r="AO287" s="129"/>
      <c r="AP287" s="129"/>
      <c r="AQ287" s="129"/>
      <c r="AR287" s="129"/>
      <c r="AS287" s="129"/>
      <c r="AT287" s="129"/>
    </row>
    <row r="288" spans="21:46" s="21" customFormat="1"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121"/>
      <c r="AO288" s="129"/>
      <c r="AP288" s="129"/>
      <c r="AQ288" s="129"/>
      <c r="AR288" s="129"/>
      <c r="AS288" s="129"/>
      <c r="AT288" s="129"/>
    </row>
    <row r="289" spans="21:46" s="21" customFormat="1"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121"/>
      <c r="AO289" s="129"/>
      <c r="AP289" s="129"/>
      <c r="AQ289" s="129"/>
      <c r="AR289" s="129"/>
      <c r="AS289" s="129"/>
      <c r="AT289" s="129"/>
    </row>
    <row r="290" spans="21:46" s="21" customFormat="1"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121"/>
      <c r="AO290" s="129"/>
      <c r="AP290" s="129"/>
      <c r="AQ290" s="129"/>
      <c r="AR290" s="129"/>
      <c r="AS290" s="129"/>
      <c r="AT290" s="129"/>
    </row>
    <row r="291" spans="21:46" s="21" customFormat="1"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121"/>
      <c r="AO291" s="129"/>
      <c r="AP291" s="129"/>
      <c r="AQ291" s="129"/>
      <c r="AR291" s="129"/>
      <c r="AS291" s="129"/>
      <c r="AT291" s="129"/>
    </row>
    <row r="292" spans="21:46" s="21" customFormat="1"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121"/>
      <c r="AO292" s="129"/>
      <c r="AP292" s="129"/>
      <c r="AQ292" s="129"/>
      <c r="AR292" s="129"/>
      <c r="AS292" s="129"/>
      <c r="AT292" s="129"/>
    </row>
    <row r="293" spans="21:46" s="21" customFormat="1"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121"/>
      <c r="AO293" s="129"/>
      <c r="AP293" s="129"/>
      <c r="AQ293" s="129"/>
      <c r="AR293" s="129"/>
      <c r="AS293" s="129"/>
      <c r="AT293" s="129"/>
    </row>
    <row r="294" spans="21:46" s="21" customFormat="1"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121"/>
      <c r="AO294" s="129"/>
      <c r="AP294" s="129"/>
      <c r="AQ294" s="129"/>
      <c r="AR294" s="129"/>
      <c r="AS294" s="129"/>
      <c r="AT294" s="129"/>
    </row>
    <row r="295" spans="21:46" s="21" customFormat="1"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121"/>
      <c r="AO295" s="129"/>
      <c r="AP295" s="129"/>
      <c r="AQ295" s="129"/>
      <c r="AR295" s="129"/>
      <c r="AS295" s="129"/>
      <c r="AT295" s="129"/>
    </row>
    <row r="296" spans="21:46" s="21" customFormat="1"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121"/>
      <c r="AO296" s="129"/>
      <c r="AP296" s="129"/>
      <c r="AQ296" s="129"/>
      <c r="AR296" s="129"/>
      <c r="AS296" s="129"/>
      <c r="AT296" s="129"/>
    </row>
    <row r="297" spans="21:46" s="21" customFormat="1"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121"/>
      <c r="AO297" s="129"/>
      <c r="AP297" s="129"/>
      <c r="AQ297" s="129"/>
      <c r="AR297" s="129"/>
      <c r="AS297" s="129"/>
      <c r="AT297" s="129"/>
    </row>
    <row r="298" spans="21:46" s="21" customFormat="1"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121"/>
      <c r="AO298" s="129"/>
      <c r="AP298" s="129"/>
      <c r="AQ298" s="129"/>
      <c r="AR298" s="129"/>
      <c r="AS298" s="129"/>
      <c r="AT298" s="129"/>
    </row>
    <row r="299" spans="21:46" s="21" customFormat="1"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121"/>
      <c r="AO299" s="129"/>
      <c r="AP299" s="129"/>
      <c r="AQ299" s="129"/>
      <c r="AR299" s="129"/>
      <c r="AS299" s="129"/>
      <c r="AT299" s="129"/>
    </row>
    <row r="300" spans="21:46" s="21" customFormat="1"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121"/>
      <c r="AO300" s="129"/>
      <c r="AP300" s="129"/>
      <c r="AQ300" s="129"/>
      <c r="AR300" s="129"/>
      <c r="AS300" s="129"/>
      <c r="AT300" s="129"/>
    </row>
    <row r="301" spans="21:46" s="21" customFormat="1"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121"/>
      <c r="AO301" s="129"/>
      <c r="AP301" s="129"/>
      <c r="AQ301" s="129"/>
      <c r="AR301" s="129"/>
      <c r="AS301" s="129"/>
      <c r="AT301" s="129"/>
    </row>
    <row r="302" spans="21:46" s="21" customFormat="1"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121"/>
      <c r="AO302" s="129"/>
      <c r="AP302" s="129"/>
      <c r="AQ302" s="129"/>
      <c r="AR302" s="129"/>
      <c r="AS302" s="129"/>
      <c r="AT302" s="129"/>
    </row>
    <row r="303" spans="21:46" s="21" customFormat="1"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121"/>
      <c r="AO303" s="129"/>
      <c r="AP303" s="129"/>
      <c r="AQ303" s="129"/>
      <c r="AR303" s="129"/>
      <c r="AS303" s="129"/>
      <c r="AT303" s="129"/>
    </row>
    <row r="304" spans="21:46" s="21" customFormat="1"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121"/>
      <c r="AO304" s="129"/>
      <c r="AP304" s="129"/>
      <c r="AQ304" s="129"/>
      <c r="AR304" s="129"/>
      <c r="AS304" s="129"/>
      <c r="AT304" s="129"/>
    </row>
    <row r="305" spans="21:46" s="21" customFormat="1"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121"/>
      <c r="AO305" s="129"/>
      <c r="AP305" s="129"/>
      <c r="AQ305" s="129"/>
      <c r="AR305" s="129"/>
      <c r="AS305" s="129"/>
      <c r="AT305" s="129"/>
    </row>
    <row r="306" spans="21:46" s="21" customFormat="1"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121"/>
      <c r="AO306" s="129"/>
      <c r="AP306" s="129"/>
      <c r="AQ306" s="129"/>
      <c r="AR306" s="129"/>
      <c r="AS306" s="129"/>
      <c r="AT306" s="129"/>
    </row>
    <row r="307" spans="21:46" s="21" customFormat="1"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121"/>
      <c r="AO307" s="129"/>
      <c r="AP307" s="129"/>
      <c r="AQ307" s="129"/>
      <c r="AR307" s="129"/>
      <c r="AS307" s="129"/>
      <c r="AT307" s="129"/>
    </row>
    <row r="308" spans="21:46" s="21" customFormat="1"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121"/>
      <c r="AO308" s="129"/>
      <c r="AP308" s="129"/>
      <c r="AQ308" s="129"/>
      <c r="AR308" s="129"/>
      <c r="AS308" s="129"/>
      <c r="AT308" s="129"/>
    </row>
    <row r="309" spans="21:46" s="21" customFormat="1"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121"/>
      <c r="AO309" s="129"/>
      <c r="AP309" s="129"/>
      <c r="AQ309" s="129"/>
      <c r="AR309" s="129"/>
      <c r="AS309" s="129"/>
      <c r="AT309" s="129"/>
    </row>
    <row r="310" spans="21:46" s="21" customFormat="1"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121"/>
      <c r="AO310" s="129"/>
      <c r="AP310" s="129"/>
      <c r="AQ310" s="129"/>
      <c r="AR310" s="129"/>
      <c r="AS310" s="129"/>
      <c r="AT310" s="129"/>
    </row>
    <row r="311" spans="21:46" s="21" customFormat="1"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121"/>
      <c r="AO311" s="129"/>
      <c r="AP311" s="129"/>
      <c r="AQ311" s="129"/>
      <c r="AR311" s="129"/>
      <c r="AS311" s="129"/>
      <c r="AT311" s="129"/>
    </row>
    <row r="312" spans="21:46" s="21" customFormat="1"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121"/>
      <c r="AO312" s="129"/>
      <c r="AP312" s="129"/>
      <c r="AQ312" s="129"/>
      <c r="AR312" s="129"/>
      <c r="AS312" s="129"/>
      <c r="AT312" s="129"/>
    </row>
    <row r="313" spans="21:46" s="21" customFormat="1"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121"/>
      <c r="AO313" s="129"/>
      <c r="AP313" s="129"/>
      <c r="AQ313" s="129"/>
      <c r="AR313" s="129"/>
      <c r="AS313" s="129"/>
      <c r="AT313" s="129"/>
    </row>
    <row r="314" spans="21:46" s="21" customFormat="1"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121"/>
      <c r="AO314" s="129"/>
      <c r="AP314" s="129"/>
      <c r="AQ314" s="129"/>
      <c r="AR314" s="129"/>
      <c r="AS314" s="129"/>
      <c r="AT314" s="129"/>
    </row>
    <row r="315" spans="21:46" s="21" customFormat="1"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121"/>
      <c r="AO315" s="129"/>
      <c r="AP315" s="129"/>
      <c r="AQ315" s="129"/>
      <c r="AR315" s="129"/>
      <c r="AS315" s="129"/>
      <c r="AT315" s="129"/>
    </row>
    <row r="316" spans="21:46" s="21" customFormat="1"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121"/>
      <c r="AO316" s="129"/>
      <c r="AP316" s="129"/>
      <c r="AQ316" s="129"/>
      <c r="AR316" s="129"/>
      <c r="AS316" s="129"/>
      <c r="AT316" s="129"/>
    </row>
    <row r="317" spans="21:46" s="21" customFormat="1"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121"/>
      <c r="AO317" s="129"/>
      <c r="AP317" s="129"/>
      <c r="AQ317" s="129"/>
      <c r="AR317" s="129"/>
      <c r="AS317" s="129"/>
      <c r="AT317" s="129"/>
    </row>
    <row r="318" spans="21:46" s="21" customFormat="1"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121"/>
      <c r="AO318" s="129"/>
      <c r="AP318" s="129"/>
      <c r="AQ318" s="129"/>
      <c r="AR318" s="129"/>
      <c r="AS318" s="129"/>
      <c r="AT318" s="129"/>
    </row>
    <row r="319" spans="21:46" s="21" customFormat="1"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121"/>
      <c r="AO319" s="129"/>
      <c r="AP319" s="129"/>
      <c r="AQ319" s="129"/>
      <c r="AR319" s="129"/>
      <c r="AS319" s="129"/>
      <c r="AT319" s="129"/>
    </row>
    <row r="320" spans="21:46" s="21" customFormat="1"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121"/>
      <c r="AO320" s="129"/>
      <c r="AP320" s="129"/>
      <c r="AQ320" s="129"/>
      <c r="AR320" s="129"/>
      <c r="AS320" s="129"/>
      <c r="AT320" s="129"/>
    </row>
    <row r="321" spans="21:46" s="21" customFormat="1"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121"/>
      <c r="AO321" s="129"/>
      <c r="AP321" s="129"/>
      <c r="AQ321" s="129"/>
      <c r="AR321" s="129"/>
      <c r="AS321" s="129"/>
      <c r="AT321" s="129"/>
    </row>
    <row r="322" spans="21:46" s="21" customFormat="1"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121"/>
      <c r="AO322" s="129"/>
      <c r="AP322" s="129"/>
      <c r="AQ322" s="129"/>
      <c r="AR322" s="129"/>
      <c r="AS322" s="129"/>
      <c r="AT322" s="129"/>
    </row>
    <row r="323" spans="21:46" s="21" customFormat="1"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121"/>
      <c r="AO323" s="129"/>
      <c r="AP323" s="129"/>
      <c r="AQ323" s="129"/>
      <c r="AR323" s="129"/>
      <c r="AS323" s="129"/>
      <c r="AT323" s="129"/>
    </row>
    <row r="324" spans="21:46" s="21" customFormat="1"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121"/>
      <c r="AO324" s="129"/>
      <c r="AP324" s="129"/>
      <c r="AQ324" s="129"/>
      <c r="AR324" s="129"/>
      <c r="AS324" s="129"/>
      <c r="AT324" s="129"/>
    </row>
    <row r="325" spans="21:46" s="21" customFormat="1"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121"/>
      <c r="AO325" s="129"/>
      <c r="AP325" s="129"/>
      <c r="AQ325" s="129"/>
      <c r="AR325" s="129"/>
      <c r="AS325" s="129"/>
      <c r="AT325" s="129"/>
    </row>
    <row r="326" spans="21:46" s="21" customFormat="1"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121"/>
      <c r="AO326" s="129"/>
      <c r="AP326" s="129"/>
      <c r="AQ326" s="129"/>
      <c r="AR326" s="129"/>
      <c r="AS326" s="129"/>
      <c r="AT326" s="129"/>
    </row>
    <row r="327" spans="21:46" s="21" customFormat="1"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121"/>
      <c r="AO327" s="129"/>
      <c r="AP327" s="129"/>
      <c r="AQ327" s="129"/>
      <c r="AR327" s="129"/>
      <c r="AS327" s="129"/>
      <c r="AT327" s="129"/>
    </row>
    <row r="328" spans="21:46" s="21" customFormat="1"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121"/>
      <c r="AO328" s="129"/>
      <c r="AP328" s="129"/>
      <c r="AQ328" s="129"/>
      <c r="AR328" s="129"/>
      <c r="AS328" s="129"/>
      <c r="AT328" s="129"/>
    </row>
    <row r="329" spans="21:46" s="21" customFormat="1"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121"/>
      <c r="AO329" s="129"/>
      <c r="AP329" s="129"/>
      <c r="AQ329" s="129"/>
      <c r="AR329" s="129"/>
      <c r="AS329" s="129"/>
      <c r="AT329" s="129"/>
    </row>
    <row r="330" spans="21:46" s="21" customFormat="1"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121"/>
      <c r="AO330" s="129"/>
      <c r="AP330" s="129"/>
      <c r="AQ330" s="129"/>
      <c r="AR330" s="129"/>
      <c r="AS330" s="129"/>
      <c r="AT330" s="129"/>
    </row>
    <row r="331" spans="21:46" s="21" customFormat="1"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121"/>
      <c r="AO331" s="129"/>
      <c r="AP331" s="129"/>
      <c r="AQ331" s="129"/>
      <c r="AR331" s="129"/>
      <c r="AS331" s="129"/>
      <c r="AT331" s="129"/>
    </row>
    <row r="332" spans="21:46" s="21" customFormat="1"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121"/>
      <c r="AO332" s="129"/>
      <c r="AP332" s="129"/>
      <c r="AQ332" s="129"/>
      <c r="AR332" s="129"/>
      <c r="AS332" s="129"/>
      <c r="AT332" s="129"/>
    </row>
    <row r="333" spans="21:46" s="21" customFormat="1"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121"/>
      <c r="AO333" s="129"/>
      <c r="AP333" s="129"/>
      <c r="AQ333" s="129"/>
      <c r="AR333" s="129"/>
      <c r="AS333" s="129"/>
      <c r="AT333" s="129"/>
    </row>
    <row r="334" spans="21:46" s="21" customFormat="1"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121"/>
      <c r="AO334" s="129"/>
      <c r="AP334" s="129"/>
      <c r="AQ334" s="129"/>
      <c r="AR334" s="129"/>
      <c r="AS334" s="129"/>
      <c r="AT334" s="129"/>
    </row>
    <row r="335" spans="21:46" s="21" customFormat="1"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121"/>
      <c r="AO335" s="129"/>
      <c r="AP335" s="129"/>
      <c r="AQ335" s="129"/>
      <c r="AR335" s="129"/>
      <c r="AS335" s="129"/>
      <c r="AT335" s="129"/>
    </row>
    <row r="336" spans="21:46" s="21" customFormat="1"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121"/>
      <c r="AO336" s="129"/>
      <c r="AP336" s="129"/>
      <c r="AQ336" s="129"/>
      <c r="AR336" s="129"/>
      <c r="AS336" s="129"/>
      <c r="AT336" s="129"/>
    </row>
    <row r="337" spans="21:46" s="21" customFormat="1"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121"/>
      <c r="AO337" s="129"/>
      <c r="AP337" s="129"/>
      <c r="AQ337" s="129"/>
      <c r="AR337" s="129"/>
      <c r="AS337" s="129"/>
      <c r="AT337" s="129"/>
    </row>
    <row r="338" spans="21:46" s="21" customFormat="1"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121"/>
      <c r="AO338" s="129"/>
      <c r="AP338" s="129"/>
      <c r="AQ338" s="129"/>
      <c r="AR338" s="129"/>
      <c r="AS338" s="129"/>
      <c r="AT338" s="129"/>
    </row>
    <row r="339" spans="21:46" s="21" customFormat="1"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121"/>
      <c r="AO339" s="129"/>
      <c r="AP339" s="129"/>
      <c r="AQ339" s="129"/>
      <c r="AR339" s="129"/>
      <c r="AS339" s="129"/>
      <c r="AT339" s="129"/>
    </row>
    <row r="340" spans="21:46" s="21" customFormat="1"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121"/>
      <c r="AO340" s="129"/>
      <c r="AP340" s="129"/>
      <c r="AQ340" s="129"/>
      <c r="AR340" s="129"/>
      <c r="AS340" s="129"/>
      <c r="AT340" s="129"/>
    </row>
    <row r="341" spans="21:46" s="21" customFormat="1"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121"/>
      <c r="AO341" s="129"/>
      <c r="AP341" s="129"/>
      <c r="AQ341" s="129"/>
      <c r="AR341" s="129"/>
      <c r="AS341" s="129"/>
      <c r="AT341" s="129"/>
    </row>
    <row r="342" spans="21:46" s="21" customFormat="1"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121"/>
      <c r="AO342" s="129"/>
      <c r="AP342" s="129"/>
      <c r="AQ342" s="129"/>
      <c r="AR342" s="129"/>
      <c r="AS342" s="129"/>
      <c r="AT342" s="129"/>
    </row>
    <row r="343" spans="21:46" s="21" customFormat="1"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121"/>
      <c r="AO343" s="129"/>
      <c r="AP343" s="129"/>
      <c r="AQ343" s="129"/>
      <c r="AR343" s="129"/>
      <c r="AS343" s="129"/>
      <c r="AT343" s="129"/>
    </row>
    <row r="344" spans="21:46" s="21" customFormat="1"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121"/>
      <c r="AO344" s="129"/>
      <c r="AP344" s="129"/>
      <c r="AQ344" s="129"/>
      <c r="AR344" s="129"/>
      <c r="AS344" s="129"/>
      <c r="AT344" s="129"/>
    </row>
    <row r="345" spans="21:46" s="21" customFormat="1"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121"/>
      <c r="AO345" s="129"/>
      <c r="AP345" s="129"/>
      <c r="AQ345" s="129"/>
      <c r="AR345" s="129"/>
      <c r="AS345" s="129"/>
      <c r="AT345" s="129"/>
    </row>
    <row r="346" spans="21:46" s="21" customFormat="1"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121"/>
      <c r="AO346" s="129"/>
      <c r="AP346" s="129"/>
      <c r="AQ346" s="129"/>
      <c r="AR346" s="129"/>
      <c r="AS346" s="129"/>
      <c r="AT346" s="129"/>
    </row>
    <row r="347" spans="21:46" s="21" customFormat="1"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121"/>
      <c r="AO347" s="129"/>
      <c r="AP347" s="129"/>
      <c r="AQ347" s="129"/>
      <c r="AR347" s="129"/>
      <c r="AS347" s="129"/>
      <c r="AT347" s="129"/>
    </row>
    <row r="348" spans="21:46" s="21" customFormat="1"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121"/>
      <c r="AO348" s="129"/>
      <c r="AP348" s="129"/>
      <c r="AQ348" s="129"/>
      <c r="AR348" s="129"/>
      <c r="AS348" s="129"/>
      <c r="AT348" s="129"/>
    </row>
    <row r="349" spans="21:46" s="21" customFormat="1"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121"/>
      <c r="AO349" s="129"/>
      <c r="AP349" s="129"/>
      <c r="AQ349" s="129"/>
      <c r="AR349" s="129"/>
      <c r="AS349" s="129"/>
      <c r="AT349" s="129"/>
    </row>
    <row r="350" spans="21:46" s="21" customFormat="1"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121"/>
      <c r="AO350" s="129"/>
      <c r="AP350" s="129"/>
      <c r="AQ350" s="129"/>
      <c r="AR350" s="129"/>
      <c r="AS350" s="129"/>
      <c r="AT350" s="129"/>
    </row>
    <row r="351" spans="21:46" s="21" customFormat="1"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121"/>
      <c r="AO351" s="129"/>
      <c r="AP351" s="129"/>
      <c r="AQ351" s="129"/>
      <c r="AR351" s="129"/>
      <c r="AS351" s="129"/>
      <c r="AT351" s="129"/>
    </row>
    <row r="352" spans="21:46" s="21" customFormat="1"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121"/>
      <c r="AO352" s="129"/>
      <c r="AP352" s="129"/>
      <c r="AQ352" s="129"/>
      <c r="AR352" s="129"/>
      <c r="AS352" s="129"/>
      <c r="AT352" s="129"/>
    </row>
    <row r="353" spans="21:46" s="21" customFormat="1"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121"/>
      <c r="AO353" s="129"/>
      <c r="AP353" s="129"/>
      <c r="AQ353" s="129"/>
      <c r="AR353" s="129"/>
      <c r="AS353" s="129"/>
      <c r="AT353" s="129"/>
    </row>
    <row r="354" spans="21:46" s="21" customFormat="1"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121"/>
      <c r="AO354" s="129"/>
      <c r="AP354" s="129"/>
      <c r="AQ354" s="129"/>
      <c r="AR354" s="129"/>
      <c r="AS354" s="129"/>
      <c r="AT354" s="129"/>
    </row>
    <row r="355" spans="21:46" s="21" customFormat="1"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121"/>
      <c r="AO355" s="129"/>
      <c r="AP355" s="129"/>
      <c r="AQ355" s="129"/>
      <c r="AR355" s="129"/>
      <c r="AS355" s="129"/>
      <c r="AT355" s="129"/>
    </row>
    <row r="356" spans="21:46" s="21" customFormat="1"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121"/>
      <c r="AO356" s="129"/>
      <c r="AP356" s="129"/>
      <c r="AQ356" s="129"/>
      <c r="AR356" s="129"/>
      <c r="AS356" s="129"/>
      <c r="AT356" s="129"/>
    </row>
    <row r="357" spans="21:46" s="21" customFormat="1"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121"/>
      <c r="AO357" s="129"/>
      <c r="AP357" s="129"/>
      <c r="AQ357" s="129"/>
      <c r="AR357" s="129"/>
      <c r="AS357" s="129"/>
      <c r="AT357" s="129"/>
    </row>
    <row r="358" spans="21:46" s="21" customFormat="1"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121"/>
      <c r="AO358" s="129"/>
      <c r="AP358" s="129"/>
      <c r="AQ358" s="129"/>
      <c r="AR358" s="129"/>
      <c r="AS358" s="129"/>
      <c r="AT358" s="129"/>
    </row>
    <row r="359" spans="21:46" s="21" customFormat="1"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121"/>
      <c r="AO359" s="129"/>
      <c r="AP359" s="129"/>
      <c r="AQ359" s="129"/>
      <c r="AR359" s="129"/>
      <c r="AS359" s="129"/>
      <c r="AT359" s="129"/>
    </row>
    <row r="360" spans="21:46" s="21" customFormat="1"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121"/>
      <c r="AO360" s="129"/>
      <c r="AP360" s="129"/>
      <c r="AQ360" s="129"/>
      <c r="AR360" s="129"/>
      <c r="AS360" s="129"/>
      <c r="AT360" s="129"/>
    </row>
    <row r="361" spans="21:46" s="21" customFormat="1"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121"/>
      <c r="AO361" s="129"/>
      <c r="AP361" s="129"/>
      <c r="AQ361" s="129"/>
      <c r="AR361" s="129"/>
      <c r="AS361" s="129"/>
      <c r="AT361" s="129"/>
    </row>
    <row r="362" spans="21:46" s="21" customFormat="1"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121"/>
      <c r="AO362" s="129"/>
      <c r="AP362" s="129"/>
      <c r="AQ362" s="129"/>
      <c r="AR362" s="129"/>
      <c r="AS362" s="129"/>
      <c r="AT362" s="129"/>
    </row>
    <row r="363" spans="21:46" s="21" customFormat="1"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121"/>
      <c r="AO363" s="129"/>
      <c r="AP363" s="129"/>
      <c r="AQ363" s="129"/>
      <c r="AR363" s="129"/>
      <c r="AS363" s="129"/>
      <c r="AT363" s="129"/>
    </row>
    <row r="364" spans="21:46" s="21" customFormat="1"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121"/>
      <c r="AO364" s="129"/>
      <c r="AP364" s="129"/>
      <c r="AQ364" s="129"/>
      <c r="AR364" s="129"/>
      <c r="AS364" s="129"/>
      <c r="AT364" s="129"/>
    </row>
    <row r="365" spans="21:46" s="21" customFormat="1"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121"/>
      <c r="AO365" s="129"/>
      <c r="AP365" s="129"/>
      <c r="AQ365" s="129"/>
      <c r="AR365" s="129"/>
      <c r="AS365" s="129"/>
      <c r="AT365" s="129"/>
    </row>
    <row r="366" spans="21:46" s="21" customFormat="1"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121"/>
      <c r="AO366" s="129"/>
      <c r="AP366" s="129"/>
      <c r="AQ366" s="129"/>
      <c r="AR366" s="129"/>
      <c r="AS366" s="129"/>
      <c r="AT366" s="129"/>
    </row>
    <row r="367" spans="21:46" s="21" customFormat="1"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121"/>
      <c r="AO367" s="129"/>
      <c r="AP367" s="129"/>
      <c r="AQ367" s="129"/>
      <c r="AR367" s="129"/>
      <c r="AS367" s="129"/>
      <c r="AT367" s="129"/>
    </row>
    <row r="368" spans="21:46" s="21" customFormat="1"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121"/>
      <c r="AO368" s="129"/>
      <c r="AP368" s="129"/>
      <c r="AQ368" s="129"/>
      <c r="AR368" s="129"/>
      <c r="AS368" s="129"/>
      <c r="AT368" s="129"/>
    </row>
    <row r="369" spans="21:46" s="21" customFormat="1"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121"/>
      <c r="AO369" s="129"/>
      <c r="AP369" s="129"/>
      <c r="AQ369" s="129"/>
      <c r="AR369" s="129"/>
      <c r="AS369" s="129"/>
      <c r="AT369" s="129"/>
    </row>
    <row r="370" spans="21:46" s="21" customFormat="1"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121"/>
      <c r="AO370" s="129"/>
      <c r="AP370" s="129"/>
      <c r="AQ370" s="129"/>
      <c r="AR370" s="129"/>
      <c r="AS370" s="129"/>
      <c r="AT370" s="129"/>
    </row>
    <row r="371" spans="21:46" s="21" customFormat="1"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121"/>
      <c r="AO371" s="129"/>
      <c r="AP371" s="129"/>
      <c r="AQ371" s="129"/>
      <c r="AR371" s="129"/>
      <c r="AS371" s="129"/>
      <c r="AT371" s="129"/>
    </row>
    <row r="372" spans="21:46" s="21" customFormat="1"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121"/>
      <c r="AO372" s="129"/>
      <c r="AP372" s="129"/>
      <c r="AQ372" s="129"/>
      <c r="AR372" s="129"/>
      <c r="AS372" s="129"/>
      <c r="AT372" s="129"/>
    </row>
    <row r="373" spans="21:46" s="21" customFormat="1"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121"/>
      <c r="AO373" s="129"/>
      <c r="AP373" s="129"/>
      <c r="AQ373" s="129"/>
      <c r="AR373" s="129"/>
      <c r="AS373" s="129"/>
      <c r="AT373" s="129"/>
    </row>
    <row r="374" spans="21:46" s="21" customFormat="1"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121"/>
      <c r="AO374" s="129"/>
      <c r="AP374" s="129"/>
      <c r="AQ374" s="129"/>
      <c r="AR374" s="129"/>
      <c r="AS374" s="129"/>
      <c r="AT374" s="129"/>
    </row>
    <row r="375" spans="21:46" s="21" customFormat="1"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121"/>
      <c r="AO375" s="129"/>
      <c r="AP375" s="129"/>
      <c r="AQ375" s="129"/>
      <c r="AR375" s="129"/>
      <c r="AS375" s="129"/>
      <c r="AT375" s="129"/>
    </row>
    <row r="376" spans="21:46" s="21" customFormat="1"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121"/>
      <c r="AO376" s="129"/>
      <c r="AP376" s="129"/>
      <c r="AQ376" s="129"/>
      <c r="AR376" s="129"/>
      <c r="AS376" s="129"/>
      <c r="AT376" s="129"/>
    </row>
    <row r="377" spans="21:46" s="21" customFormat="1"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121"/>
      <c r="AO377" s="129"/>
      <c r="AP377" s="129"/>
      <c r="AQ377" s="129"/>
      <c r="AR377" s="129"/>
      <c r="AS377" s="129"/>
      <c r="AT377" s="129"/>
    </row>
    <row r="378" spans="21:46" s="21" customFormat="1"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121"/>
      <c r="AO378" s="129"/>
      <c r="AP378" s="129"/>
      <c r="AQ378" s="129"/>
      <c r="AR378" s="129"/>
      <c r="AS378" s="129"/>
      <c r="AT378" s="129"/>
    </row>
    <row r="379" spans="21:46" s="21" customFormat="1"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121"/>
      <c r="AO379" s="129"/>
      <c r="AP379" s="129"/>
      <c r="AQ379" s="129"/>
      <c r="AR379" s="129"/>
      <c r="AS379" s="129"/>
      <c r="AT379" s="129"/>
    </row>
    <row r="380" spans="21:46" s="21" customFormat="1"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121"/>
      <c r="AO380" s="129"/>
      <c r="AP380" s="129"/>
      <c r="AQ380" s="129"/>
      <c r="AR380" s="129"/>
      <c r="AS380" s="129"/>
      <c r="AT380" s="129"/>
    </row>
    <row r="381" spans="21:46" s="21" customFormat="1"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121"/>
      <c r="AO381" s="129"/>
      <c r="AP381" s="129"/>
      <c r="AQ381" s="129"/>
      <c r="AR381" s="129"/>
      <c r="AS381" s="129"/>
      <c r="AT381" s="129"/>
    </row>
    <row r="382" spans="21:46" s="21" customFormat="1"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121"/>
      <c r="AO382" s="129"/>
      <c r="AP382" s="129"/>
      <c r="AQ382" s="129"/>
      <c r="AR382" s="129"/>
      <c r="AS382" s="129"/>
      <c r="AT382" s="129"/>
    </row>
    <row r="383" spans="21:46" s="21" customFormat="1"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121"/>
      <c r="AO383" s="129"/>
      <c r="AP383" s="129"/>
      <c r="AQ383" s="129"/>
      <c r="AR383" s="129"/>
      <c r="AS383" s="129"/>
      <c r="AT383" s="129"/>
    </row>
    <row r="384" spans="21:46" s="21" customFormat="1"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121"/>
      <c r="AO384" s="129"/>
      <c r="AP384" s="129"/>
      <c r="AQ384" s="129"/>
      <c r="AR384" s="129"/>
      <c r="AS384" s="129"/>
      <c r="AT384" s="129"/>
    </row>
    <row r="385" spans="21:46" s="21" customFormat="1"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121"/>
      <c r="AO385" s="129"/>
      <c r="AP385" s="129"/>
      <c r="AQ385" s="129"/>
      <c r="AR385" s="129"/>
      <c r="AS385" s="129"/>
      <c r="AT385" s="129"/>
    </row>
    <row r="386" spans="21:46" s="21" customFormat="1"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121"/>
      <c r="AO386" s="129"/>
      <c r="AP386" s="129"/>
      <c r="AQ386" s="129"/>
      <c r="AR386" s="129"/>
      <c r="AS386" s="129"/>
      <c r="AT386" s="129"/>
    </row>
    <row r="387" spans="21:46" s="21" customFormat="1"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121"/>
      <c r="AO387" s="129"/>
      <c r="AP387" s="129"/>
      <c r="AQ387" s="129"/>
      <c r="AR387" s="129"/>
      <c r="AS387" s="129"/>
      <c r="AT387" s="129"/>
    </row>
    <row r="388" spans="21:46" s="21" customFormat="1"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121"/>
      <c r="AO388" s="129"/>
      <c r="AP388" s="129"/>
      <c r="AQ388" s="129"/>
      <c r="AR388" s="129"/>
      <c r="AS388" s="129"/>
      <c r="AT388" s="129"/>
    </row>
    <row r="389" spans="21:46" s="21" customFormat="1"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121"/>
      <c r="AO389" s="129"/>
      <c r="AP389" s="129"/>
      <c r="AQ389" s="129"/>
      <c r="AR389" s="129"/>
      <c r="AS389" s="129"/>
      <c r="AT389" s="129"/>
    </row>
    <row r="390" spans="21:46" s="21" customFormat="1"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121"/>
      <c r="AO390" s="129"/>
      <c r="AP390" s="129"/>
      <c r="AQ390" s="129"/>
      <c r="AR390" s="129"/>
      <c r="AS390" s="129"/>
      <c r="AT390" s="129"/>
    </row>
    <row r="391" spans="21:46" s="21" customFormat="1"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121"/>
      <c r="AO391" s="129"/>
      <c r="AP391" s="129"/>
      <c r="AQ391" s="129"/>
      <c r="AR391" s="129"/>
      <c r="AS391" s="129"/>
      <c r="AT391" s="129"/>
    </row>
    <row r="392" spans="21:46" s="21" customFormat="1"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121"/>
      <c r="AO392" s="129"/>
      <c r="AP392" s="129"/>
      <c r="AQ392" s="129"/>
      <c r="AR392" s="129"/>
      <c r="AS392" s="129"/>
      <c r="AT392" s="129"/>
    </row>
    <row r="393" spans="21:46" s="21" customFormat="1"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121"/>
      <c r="AO393" s="129"/>
      <c r="AP393" s="129"/>
      <c r="AQ393" s="129"/>
      <c r="AR393" s="129"/>
      <c r="AS393" s="129"/>
      <c r="AT393" s="129"/>
    </row>
    <row r="394" spans="21:46" s="21" customFormat="1"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121"/>
      <c r="AO394" s="129"/>
      <c r="AP394" s="129"/>
      <c r="AQ394" s="129"/>
      <c r="AR394" s="129"/>
      <c r="AS394" s="129"/>
      <c r="AT394" s="129"/>
    </row>
    <row r="395" spans="21:46" s="21" customFormat="1"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121"/>
      <c r="AO395" s="129"/>
      <c r="AP395" s="129"/>
      <c r="AQ395" s="129"/>
      <c r="AR395" s="129"/>
      <c r="AS395" s="129"/>
      <c r="AT395" s="129"/>
    </row>
    <row r="396" spans="21:46" s="21" customFormat="1"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121"/>
      <c r="AO396" s="129"/>
      <c r="AP396" s="129"/>
      <c r="AQ396" s="129"/>
      <c r="AR396" s="129"/>
      <c r="AS396" s="129"/>
      <c r="AT396" s="129"/>
    </row>
    <row r="397" spans="21:46" s="21" customFormat="1"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121"/>
      <c r="AO397" s="129"/>
      <c r="AP397" s="129"/>
      <c r="AQ397" s="129"/>
      <c r="AR397" s="129"/>
      <c r="AS397" s="129"/>
      <c r="AT397" s="129"/>
    </row>
    <row r="398" spans="21:46" s="21" customFormat="1"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121"/>
      <c r="AO398" s="129"/>
      <c r="AP398" s="129"/>
      <c r="AQ398" s="129"/>
      <c r="AR398" s="129"/>
      <c r="AS398" s="129"/>
      <c r="AT398" s="129"/>
    </row>
    <row r="399" spans="21:46" s="21" customFormat="1"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121"/>
      <c r="AO399" s="129"/>
      <c r="AP399" s="129"/>
      <c r="AQ399" s="129"/>
      <c r="AR399" s="129"/>
      <c r="AS399" s="129"/>
      <c r="AT399" s="129"/>
    </row>
    <row r="400" spans="21:46" s="21" customFormat="1"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121"/>
      <c r="AO400" s="129"/>
      <c r="AP400" s="129"/>
      <c r="AQ400" s="129"/>
      <c r="AR400" s="129"/>
      <c r="AS400" s="129"/>
      <c r="AT400" s="129"/>
    </row>
    <row r="401" spans="21:46" s="21" customFormat="1"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121"/>
      <c r="AO401" s="129"/>
      <c r="AP401" s="129"/>
      <c r="AQ401" s="129"/>
      <c r="AR401" s="129"/>
      <c r="AS401" s="129"/>
      <c r="AT401" s="129"/>
    </row>
    <row r="402" spans="21:46" s="21" customFormat="1"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121"/>
      <c r="AO402" s="129"/>
      <c r="AP402" s="129"/>
      <c r="AQ402" s="129"/>
      <c r="AR402" s="129"/>
      <c r="AS402" s="129"/>
      <c r="AT402" s="129"/>
    </row>
    <row r="403" spans="21:46" s="21" customFormat="1"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121"/>
      <c r="AO403" s="129"/>
      <c r="AP403" s="129"/>
      <c r="AQ403" s="129"/>
      <c r="AR403" s="129"/>
      <c r="AS403" s="129"/>
      <c r="AT403" s="129"/>
    </row>
    <row r="404" spans="21:46" s="21" customFormat="1"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121"/>
      <c r="AO404" s="129"/>
      <c r="AP404" s="129"/>
      <c r="AQ404" s="129"/>
      <c r="AR404" s="129"/>
      <c r="AS404" s="129"/>
      <c r="AT404" s="129"/>
    </row>
    <row r="405" spans="21:46" s="21" customFormat="1"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121"/>
      <c r="AO405" s="129"/>
      <c r="AP405" s="129"/>
      <c r="AQ405" s="129"/>
      <c r="AR405" s="129"/>
      <c r="AS405" s="129"/>
      <c r="AT405" s="129"/>
    </row>
    <row r="406" spans="21:46" s="21" customFormat="1"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121"/>
      <c r="AO406" s="129"/>
      <c r="AP406" s="129"/>
      <c r="AQ406" s="129"/>
      <c r="AR406" s="129"/>
      <c r="AS406" s="129"/>
      <c r="AT406" s="129"/>
    </row>
    <row r="407" spans="21:46" s="21" customFormat="1"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121"/>
      <c r="AO407" s="129"/>
      <c r="AP407" s="129"/>
      <c r="AQ407" s="129"/>
      <c r="AR407" s="129"/>
      <c r="AS407" s="129"/>
      <c r="AT407" s="129"/>
    </row>
    <row r="408" spans="21:46" s="21" customFormat="1"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121"/>
      <c r="AO408" s="129"/>
      <c r="AP408" s="129"/>
      <c r="AQ408" s="129"/>
      <c r="AR408" s="129"/>
      <c r="AS408" s="129"/>
      <c r="AT408" s="129"/>
    </row>
    <row r="409" spans="21:46" s="21" customFormat="1"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121"/>
      <c r="AO409" s="129"/>
      <c r="AP409" s="129"/>
      <c r="AQ409" s="129"/>
      <c r="AR409" s="129"/>
      <c r="AS409" s="129"/>
      <c r="AT409" s="129"/>
    </row>
    <row r="410" spans="21:46" s="21" customFormat="1"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121"/>
      <c r="AO410" s="129"/>
      <c r="AP410" s="129"/>
      <c r="AQ410" s="129"/>
      <c r="AR410" s="129"/>
      <c r="AS410" s="129"/>
      <c r="AT410" s="129"/>
    </row>
    <row r="411" spans="21:46" s="21" customFormat="1"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121"/>
      <c r="AO411" s="129"/>
      <c r="AP411" s="129"/>
      <c r="AQ411" s="129"/>
      <c r="AR411" s="129"/>
      <c r="AS411" s="129"/>
      <c r="AT411" s="129"/>
    </row>
    <row r="412" spans="21:46" s="21" customFormat="1"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121"/>
      <c r="AO412" s="129"/>
      <c r="AP412" s="129"/>
      <c r="AQ412" s="129"/>
      <c r="AR412" s="129"/>
      <c r="AS412" s="129"/>
      <c r="AT412" s="129"/>
    </row>
    <row r="413" spans="21:46" s="21" customFormat="1"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121"/>
      <c r="AO413" s="129"/>
      <c r="AP413" s="129"/>
      <c r="AQ413" s="129"/>
      <c r="AR413" s="129"/>
      <c r="AS413" s="129"/>
      <c r="AT413" s="129"/>
    </row>
    <row r="414" spans="21:46" s="21" customFormat="1"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121"/>
      <c r="AO414" s="129"/>
      <c r="AP414" s="129"/>
      <c r="AQ414" s="129"/>
      <c r="AR414" s="129"/>
      <c r="AS414" s="129"/>
      <c r="AT414" s="129"/>
    </row>
    <row r="415" spans="21:46" s="21" customFormat="1"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121"/>
      <c r="AO415" s="129"/>
      <c r="AP415" s="129"/>
      <c r="AQ415" s="129"/>
      <c r="AR415" s="129"/>
      <c r="AS415" s="129"/>
      <c r="AT415" s="129"/>
    </row>
    <row r="416" spans="21:46" s="21" customFormat="1"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121"/>
      <c r="AO416" s="129"/>
      <c r="AP416" s="129"/>
      <c r="AQ416" s="129"/>
      <c r="AR416" s="129"/>
      <c r="AS416" s="129"/>
      <c r="AT416" s="129"/>
    </row>
    <row r="417" spans="21:46" s="21" customFormat="1"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121"/>
      <c r="AO417" s="129"/>
      <c r="AP417" s="129"/>
      <c r="AQ417" s="129"/>
      <c r="AR417" s="129"/>
      <c r="AS417" s="129"/>
      <c r="AT417" s="129"/>
    </row>
    <row r="418" spans="21:46" s="21" customFormat="1"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121"/>
      <c r="AO418" s="129"/>
      <c r="AP418" s="129"/>
      <c r="AQ418" s="129"/>
      <c r="AR418" s="129"/>
      <c r="AS418" s="129"/>
      <c r="AT418" s="129"/>
    </row>
    <row r="419" spans="21:46" s="21" customFormat="1"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121"/>
      <c r="AO419" s="129"/>
      <c r="AP419" s="129"/>
      <c r="AQ419" s="129"/>
      <c r="AR419" s="129"/>
      <c r="AS419" s="129"/>
      <c r="AT419" s="129"/>
    </row>
    <row r="420" spans="21:46" s="21" customFormat="1"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121"/>
      <c r="AO420" s="129"/>
      <c r="AP420" s="129"/>
      <c r="AQ420" s="129"/>
      <c r="AR420" s="129"/>
      <c r="AS420" s="129"/>
      <c r="AT420" s="129"/>
    </row>
    <row r="421" spans="21:46" s="21" customFormat="1"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121"/>
      <c r="AO421" s="129"/>
      <c r="AP421" s="129"/>
      <c r="AQ421" s="129"/>
      <c r="AR421" s="129"/>
      <c r="AS421" s="129"/>
      <c r="AT421" s="129"/>
    </row>
    <row r="422" spans="21:46" s="21" customFormat="1"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121"/>
      <c r="AO422" s="129"/>
      <c r="AP422" s="129"/>
      <c r="AQ422" s="129"/>
      <c r="AR422" s="129"/>
      <c r="AS422" s="129"/>
      <c r="AT422" s="129"/>
    </row>
    <row r="423" spans="21:46" s="21" customFormat="1"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121"/>
      <c r="AO423" s="129"/>
      <c r="AP423" s="129"/>
      <c r="AQ423" s="129"/>
      <c r="AR423" s="129"/>
      <c r="AS423" s="129"/>
      <c r="AT423" s="129"/>
    </row>
    <row r="424" spans="21:46" s="21" customFormat="1"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121"/>
      <c r="AO424" s="129"/>
      <c r="AP424" s="129"/>
      <c r="AQ424" s="129"/>
      <c r="AR424" s="129"/>
      <c r="AS424" s="129"/>
      <c r="AT424" s="129"/>
    </row>
    <row r="425" spans="21:46" s="21" customFormat="1"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121"/>
      <c r="AO425" s="129"/>
      <c r="AP425" s="129"/>
      <c r="AQ425" s="129"/>
      <c r="AR425" s="129"/>
      <c r="AS425" s="129"/>
      <c r="AT425" s="129"/>
    </row>
    <row r="426" spans="21:46" s="21" customFormat="1"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121"/>
      <c r="AO426" s="129"/>
      <c r="AP426" s="129"/>
      <c r="AQ426" s="129"/>
      <c r="AR426" s="129"/>
      <c r="AS426" s="129"/>
      <c r="AT426" s="129"/>
    </row>
    <row r="427" spans="21:46" s="21" customFormat="1"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121"/>
      <c r="AO427" s="129"/>
      <c r="AP427" s="129"/>
      <c r="AQ427" s="129"/>
      <c r="AR427" s="129"/>
      <c r="AS427" s="129"/>
      <c r="AT427" s="129"/>
    </row>
    <row r="428" spans="21:46" s="21" customFormat="1"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121"/>
      <c r="AO428" s="129"/>
      <c r="AP428" s="129"/>
      <c r="AQ428" s="129"/>
      <c r="AR428" s="129"/>
      <c r="AS428" s="129"/>
      <c r="AT428" s="129"/>
    </row>
    <row r="429" spans="21:46" s="21" customFormat="1"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121"/>
      <c r="AO429" s="129"/>
      <c r="AP429" s="129"/>
      <c r="AQ429" s="129"/>
      <c r="AR429" s="129"/>
      <c r="AS429" s="129"/>
      <c r="AT429" s="129"/>
    </row>
    <row r="430" spans="21:46" s="21" customFormat="1"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121"/>
      <c r="AO430" s="129"/>
      <c r="AP430" s="129"/>
      <c r="AQ430" s="129"/>
      <c r="AR430" s="129"/>
      <c r="AS430" s="129"/>
      <c r="AT430" s="129"/>
    </row>
    <row r="431" spans="21:46" s="21" customFormat="1"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121"/>
      <c r="AO431" s="129"/>
      <c r="AP431" s="129"/>
      <c r="AQ431" s="129"/>
      <c r="AR431" s="129"/>
      <c r="AS431" s="129"/>
      <c r="AT431" s="129"/>
    </row>
    <row r="432" spans="21:46" s="21" customFormat="1"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121"/>
      <c r="AO432" s="129"/>
      <c r="AP432" s="129"/>
      <c r="AQ432" s="129"/>
      <c r="AR432" s="129"/>
      <c r="AS432" s="129"/>
      <c r="AT432" s="129"/>
    </row>
    <row r="433" spans="21:46" s="21" customFormat="1"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121"/>
      <c r="AO433" s="129"/>
      <c r="AP433" s="129"/>
      <c r="AQ433" s="129"/>
      <c r="AR433" s="129"/>
      <c r="AS433" s="129"/>
      <c r="AT433" s="129"/>
    </row>
    <row r="434" spans="21:46" s="21" customFormat="1"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121"/>
      <c r="AO434" s="129"/>
      <c r="AP434" s="129"/>
      <c r="AQ434" s="129"/>
      <c r="AR434" s="129"/>
      <c r="AS434" s="129"/>
      <c r="AT434" s="129"/>
    </row>
    <row r="435" spans="21:46" s="21" customFormat="1"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121"/>
      <c r="AO435" s="129"/>
      <c r="AP435" s="129"/>
      <c r="AQ435" s="129"/>
      <c r="AR435" s="129"/>
      <c r="AS435" s="129"/>
      <c r="AT435" s="129"/>
    </row>
    <row r="436" spans="21:46" s="21" customFormat="1"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121"/>
      <c r="AO436" s="129"/>
      <c r="AP436" s="129"/>
      <c r="AQ436" s="129"/>
      <c r="AR436" s="129"/>
      <c r="AS436" s="129"/>
      <c r="AT436" s="129"/>
    </row>
    <row r="437" spans="21:46" s="21" customFormat="1"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121"/>
      <c r="AO437" s="129"/>
      <c r="AP437" s="129"/>
      <c r="AQ437" s="129"/>
      <c r="AR437" s="129"/>
      <c r="AS437" s="129"/>
      <c r="AT437" s="129"/>
    </row>
    <row r="438" spans="21:46" s="21" customFormat="1"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121"/>
      <c r="AO438" s="129"/>
      <c r="AP438" s="129"/>
      <c r="AQ438" s="129"/>
      <c r="AR438" s="129"/>
      <c r="AS438" s="129"/>
      <c r="AT438" s="129"/>
    </row>
    <row r="439" spans="21:46" s="21" customFormat="1"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121"/>
      <c r="AO439" s="129"/>
      <c r="AP439" s="129"/>
      <c r="AQ439" s="129"/>
      <c r="AR439" s="129"/>
      <c r="AS439" s="129"/>
      <c r="AT439" s="129"/>
    </row>
    <row r="440" spans="21:46" s="21" customFormat="1"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121"/>
      <c r="AO440" s="129"/>
      <c r="AP440" s="129"/>
      <c r="AQ440" s="129"/>
      <c r="AR440" s="129"/>
      <c r="AS440" s="129"/>
      <c r="AT440" s="129"/>
    </row>
    <row r="441" spans="21:46" s="21" customFormat="1"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121"/>
      <c r="AO441" s="129"/>
      <c r="AP441" s="129"/>
      <c r="AQ441" s="129"/>
      <c r="AR441" s="129"/>
      <c r="AS441" s="129"/>
      <c r="AT441" s="129"/>
    </row>
    <row r="442" spans="21:46" s="21" customFormat="1"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121"/>
      <c r="AO442" s="129"/>
      <c r="AP442" s="129"/>
      <c r="AQ442" s="129"/>
      <c r="AR442" s="129"/>
      <c r="AS442" s="129"/>
      <c r="AT442" s="129"/>
    </row>
    <row r="443" spans="21:46" s="21" customFormat="1"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121"/>
      <c r="AO443" s="129"/>
      <c r="AP443" s="129"/>
      <c r="AQ443" s="129"/>
      <c r="AR443" s="129"/>
      <c r="AS443" s="129"/>
      <c r="AT443" s="129"/>
    </row>
    <row r="444" spans="21:46" s="21" customFormat="1"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121"/>
      <c r="AO444" s="129"/>
      <c r="AP444" s="129"/>
      <c r="AQ444" s="129"/>
      <c r="AR444" s="129"/>
      <c r="AS444" s="129"/>
      <c r="AT444" s="129"/>
    </row>
    <row r="445" spans="21:46" s="21" customFormat="1"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121"/>
      <c r="AO445" s="129"/>
      <c r="AP445" s="129"/>
      <c r="AQ445" s="129"/>
      <c r="AR445" s="129"/>
      <c r="AS445" s="129"/>
      <c r="AT445" s="129"/>
    </row>
    <row r="446" spans="21:46" s="21" customFormat="1"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121"/>
      <c r="AO446" s="129"/>
      <c r="AP446" s="129"/>
      <c r="AQ446" s="129"/>
      <c r="AR446" s="129"/>
      <c r="AS446" s="129"/>
      <c r="AT446" s="129"/>
    </row>
    <row r="447" spans="21:46" s="21" customFormat="1"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121"/>
      <c r="AO447" s="129"/>
      <c r="AP447" s="129"/>
      <c r="AQ447" s="129"/>
      <c r="AR447" s="129"/>
      <c r="AS447" s="129"/>
      <c r="AT447" s="129"/>
    </row>
    <row r="448" spans="21:46" s="21" customFormat="1"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121"/>
      <c r="AO448" s="129"/>
      <c r="AP448" s="129"/>
      <c r="AQ448" s="129"/>
      <c r="AR448" s="129"/>
      <c r="AS448" s="129"/>
      <c r="AT448" s="129"/>
    </row>
    <row r="449" spans="21:46" s="21" customFormat="1"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121"/>
      <c r="AO449" s="129"/>
      <c r="AP449" s="129"/>
      <c r="AQ449" s="129"/>
      <c r="AR449" s="129"/>
      <c r="AS449" s="129"/>
      <c r="AT449" s="129"/>
    </row>
    <row r="450" spans="21:46" s="21" customFormat="1"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121"/>
      <c r="AO450" s="129"/>
      <c r="AP450" s="129"/>
      <c r="AQ450" s="129"/>
      <c r="AR450" s="129"/>
      <c r="AS450" s="129"/>
      <c r="AT450" s="129"/>
    </row>
    <row r="451" spans="21:46" s="21" customFormat="1"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121"/>
      <c r="AO451" s="129"/>
      <c r="AP451" s="129"/>
      <c r="AQ451" s="129"/>
      <c r="AR451" s="129"/>
      <c r="AS451" s="129"/>
      <c r="AT451" s="129"/>
    </row>
    <row r="452" spans="21:46" s="21" customFormat="1"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121"/>
      <c r="AO452" s="129"/>
      <c r="AP452" s="129"/>
      <c r="AQ452" s="129"/>
      <c r="AR452" s="129"/>
      <c r="AS452" s="129"/>
      <c r="AT452" s="129"/>
    </row>
    <row r="453" spans="21:46" s="21" customFormat="1"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121"/>
      <c r="AO453" s="129"/>
      <c r="AP453" s="129"/>
      <c r="AQ453" s="129"/>
      <c r="AR453" s="129"/>
      <c r="AS453" s="129"/>
      <c r="AT453" s="129"/>
    </row>
    <row r="454" spans="21:46" s="21" customFormat="1"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121"/>
      <c r="AO454" s="129"/>
      <c r="AP454" s="129"/>
      <c r="AQ454" s="129"/>
      <c r="AR454" s="129"/>
      <c r="AS454" s="129"/>
      <c r="AT454" s="129"/>
    </row>
    <row r="455" spans="21:46" s="21" customFormat="1"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121"/>
      <c r="AO455" s="129"/>
      <c r="AP455" s="129"/>
      <c r="AQ455" s="129"/>
      <c r="AR455" s="129"/>
      <c r="AS455" s="129"/>
      <c r="AT455" s="129"/>
    </row>
    <row r="456" spans="21:46" s="21" customFormat="1"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121"/>
      <c r="AO456" s="129"/>
      <c r="AP456" s="129"/>
      <c r="AQ456" s="129"/>
      <c r="AR456" s="129"/>
      <c r="AS456" s="129"/>
      <c r="AT456" s="129"/>
    </row>
    <row r="457" spans="21:46" s="21" customFormat="1"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121"/>
      <c r="AO457" s="129"/>
      <c r="AP457" s="129"/>
      <c r="AQ457" s="129"/>
      <c r="AR457" s="129"/>
      <c r="AS457" s="129"/>
      <c r="AT457" s="129"/>
    </row>
    <row r="458" spans="21:46" s="21" customFormat="1"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121"/>
      <c r="AO458" s="129"/>
      <c r="AP458" s="129"/>
      <c r="AQ458" s="129"/>
      <c r="AR458" s="129"/>
      <c r="AS458" s="129"/>
      <c r="AT458" s="129"/>
    </row>
    <row r="459" spans="21:46" s="21" customFormat="1"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121"/>
      <c r="AO459" s="129"/>
      <c r="AP459" s="129"/>
      <c r="AQ459" s="129"/>
      <c r="AR459" s="129"/>
      <c r="AS459" s="129"/>
      <c r="AT459" s="129"/>
    </row>
    <row r="460" spans="21:46" s="21" customFormat="1"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121"/>
      <c r="AO460" s="129"/>
      <c r="AP460" s="129"/>
      <c r="AQ460" s="129"/>
      <c r="AR460" s="129"/>
      <c r="AS460" s="129"/>
      <c r="AT460" s="129"/>
    </row>
    <row r="461" spans="21:46" s="21" customFormat="1"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121"/>
      <c r="AO461" s="129"/>
      <c r="AP461" s="129"/>
      <c r="AQ461" s="129"/>
      <c r="AR461" s="129"/>
      <c r="AS461" s="129"/>
      <c r="AT461" s="129"/>
    </row>
    <row r="462" spans="21:46" s="21" customFormat="1"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121"/>
      <c r="AO462" s="129"/>
      <c r="AP462" s="129"/>
      <c r="AQ462" s="129"/>
      <c r="AR462" s="129"/>
      <c r="AS462" s="129"/>
      <c r="AT462" s="129"/>
    </row>
    <row r="463" spans="21:46" s="21" customFormat="1"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121"/>
      <c r="AO463" s="129"/>
      <c r="AP463" s="129"/>
      <c r="AQ463" s="129"/>
      <c r="AR463" s="129"/>
      <c r="AS463" s="129"/>
      <c r="AT463" s="129"/>
    </row>
    <row r="464" spans="21:46" s="21" customFormat="1"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121"/>
      <c r="AO464" s="129"/>
      <c r="AP464" s="129"/>
      <c r="AQ464" s="129"/>
      <c r="AR464" s="129"/>
      <c r="AS464" s="129"/>
      <c r="AT464" s="129"/>
    </row>
    <row r="465" spans="21:46" s="21" customFormat="1"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121"/>
      <c r="AO465" s="129"/>
      <c r="AP465" s="129"/>
      <c r="AQ465" s="129"/>
      <c r="AR465" s="129"/>
      <c r="AS465" s="129"/>
      <c r="AT465" s="129"/>
    </row>
    <row r="466" spans="21:46" s="21" customFormat="1"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121"/>
      <c r="AO466" s="129"/>
      <c r="AP466" s="129"/>
      <c r="AQ466" s="129"/>
      <c r="AR466" s="129"/>
      <c r="AS466" s="129"/>
      <c r="AT466" s="129"/>
    </row>
    <row r="467" spans="21:46" s="21" customFormat="1"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121"/>
      <c r="AO467" s="129"/>
      <c r="AP467" s="129"/>
      <c r="AQ467" s="129"/>
      <c r="AR467" s="129"/>
      <c r="AS467" s="129"/>
      <c r="AT467" s="129"/>
    </row>
    <row r="468" spans="21:46" s="21" customFormat="1"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121"/>
      <c r="AO468" s="129"/>
      <c r="AP468" s="129"/>
      <c r="AQ468" s="129"/>
      <c r="AR468" s="129"/>
      <c r="AS468" s="129"/>
      <c r="AT468" s="129"/>
    </row>
    <row r="469" spans="21:46" s="21" customFormat="1"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121"/>
      <c r="AO469" s="129"/>
      <c r="AP469" s="129"/>
      <c r="AQ469" s="129"/>
      <c r="AR469" s="129"/>
      <c r="AS469" s="129"/>
      <c r="AT469" s="129"/>
    </row>
    <row r="470" spans="21:46" s="21" customFormat="1"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121"/>
      <c r="AO470" s="129"/>
      <c r="AP470" s="129"/>
      <c r="AQ470" s="129"/>
      <c r="AR470" s="129"/>
      <c r="AS470" s="129"/>
      <c r="AT470" s="129"/>
    </row>
    <row r="471" spans="21:46" s="21" customFormat="1"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121"/>
      <c r="AO471" s="129"/>
      <c r="AP471" s="129"/>
      <c r="AQ471" s="129"/>
      <c r="AR471" s="129"/>
      <c r="AS471" s="129"/>
      <c r="AT471" s="129"/>
    </row>
    <row r="472" spans="21:46" s="21" customFormat="1"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121"/>
      <c r="AO472" s="129"/>
      <c r="AP472" s="129"/>
      <c r="AQ472" s="129"/>
      <c r="AR472" s="129"/>
      <c r="AS472" s="129"/>
      <c r="AT472" s="129"/>
    </row>
    <row r="473" spans="21:46" s="21" customFormat="1"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121"/>
      <c r="AO473" s="129"/>
      <c r="AP473" s="129"/>
      <c r="AQ473" s="129"/>
      <c r="AR473" s="129"/>
      <c r="AS473" s="129"/>
      <c r="AT473" s="129"/>
    </row>
    <row r="474" spans="21:46" s="21" customFormat="1"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121"/>
      <c r="AO474" s="129"/>
      <c r="AP474" s="129"/>
      <c r="AQ474" s="129"/>
      <c r="AR474" s="129"/>
      <c r="AS474" s="129"/>
      <c r="AT474" s="129"/>
    </row>
    <row r="475" spans="21:46" s="21" customFormat="1"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121"/>
      <c r="AO475" s="129"/>
      <c r="AP475" s="129"/>
      <c r="AQ475" s="129"/>
      <c r="AR475" s="129"/>
      <c r="AS475" s="129"/>
      <c r="AT475" s="129"/>
    </row>
    <row r="476" spans="21:46" s="21" customFormat="1"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121"/>
      <c r="AO476" s="129"/>
      <c r="AP476" s="129"/>
      <c r="AQ476" s="129"/>
      <c r="AR476" s="129"/>
      <c r="AS476" s="129"/>
      <c r="AT476" s="129"/>
    </row>
    <row r="477" spans="21:46" s="21" customFormat="1"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121"/>
      <c r="AO477" s="129"/>
      <c r="AP477" s="129"/>
      <c r="AQ477" s="129"/>
      <c r="AR477" s="129"/>
      <c r="AS477" s="129"/>
      <c r="AT477" s="129"/>
    </row>
    <row r="478" spans="21:46" s="21" customFormat="1"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121"/>
      <c r="AO478" s="129"/>
      <c r="AP478" s="129"/>
      <c r="AQ478" s="129"/>
      <c r="AR478" s="129"/>
      <c r="AS478" s="129"/>
      <c r="AT478" s="129"/>
    </row>
    <row r="479" spans="21:46" s="21" customFormat="1"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121"/>
      <c r="AO479" s="129"/>
      <c r="AP479" s="129"/>
      <c r="AQ479" s="129"/>
      <c r="AR479" s="129"/>
      <c r="AS479" s="129"/>
      <c r="AT479" s="129"/>
    </row>
    <row r="480" spans="21:46" s="21" customFormat="1"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121"/>
      <c r="AO480" s="129"/>
      <c r="AP480" s="129"/>
      <c r="AQ480" s="129"/>
      <c r="AR480" s="129"/>
      <c r="AS480" s="129"/>
      <c r="AT480" s="129"/>
    </row>
    <row r="481" spans="21:46" s="21" customFormat="1"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121"/>
      <c r="AO481" s="129"/>
      <c r="AP481" s="129"/>
      <c r="AQ481" s="129"/>
      <c r="AR481" s="129"/>
      <c r="AS481" s="129"/>
      <c r="AT481" s="129"/>
    </row>
    <row r="482" spans="21:46" s="21" customFormat="1"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121"/>
      <c r="AO482" s="129"/>
      <c r="AP482" s="129"/>
      <c r="AQ482" s="129"/>
      <c r="AR482" s="129"/>
      <c r="AS482" s="129"/>
      <c r="AT482" s="129"/>
    </row>
    <row r="483" spans="21:46" s="21" customFormat="1"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121"/>
      <c r="AO483" s="129"/>
      <c r="AP483" s="129"/>
      <c r="AQ483" s="129"/>
      <c r="AR483" s="129"/>
      <c r="AS483" s="129"/>
      <c r="AT483" s="129"/>
    </row>
    <row r="484" spans="21:46" s="21" customFormat="1"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121"/>
      <c r="AO484" s="129"/>
      <c r="AP484" s="129"/>
      <c r="AQ484" s="129"/>
      <c r="AR484" s="129"/>
      <c r="AS484" s="129"/>
      <c r="AT484" s="129"/>
    </row>
    <row r="485" spans="21:46" s="21" customFormat="1"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121"/>
      <c r="AO485" s="129"/>
      <c r="AP485" s="129"/>
      <c r="AQ485" s="129"/>
      <c r="AR485" s="129"/>
      <c r="AS485" s="129"/>
      <c r="AT485" s="129"/>
    </row>
    <row r="486" spans="21:46" s="21" customFormat="1"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121"/>
      <c r="AO486" s="129"/>
      <c r="AP486" s="129"/>
      <c r="AQ486" s="129"/>
      <c r="AR486" s="129"/>
      <c r="AS486" s="129"/>
      <c r="AT486" s="129"/>
    </row>
    <row r="487" spans="21:46" s="21" customFormat="1"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121"/>
      <c r="AO487" s="129"/>
      <c r="AP487" s="129"/>
      <c r="AQ487" s="129"/>
      <c r="AR487" s="129"/>
      <c r="AS487" s="129"/>
      <c r="AT487" s="129"/>
    </row>
    <row r="488" spans="21:46" s="21" customFormat="1"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121"/>
      <c r="AO488" s="129"/>
      <c r="AP488" s="129"/>
      <c r="AQ488" s="129"/>
      <c r="AR488" s="129"/>
      <c r="AS488" s="129"/>
      <c r="AT488" s="129"/>
    </row>
    <row r="489" spans="21:46" s="21" customFormat="1"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121"/>
      <c r="AO489" s="129"/>
      <c r="AP489" s="129"/>
      <c r="AQ489" s="129"/>
      <c r="AR489" s="129"/>
      <c r="AS489" s="129"/>
      <c r="AT489" s="129"/>
    </row>
    <row r="490" spans="21:46" s="21" customFormat="1"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121"/>
      <c r="AO490" s="129"/>
      <c r="AP490" s="129"/>
      <c r="AQ490" s="129"/>
      <c r="AR490" s="129"/>
      <c r="AS490" s="129"/>
      <c r="AT490" s="129"/>
    </row>
    <row r="491" spans="21:46" s="21" customFormat="1"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121"/>
      <c r="AO491" s="129"/>
      <c r="AP491" s="129"/>
      <c r="AQ491" s="129"/>
      <c r="AR491" s="129"/>
      <c r="AS491" s="129"/>
      <c r="AT491" s="129"/>
    </row>
    <row r="492" spans="21:46" s="21" customFormat="1"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121"/>
      <c r="AO492" s="129"/>
      <c r="AP492" s="129"/>
      <c r="AQ492" s="129"/>
      <c r="AR492" s="129"/>
      <c r="AS492" s="129"/>
      <c r="AT492" s="129"/>
    </row>
    <row r="493" spans="21:46" s="21" customFormat="1"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121"/>
      <c r="AO493" s="129"/>
      <c r="AP493" s="129"/>
      <c r="AQ493" s="129"/>
      <c r="AR493" s="129"/>
      <c r="AS493" s="129"/>
      <c r="AT493" s="129"/>
    </row>
    <row r="494" spans="21:46" s="21" customFormat="1"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121"/>
      <c r="AO494" s="129"/>
      <c r="AP494" s="129"/>
      <c r="AQ494" s="129"/>
      <c r="AR494" s="129"/>
      <c r="AS494" s="129"/>
      <c r="AT494" s="129"/>
    </row>
    <row r="495" spans="21:46" s="21" customFormat="1"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121"/>
      <c r="AO495" s="129"/>
      <c r="AP495" s="129"/>
      <c r="AQ495" s="129"/>
      <c r="AR495" s="129"/>
      <c r="AS495" s="129"/>
      <c r="AT495" s="129"/>
    </row>
    <row r="496" spans="21:46" s="21" customFormat="1"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121"/>
      <c r="AO496" s="129"/>
      <c r="AP496" s="129"/>
      <c r="AQ496" s="129"/>
      <c r="AR496" s="129"/>
      <c r="AS496" s="129"/>
      <c r="AT496" s="129"/>
    </row>
    <row r="497" spans="21:46" s="21" customFormat="1"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121"/>
      <c r="AO497" s="129"/>
      <c r="AP497" s="129"/>
      <c r="AQ497" s="129"/>
      <c r="AR497" s="129"/>
      <c r="AS497" s="129"/>
      <c r="AT497" s="129"/>
    </row>
    <row r="498" spans="21:46" s="21" customFormat="1"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121"/>
      <c r="AO498" s="129"/>
      <c r="AP498" s="129"/>
      <c r="AQ498" s="129"/>
      <c r="AR498" s="129"/>
      <c r="AS498" s="129"/>
      <c r="AT498" s="129"/>
    </row>
    <row r="499" spans="21:46" s="21" customFormat="1"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121"/>
      <c r="AO499" s="129"/>
      <c r="AP499" s="129"/>
      <c r="AQ499" s="129"/>
      <c r="AR499" s="129"/>
      <c r="AS499" s="129"/>
      <c r="AT499" s="129"/>
    </row>
    <row r="500" spans="21:46" s="21" customFormat="1"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121"/>
      <c r="AO500" s="129"/>
      <c r="AP500" s="129"/>
      <c r="AQ500" s="129"/>
      <c r="AR500" s="129"/>
      <c r="AS500" s="129"/>
      <c r="AT500" s="129"/>
    </row>
    <row r="501" spans="21:46" s="21" customFormat="1"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121"/>
      <c r="AO501" s="129"/>
      <c r="AP501" s="129"/>
      <c r="AQ501" s="129"/>
      <c r="AR501" s="129"/>
      <c r="AS501" s="129"/>
      <c r="AT501" s="129"/>
    </row>
    <row r="502" spans="21:46" s="21" customFormat="1"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121"/>
      <c r="AO502" s="129"/>
      <c r="AP502" s="129"/>
      <c r="AQ502" s="129"/>
      <c r="AR502" s="129"/>
      <c r="AS502" s="129"/>
      <c r="AT502" s="129"/>
    </row>
    <row r="503" spans="21:46" s="21" customFormat="1"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121"/>
      <c r="AO503" s="129"/>
      <c r="AP503" s="129"/>
      <c r="AQ503" s="129"/>
      <c r="AR503" s="129"/>
      <c r="AS503" s="129"/>
      <c r="AT503" s="129"/>
    </row>
    <row r="504" spans="21:46" s="21" customFormat="1"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121"/>
      <c r="AO504" s="129"/>
      <c r="AP504" s="129"/>
      <c r="AQ504" s="129"/>
      <c r="AR504" s="129"/>
      <c r="AS504" s="129"/>
      <c r="AT504" s="129"/>
    </row>
    <row r="505" spans="21:46" s="21" customFormat="1"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121"/>
      <c r="AO505" s="129"/>
      <c r="AP505" s="129"/>
      <c r="AQ505" s="129"/>
      <c r="AR505" s="129"/>
      <c r="AS505" s="129"/>
      <c r="AT505" s="129"/>
    </row>
    <row r="506" spans="21:46" s="21" customFormat="1"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121"/>
      <c r="AO506" s="129"/>
      <c r="AP506" s="129"/>
      <c r="AQ506" s="129"/>
      <c r="AR506" s="129"/>
      <c r="AS506" s="129"/>
      <c r="AT506" s="129"/>
    </row>
    <row r="507" spans="21:46" s="21" customFormat="1"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121"/>
      <c r="AO507" s="129"/>
      <c r="AP507" s="129"/>
      <c r="AQ507" s="129"/>
      <c r="AR507" s="129"/>
      <c r="AS507" s="129"/>
      <c r="AT507" s="129"/>
    </row>
    <row r="508" spans="21:46" s="21" customFormat="1"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121"/>
      <c r="AO508" s="129"/>
      <c r="AP508" s="129"/>
      <c r="AQ508" s="129"/>
      <c r="AR508" s="129"/>
      <c r="AS508" s="129"/>
      <c r="AT508" s="129"/>
    </row>
    <row r="509" spans="21:46" s="21" customFormat="1"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121"/>
      <c r="AO509" s="129"/>
      <c r="AP509" s="129"/>
      <c r="AQ509" s="129"/>
      <c r="AR509" s="129"/>
      <c r="AS509" s="129"/>
      <c r="AT509" s="129"/>
    </row>
    <row r="510" spans="21:46" s="21" customFormat="1"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121"/>
      <c r="AO510" s="129"/>
      <c r="AP510" s="129"/>
      <c r="AQ510" s="129"/>
      <c r="AR510" s="129"/>
      <c r="AS510" s="129"/>
      <c r="AT510" s="129"/>
    </row>
    <row r="511" spans="21:46" s="21" customFormat="1"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121"/>
      <c r="AO511" s="129"/>
      <c r="AP511" s="129"/>
      <c r="AQ511" s="129"/>
      <c r="AR511" s="129"/>
      <c r="AS511" s="129"/>
      <c r="AT511" s="129"/>
    </row>
    <row r="512" spans="21:46" s="21" customFormat="1"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121"/>
      <c r="AO512" s="129"/>
      <c r="AP512" s="129"/>
      <c r="AQ512" s="129"/>
      <c r="AR512" s="129"/>
      <c r="AS512" s="129"/>
      <c r="AT512" s="129"/>
    </row>
    <row r="513" spans="21:46" s="21" customFormat="1"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121"/>
      <c r="AO513" s="129"/>
      <c r="AP513" s="129"/>
      <c r="AQ513" s="129"/>
      <c r="AR513" s="129"/>
      <c r="AS513" s="129"/>
      <c r="AT513" s="129"/>
    </row>
    <row r="514" spans="21:46" s="21" customFormat="1"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121"/>
      <c r="AO514" s="129"/>
      <c r="AP514" s="129"/>
      <c r="AQ514" s="129"/>
      <c r="AR514" s="129"/>
      <c r="AS514" s="129"/>
      <c r="AT514" s="129"/>
    </row>
    <row r="515" spans="21:46" s="21" customFormat="1"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121"/>
      <c r="AO515" s="129"/>
      <c r="AP515" s="129"/>
      <c r="AQ515" s="129"/>
      <c r="AR515" s="129"/>
      <c r="AS515" s="129"/>
      <c r="AT515" s="129"/>
    </row>
    <row r="516" spans="21:46" s="21" customFormat="1"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121"/>
      <c r="AO516" s="129"/>
      <c r="AP516" s="129"/>
      <c r="AQ516" s="129"/>
      <c r="AR516" s="129"/>
      <c r="AS516" s="129"/>
      <c r="AT516" s="129"/>
    </row>
    <row r="517" spans="21:46" s="21" customFormat="1"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121"/>
      <c r="AO517" s="129"/>
      <c r="AP517" s="129"/>
      <c r="AQ517" s="129"/>
      <c r="AR517" s="129"/>
      <c r="AS517" s="129"/>
      <c r="AT517" s="129"/>
    </row>
    <row r="518" spans="21:46" s="21" customFormat="1"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121"/>
      <c r="AO518" s="129"/>
      <c r="AP518" s="129"/>
      <c r="AQ518" s="129"/>
      <c r="AR518" s="129"/>
      <c r="AS518" s="129"/>
      <c r="AT518" s="129"/>
    </row>
    <row r="519" spans="21:46" s="21" customFormat="1"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121"/>
      <c r="AO519" s="129"/>
      <c r="AP519" s="129"/>
      <c r="AQ519" s="129"/>
      <c r="AR519" s="129"/>
      <c r="AS519" s="129"/>
      <c r="AT519" s="129"/>
    </row>
    <row r="520" spans="21:46" s="21" customFormat="1"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121"/>
      <c r="AO520" s="129"/>
      <c r="AP520" s="129"/>
      <c r="AQ520" s="129"/>
      <c r="AR520" s="129"/>
      <c r="AS520" s="129"/>
      <c r="AT520" s="129"/>
    </row>
    <row r="521" spans="21:46" s="21" customFormat="1"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121"/>
      <c r="AO521" s="129"/>
      <c r="AP521" s="129"/>
      <c r="AQ521" s="129"/>
      <c r="AR521" s="129"/>
      <c r="AS521" s="129"/>
      <c r="AT521" s="129"/>
    </row>
    <row r="522" spans="21:46" s="21" customFormat="1"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121"/>
      <c r="AO522" s="129"/>
      <c r="AP522" s="129"/>
      <c r="AQ522" s="129"/>
      <c r="AR522" s="129"/>
      <c r="AS522" s="129"/>
      <c r="AT522" s="129"/>
    </row>
    <row r="523" spans="21:46" s="21" customFormat="1"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121"/>
      <c r="AO523" s="129"/>
      <c r="AP523" s="129"/>
      <c r="AQ523" s="129"/>
      <c r="AR523" s="129"/>
      <c r="AS523" s="129"/>
      <c r="AT523" s="129"/>
    </row>
    <row r="524" spans="21:46" s="21" customFormat="1"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121"/>
      <c r="AO524" s="129"/>
      <c r="AP524" s="129"/>
      <c r="AQ524" s="129"/>
      <c r="AR524" s="129"/>
      <c r="AS524" s="129"/>
      <c r="AT524" s="129"/>
    </row>
    <row r="525" spans="21:46" s="21" customFormat="1"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121"/>
      <c r="AO525" s="129"/>
      <c r="AP525" s="129"/>
      <c r="AQ525" s="129"/>
      <c r="AR525" s="129"/>
      <c r="AS525" s="129"/>
      <c r="AT525" s="129"/>
    </row>
    <row r="526" spans="21:46" s="21" customFormat="1"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121"/>
      <c r="AO526" s="129"/>
      <c r="AP526" s="129"/>
      <c r="AQ526" s="129"/>
      <c r="AR526" s="129"/>
      <c r="AS526" s="129"/>
      <c r="AT526" s="129"/>
    </row>
    <row r="527" spans="21:46" s="21" customFormat="1"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121"/>
      <c r="AO527" s="129"/>
      <c r="AP527" s="129"/>
      <c r="AQ527" s="129"/>
      <c r="AR527" s="129"/>
      <c r="AS527" s="129"/>
      <c r="AT527" s="129"/>
    </row>
    <row r="528" spans="21:46" s="21" customFormat="1"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121"/>
      <c r="AO528" s="129"/>
      <c r="AP528" s="129"/>
      <c r="AQ528" s="129"/>
      <c r="AR528" s="129"/>
      <c r="AS528" s="129"/>
      <c r="AT528" s="129"/>
    </row>
    <row r="529" spans="21:46" s="21" customFormat="1"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121"/>
      <c r="AO529" s="129"/>
      <c r="AP529" s="129"/>
      <c r="AQ529" s="129"/>
      <c r="AR529" s="129"/>
      <c r="AS529" s="129"/>
      <c r="AT529" s="129"/>
    </row>
    <row r="530" spans="21:46" s="21" customFormat="1"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121"/>
      <c r="AO530" s="129"/>
      <c r="AP530" s="129"/>
      <c r="AQ530" s="129"/>
      <c r="AR530" s="129"/>
      <c r="AS530" s="129"/>
      <c r="AT530" s="129"/>
    </row>
    <row r="531" spans="21:46" s="21" customFormat="1"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121"/>
      <c r="AO531" s="129"/>
      <c r="AP531" s="129"/>
      <c r="AQ531" s="129"/>
      <c r="AR531" s="129"/>
      <c r="AS531" s="129"/>
      <c r="AT531" s="129"/>
    </row>
    <row r="532" spans="21:46" s="21" customFormat="1"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121"/>
      <c r="AO532" s="129"/>
      <c r="AP532" s="129"/>
      <c r="AQ532" s="129"/>
      <c r="AR532" s="129"/>
      <c r="AS532" s="129"/>
      <c r="AT532" s="129"/>
    </row>
    <row r="533" spans="21:46" s="21" customFormat="1"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121"/>
      <c r="AO533" s="129"/>
      <c r="AP533" s="129"/>
      <c r="AQ533" s="129"/>
      <c r="AR533" s="129"/>
      <c r="AS533" s="129"/>
      <c r="AT533" s="129"/>
    </row>
    <row r="534" spans="21:46" s="21" customFormat="1"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121"/>
      <c r="AO534" s="129"/>
      <c r="AP534" s="129"/>
      <c r="AQ534" s="129"/>
      <c r="AR534" s="129"/>
      <c r="AS534" s="129"/>
      <c r="AT534" s="129"/>
    </row>
    <row r="535" spans="21:46" s="21" customFormat="1"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121"/>
      <c r="AO535" s="129"/>
      <c r="AP535" s="129"/>
      <c r="AQ535" s="129"/>
      <c r="AR535" s="129"/>
      <c r="AS535" s="129"/>
      <c r="AT535" s="129"/>
    </row>
    <row r="536" spans="21:46" s="21" customFormat="1"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121"/>
      <c r="AO536" s="129"/>
      <c r="AP536" s="129"/>
      <c r="AQ536" s="129"/>
      <c r="AR536" s="129"/>
      <c r="AS536" s="129"/>
      <c r="AT536" s="129"/>
    </row>
    <row r="537" spans="21:46" s="21" customFormat="1"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121"/>
      <c r="AO537" s="129"/>
      <c r="AP537" s="129"/>
      <c r="AQ537" s="129"/>
      <c r="AR537" s="129"/>
      <c r="AS537" s="129"/>
      <c r="AT537" s="129"/>
    </row>
    <row r="538" spans="21:46" s="21" customFormat="1"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121"/>
      <c r="AO538" s="129"/>
      <c r="AP538" s="129"/>
      <c r="AQ538" s="129"/>
      <c r="AR538" s="129"/>
      <c r="AS538" s="129"/>
      <c r="AT538" s="129"/>
    </row>
    <row r="539" spans="21:46" s="21" customFormat="1"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121"/>
      <c r="AO539" s="129"/>
      <c r="AP539" s="129"/>
      <c r="AQ539" s="129"/>
      <c r="AR539" s="129"/>
      <c r="AS539" s="129"/>
      <c r="AT539" s="129"/>
    </row>
    <row r="540" spans="21:46" s="21" customFormat="1"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121"/>
      <c r="AO540" s="129"/>
      <c r="AP540" s="129"/>
      <c r="AQ540" s="129"/>
      <c r="AR540" s="129"/>
      <c r="AS540" s="129"/>
      <c r="AT540" s="129"/>
    </row>
    <row r="541" spans="21:46" s="21" customFormat="1"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121"/>
      <c r="AO541" s="129"/>
      <c r="AP541" s="129"/>
      <c r="AQ541" s="129"/>
      <c r="AR541" s="129"/>
      <c r="AS541" s="129"/>
      <c r="AT541" s="129"/>
    </row>
    <row r="542" spans="21:46" s="21" customFormat="1"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121"/>
      <c r="AO542" s="129"/>
      <c r="AP542" s="129"/>
      <c r="AQ542" s="129"/>
      <c r="AR542" s="129"/>
      <c r="AS542" s="129"/>
      <c r="AT542" s="129"/>
    </row>
    <row r="543" spans="21:46" s="21" customFormat="1"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121"/>
      <c r="AO543" s="129"/>
      <c r="AP543" s="129"/>
      <c r="AQ543" s="129"/>
      <c r="AR543" s="129"/>
      <c r="AS543" s="129"/>
      <c r="AT543" s="129"/>
    </row>
    <row r="544" spans="21:46" s="21" customFormat="1"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121"/>
      <c r="AO544" s="129"/>
      <c r="AP544" s="129"/>
      <c r="AQ544" s="129"/>
      <c r="AR544" s="129"/>
      <c r="AS544" s="129"/>
      <c r="AT544" s="129"/>
    </row>
    <row r="545" spans="21:46" s="21" customFormat="1"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121"/>
      <c r="AO545" s="129"/>
      <c r="AP545" s="129"/>
      <c r="AQ545" s="129"/>
      <c r="AR545" s="129"/>
      <c r="AS545" s="129"/>
      <c r="AT545" s="129"/>
    </row>
    <row r="546" spans="21:46" s="21" customFormat="1"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121"/>
      <c r="AO546" s="129"/>
      <c r="AP546" s="129"/>
      <c r="AQ546" s="129"/>
      <c r="AR546" s="129"/>
      <c r="AS546" s="129"/>
      <c r="AT546" s="129"/>
    </row>
    <row r="547" spans="21:46" s="21" customFormat="1"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121"/>
      <c r="AO547" s="129"/>
      <c r="AP547" s="129"/>
      <c r="AQ547" s="129"/>
      <c r="AR547" s="129"/>
      <c r="AS547" s="129"/>
      <c r="AT547" s="129"/>
    </row>
    <row r="548" spans="21:46" s="21" customFormat="1"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121"/>
      <c r="AO548" s="129"/>
      <c r="AP548" s="129"/>
      <c r="AQ548" s="129"/>
      <c r="AR548" s="129"/>
      <c r="AS548" s="129"/>
      <c r="AT548" s="129"/>
    </row>
    <row r="549" spans="21:46" s="21" customFormat="1"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121"/>
      <c r="AO549" s="129"/>
      <c r="AP549" s="129"/>
      <c r="AQ549" s="129"/>
      <c r="AR549" s="129"/>
      <c r="AS549" s="129"/>
      <c r="AT549" s="129"/>
    </row>
    <row r="550" spans="21:46" s="21" customFormat="1"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121"/>
      <c r="AO550" s="129"/>
      <c r="AP550" s="129"/>
      <c r="AQ550" s="129"/>
      <c r="AR550" s="129"/>
      <c r="AS550" s="129"/>
      <c r="AT550" s="129"/>
    </row>
    <row r="551" spans="21:46" s="21" customFormat="1"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121"/>
      <c r="AO551" s="129"/>
      <c r="AP551" s="129"/>
      <c r="AQ551" s="129"/>
      <c r="AR551" s="129"/>
      <c r="AS551" s="129"/>
      <c r="AT551" s="129"/>
    </row>
    <row r="552" spans="21:46" s="21" customFormat="1"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121"/>
      <c r="AO552" s="129"/>
      <c r="AP552" s="129"/>
      <c r="AQ552" s="129"/>
      <c r="AR552" s="129"/>
      <c r="AS552" s="129"/>
      <c r="AT552" s="129"/>
    </row>
    <row r="553" spans="21:46" s="21" customFormat="1"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121"/>
      <c r="AO553" s="129"/>
      <c r="AP553" s="129"/>
      <c r="AQ553" s="129"/>
      <c r="AR553" s="129"/>
      <c r="AS553" s="129"/>
      <c r="AT553" s="129"/>
    </row>
    <row r="554" spans="21:46" s="21" customFormat="1"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121"/>
      <c r="AO554" s="129"/>
      <c r="AP554" s="129"/>
      <c r="AQ554" s="129"/>
      <c r="AR554" s="129"/>
      <c r="AS554" s="129"/>
      <c r="AT554" s="129"/>
    </row>
    <row r="555" spans="21:46" s="21" customFormat="1"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121"/>
      <c r="AO555" s="129"/>
      <c r="AP555" s="129"/>
      <c r="AQ555" s="129"/>
      <c r="AR555" s="129"/>
      <c r="AS555" s="129"/>
      <c r="AT555" s="129"/>
    </row>
    <row r="556" spans="21:46" s="21" customFormat="1"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121"/>
      <c r="AO556" s="129"/>
      <c r="AP556" s="129"/>
      <c r="AQ556" s="129"/>
      <c r="AR556" s="129"/>
      <c r="AS556" s="129"/>
      <c r="AT556" s="129"/>
    </row>
    <row r="557" spans="21:46" s="21" customFormat="1"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121"/>
      <c r="AO557" s="129"/>
      <c r="AP557" s="129"/>
      <c r="AQ557" s="129"/>
      <c r="AR557" s="129"/>
      <c r="AS557" s="129"/>
      <c r="AT557" s="129"/>
    </row>
    <row r="558" spans="21:46" s="21" customFormat="1"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121"/>
      <c r="AO558" s="129"/>
      <c r="AP558" s="129"/>
      <c r="AQ558" s="129"/>
      <c r="AR558" s="129"/>
      <c r="AS558" s="129"/>
      <c r="AT558" s="129"/>
    </row>
    <row r="559" spans="21:46" s="21" customFormat="1"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121"/>
      <c r="AO559" s="129"/>
      <c r="AP559" s="129"/>
      <c r="AQ559" s="129"/>
      <c r="AR559" s="129"/>
      <c r="AS559" s="129"/>
      <c r="AT559" s="129"/>
    </row>
    <row r="560" spans="21:46" s="21" customFormat="1"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121"/>
      <c r="AO560" s="129"/>
      <c r="AP560" s="129"/>
      <c r="AQ560" s="129"/>
      <c r="AR560" s="129"/>
      <c r="AS560" s="129"/>
      <c r="AT560" s="129"/>
    </row>
    <row r="561" spans="21:46" s="21" customFormat="1"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121"/>
      <c r="AO561" s="129"/>
      <c r="AP561" s="129"/>
      <c r="AQ561" s="129"/>
      <c r="AR561" s="129"/>
      <c r="AS561" s="129"/>
      <c r="AT561" s="129"/>
    </row>
    <row r="562" spans="21:46" s="21" customFormat="1"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121"/>
      <c r="AO562" s="129"/>
      <c r="AP562" s="129"/>
      <c r="AQ562" s="129"/>
      <c r="AR562" s="129"/>
      <c r="AS562" s="129"/>
      <c r="AT562" s="129"/>
    </row>
    <row r="563" spans="21:46" s="21" customFormat="1"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121"/>
      <c r="AO563" s="129"/>
      <c r="AP563" s="129"/>
      <c r="AQ563" s="129"/>
      <c r="AR563" s="129"/>
      <c r="AS563" s="129"/>
      <c r="AT563" s="129"/>
    </row>
    <row r="564" spans="21:46" s="21" customFormat="1"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121"/>
      <c r="AO564" s="129"/>
      <c r="AP564" s="129"/>
      <c r="AQ564" s="129"/>
      <c r="AR564" s="129"/>
      <c r="AS564" s="129"/>
      <c r="AT564" s="129"/>
    </row>
    <row r="565" spans="21:46" s="21" customFormat="1"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121"/>
      <c r="AO565" s="129"/>
      <c r="AP565" s="129"/>
      <c r="AQ565" s="129"/>
      <c r="AR565" s="129"/>
      <c r="AS565" s="129"/>
      <c r="AT565" s="129"/>
    </row>
    <row r="566" spans="21:46" s="21" customFormat="1"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121"/>
      <c r="AO566" s="129"/>
      <c r="AP566" s="129"/>
      <c r="AQ566" s="129"/>
      <c r="AR566" s="129"/>
      <c r="AS566" s="129"/>
      <c r="AT566" s="129"/>
    </row>
    <row r="567" spans="21:46" s="21" customFormat="1"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121"/>
      <c r="AO567" s="129"/>
      <c r="AP567" s="129"/>
      <c r="AQ567" s="129"/>
      <c r="AR567" s="129"/>
      <c r="AS567" s="129"/>
      <c r="AT567" s="129"/>
    </row>
    <row r="568" spans="21:46" s="21" customFormat="1"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121"/>
      <c r="AO568" s="129"/>
      <c r="AP568" s="129"/>
      <c r="AQ568" s="129"/>
      <c r="AR568" s="129"/>
      <c r="AS568" s="129"/>
      <c r="AT568" s="129"/>
    </row>
    <row r="569" spans="21:46" s="21" customFormat="1"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121"/>
      <c r="AO569" s="129"/>
      <c r="AP569" s="129"/>
      <c r="AQ569" s="129"/>
      <c r="AR569" s="129"/>
      <c r="AS569" s="129"/>
      <c r="AT569" s="129"/>
    </row>
    <row r="570" spans="21:46" s="21" customFormat="1"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121"/>
      <c r="AO570" s="129"/>
      <c r="AP570" s="129"/>
      <c r="AQ570" s="129"/>
      <c r="AR570" s="129"/>
      <c r="AS570" s="129"/>
      <c r="AT570" s="129"/>
    </row>
    <row r="571" spans="21:46" s="21" customFormat="1"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121"/>
      <c r="AO571" s="129"/>
      <c r="AP571" s="129"/>
      <c r="AQ571" s="129"/>
      <c r="AR571" s="129"/>
      <c r="AS571" s="129"/>
      <c r="AT571" s="129"/>
    </row>
    <row r="572" spans="21:46" s="21" customFormat="1"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121"/>
      <c r="AO572" s="129"/>
      <c r="AP572" s="129"/>
      <c r="AQ572" s="129"/>
      <c r="AR572" s="129"/>
      <c r="AS572" s="129"/>
      <c r="AT572" s="129"/>
    </row>
    <row r="573" spans="21:46" s="21" customFormat="1"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121"/>
      <c r="AO573" s="129"/>
      <c r="AP573" s="129"/>
      <c r="AQ573" s="129"/>
      <c r="AR573" s="129"/>
      <c r="AS573" s="129"/>
      <c r="AT573" s="129"/>
    </row>
    <row r="574" spans="21:46" s="21" customFormat="1"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121"/>
      <c r="AO574" s="129"/>
      <c r="AP574" s="129"/>
      <c r="AQ574" s="129"/>
      <c r="AR574" s="129"/>
      <c r="AS574" s="129"/>
      <c r="AT574" s="129"/>
    </row>
    <row r="575" spans="21:46" s="21" customFormat="1"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121"/>
      <c r="AO575" s="129"/>
      <c r="AP575" s="129"/>
      <c r="AQ575" s="129"/>
      <c r="AR575" s="129"/>
      <c r="AS575" s="129"/>
      <c r="AT575" s="129"/>
    </row>
    <row r="576" spans="21:46" s="21" customFormat="1"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121"/>
      <c r="AO576" s="129"/>
      <c r="AP576" s="129"/>
      <c r="AQ576" s="129"/>
      <c r="AR576" s="129"/>
      <c r="AS576" s="129"/>
      <c r="AT576" s="129"/>
    </row>
    <row r="577" spans="21:46" s="21" customFormat="1"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121"/>
      <c r="AO577" s="129"/>
      <c r="AP577" s="129"/>
      <c r="AQ577" s="129"/>
      <c r="AR577" s="129"/>
      <c r="AS577" s="129"/>
      <c r="AT577" s="129"/>
    </row>
    <row r="578" spans="21:46" s="21" customFormat="1"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121"/>
      <c r="AO578" s="129"/>
      <c r="AP578" s="129"/>
      <c r="AQ578" s="129"/>
      <c r="AR578" s="129"/>
      <c r="AS578" s="129"/>
      <c r="AT578" s="129"/>
    </row>
    <row r="579" spans="21:46" s="21" customFormat="1"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121"/>
      <c r="AO579" s="129"/>
      <c r="AP579" s="129"/>
      <c r="AQ579" s="129"/>
      <c r="AR579" s="129"/>
      <c r="AS579" s="129"/>
      <c r="AT579" s="129"/>
    </row>
    <row r="580" spans="21:46" s="21" customFormat="1"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121"/>
      <c r="AO580" s="129"/>
      <c r="AP580" s="129"/>
      <c r="AQ580" s="129"/>
      <c r="AR580" s="129"/>
      <c r="AS580" s="129"/>
      <c r="AT580" s="129"/>
    </row>
    <row r="581" spans="21:46" s="21" customFormat="1"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121"/>
      <c r="AO581" s="129"/>
      <c r="AP581" s="129"/>
      <c r="AQ581" s="129"/>
      <c r="AR581" s="129"/>
      <c r="AS581" s="129"/>
      <c r="AT581" s="129"/>
    </row>
    <row r="582" spans="21:46" s="21" customFormat="1"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121"/>
      <c r="AO582" s="129"/>
      <c r="AP582" s="129"/>
      <c r="AQ582" s="129"/>
      <c r="AR582" s="129"/>
      <c r="AS582" s="129"/>
      <c r="AT582" s="129"/>
    </row>
    <row r="583" spans="21:46" s="21" customFormat="1"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121"/>
      <c r="AO583" s="129"/>
      <c r="AP583" s="129"/>
      <c r="AQ583" s="129"/>
      <c r="AR583" s="129"/>
      <c r="AS583" s="129"/>
      <c r="AT583" s="129"/>
    </row>
    <row r="584" spans="21:46" s="21" customFormat="1"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121"/>
      <c r="AO584" s="129"/>
      <c r="AP584" s="129"/>
      <c r="AQ584" s="129"/>
      <c r="AR584" s="129"/>
      <c r="AS584" s="129"/>
      <c r="AT584" s="129"/>
    </row>
    <row r="585" spans="21:46" s="21" customFormat="1"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121"/>
      <c r="AO585" s="129"/>
      <c r="AP585" s="129"/>
      <c r="AQ585" s="129"/>
      <c r="AR585" s="129"/>
      <c r="AS585" s="129"/>
      <c r="AT585" s="129"/>
    </row>
    <row r="586" spans="21:46" s="21" customFormat="1"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121"/>
      <c r="AO586" s="129"/>
      <c r="AP586" s="129"/>
      <c r="AQ586" s="129"/>
      <c r="AR586" s="129"/>
      <c r="AS586" s="129"/>
      <c r="AT586" s="129"/>
    </row>
    <row r="587" spans="21:46" s="21" customFormat="1"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121"/>
      <c r="AO587" s="129"/>
      <c r="AP587" s="129"/>
      <c r="AQ587" s="129"/>
      <c r="AR587" s="129"/>
      <c r="AS587" s="129"/>
      <c r="AT587" s="129"/>
    </row>
    <row r="588" spans="21:46" s="21" customFormat="1"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121"/>
      <c r="AO588" s="129"/>
      <c r="AP588" s="129"/>
      <c r="AQ588" s="129"/>
      <c r="AR588" s="129"/>
      <c r="AS588" s="129"/>
      <c r="AT588" s="129"/>
    </row>
    <row r="589" spans="21:46" s="21" customFormat="1"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121"/>
      <c r="AO589" s="129"/>
      <c r="AP589" s="129"/>
      <c r="AQ589" s="129"/>
      <c r="AR589" s="129"/>
      <c r="AS589" s="129"/>
      <c r="AT589" s="129"/>
    </row>
    <row r="590" spans="21:46" s="21" customFormat="1"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121"/>
      <c r="AO590" s="129"/>
      <c r="AP590" s="129"/>
      <c r="AQ590" s="129"/>
      <c r="AR590" s="129"/>
      <c r="AS590" s="129"/>
      <c r="AT590" s="129"/>
    </row>
    <row r="591" spans="21:46" s="21" customFormat="1"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121"/>
      <c r="AO591" s="129"/>
      <c r="AP591" s="129"/>
      <c r="AQ591" s="129"/>
      <c r="AR591" s="129"/>
      <c r="AS591" s="129"/>
      <c r="AT591" s="129"/>
    </row>
    <row r="592" spans="21:46" s="21" customFormat="1"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121"/>
      <c r="AO592" s="129"/>
      <c r="AP592" s="129"/>
      <c r="AQ592" s="129"/>
      <c r="AR592" s="129"/>
      <c r="AS592" s="129"/>
      <c r="AT592" s="129"/>
    </row>
    <row r="593" spans="21:46" s="21" customFormat="1"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121"/>
      <c r="AO593" s="129"/>
      <c r="AP593" s="129"/>
      <c r="AQ593" s="129"/>
      <c r="AR593" s="129"/>
      <c r="AS593" s="129"/>
      <c r="AT593" s="129"/>
    </row>
    <row r="594" spans="21:46" s="21" customFormat="1"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121"/>
      <c r="AO594" s="129"/>
      <c r="AP594" s="129"/>
      <c r="AQ594" s="129"/>
      <c r="AR594" s="129"/>
      <c r="AS594" s="129"/>
      <c r="AT594" s="129"/>
    </row>
    <row r="595" spans="21:46" s="21" customFormat="1"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121"/>
      <c r="AO595" s="129"/>
      <c r="AP595" s="129"/>
      <c r="AQ595" s="129"/>
      <c r="AR595" s="129"/>
      <c r="AS595" s="129"/>
      <c r="AT595" s="129"/>
    </row>
    <row r="596" spans="21:46" s="21" customFormat="1"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121"/>
      <c r="AO596" s="129"/>
      <c r="AP596" s="129"/>
      <c r="AQ596" s="129"/>
      <c r="AR596" s="129"/>
      <c r="AS596" s="129"/>
      <c r="AT596" s="129"/>
    </row>
    <row r="597" spans="21:46" s="21" customFormat="1"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121"/>
      <c r="AO597" s="129"/>
      <c r="AP597" s="129"/>
      <c r="AQ597" s="129"/>
      <c r="AR597" s="129"/>
      <c r="AS597" s="129"/>
      <c r="AT597" s="129"/>
    </row>
    <row r="598" spans="21:46" s="21" customFormat="1"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121"/>
      <c r="AO598" s="129"/>
      <c r="AP598" s="129"/>
      <c r="AQ598" s="129"/>
      <c r="AR598" s="129"/>
      <c r="AS598" s="129"/>
      <c r="AT598" s="129"/>
    </row>
    <row r="599" spans="21:46" s="21" customFormat="1"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121"/>
      <c r="AO599" s="129"/>
      <c r="AP599" s="129"/>
      <c r="AQ599" s="129"/>
      <c r="AR599" s="129"/>
      <c r="AS599" s="129"/>
      <c r="AT599" s="129"/>
    </row>
    <row r="600" spans="21:46" s="21" customFormat="1"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121"/>
      <c r="AO600" s="129"/>
      <c r="AP600" s="129"/>
      <c r="AQ600" s="129"/>
      <c r="AR600" s="129"/>
      <c r="AS600" s="129"/>
      <c r="AT600" s="129"/>
    </row>
    <row r="601" spans="21:46" s="21" customFormat="1"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121"/>
      <c r="AO601" s="129"/>
      <c r="AP601" s="129"/>
      <c r="AQ601" s="129"/>
      <c r="AR601" s="129"/>
      <c r="AS601" s="129"/>
      <c r="AT601" s="129"/>
    </row>
    <row r="602" spans="21:46" s="21" customFormat="1"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121"/>
      <c r="AO602" s="129"/>
      <c r="AP602" s="129"/>
      <c r="AQ602" s="129"/>
      <c r="AR602" s="129"/>
      <c r="AS602" s="129"/>
      <c r="AT602" s="129"/>
    </row>
    <row r="603" spans="21:46" s="21" customFormat="1"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121"/>
      <c r="AO603" s="129"/>
      <c r="AP603" s="129"/>
      <c r="AQ603" s="129"/>
      <c r="AR603" s="129"/>
      <c r="AS603" s="129"/>
      <c r="AT603" s="129"/>
    </row>
    <row r="604" spans="21:46" s="21" customFormat="1"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121"/>
      <c r="AO604" s="129"/>
      <c r="AP604" s="129"/>
      <c r="AQ604" s="129"/>
      <c r="AR604" s="129"/>
      <c r="AS604" s="129"/>
      <c r="AT604" s="129"/>
    </row>
    <row r="605" spans="21:46" s="21" customFormat="1"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121"/>
      <c r="AO605" s="129"/>
      <c r="AP605" s="129"/>
      <c r="AQ605" s="129"/>
      <c r="AR605" s="129"/>
      <c r="AS605" s="129"/>
      <c r="AT605" s="129"/>
    </row>
    <row r="606" spans="21:46" s="21" customFormat="1"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121"/>
      <c r="AO606" s="129"/>
      <c r="AP606" s="129"/>
      <c r="AQ606" s="129"/>
      <c r="AR606" s="129"/>
      <c r="AS606" s="129"/>
      <c r="AT606" s="129"/>
    </row>
    <row r="607" spans="21:46" s="21" customFormat="1"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121"/>
      <c r="AO607" s="129"/>
      <c r="AP607" s="129"/>
      <c r="AQ607" s="129"/>
      <c r="AR607" s="129"/>
      <c r="AS607" s="129"/>
      <c r="AT607" s="129"/>
    </row>
    <row r="608" spans="21:46" s="21" customFormat="1"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121"/>
      <c r="AO608" s="129"/>
      <c r="AP608" s="129"/>
      <c r="AQ608" s="129"/>
      <c r="AR608" s="129"/>
      <c r="AS608" s="129"/>
      <c r="AT608" s="129"/>
    </row>
    <row r="609" spans="21:46" s="21" customFormat="1"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121"/>
      <c r="AO609" s="129"/>
      <c r="AP609" s="129"/>
      <c r="AQ609" s="129"/>
      <c r="AR609" s="129"/>
      <c r="AS609" s="129"/>
      <c r="AT609" s="129"/>
    </row>
    <row r="610" spans="21:46" s="21" customFormat="1"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121"/>
      <c r="AO610" s="129"/>
      <c r="AP610" s="129"/>
      <c r="AQ610" s="129"/>
      <c r="AR610" s="129"/>
      <c r="AS610" s="129"/>
      <c r="AT610" s="129"/>
    </row>
    <row r="611" spans="21:46" s="21" customFormat="1"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121"/>
      <c r="AO611" s="129"/>
      <c r="AP611" s="129"/>
      <c r="AQ611" s="129"/>
      <c r="AR611" s="129"/>
      <c r="AS611" s="129"/>
      <c r="AT611" s="129"/>
    </row>
    <row r="612" spans="21:46" s="21" customFormat="1"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121"/>
      <c r="AO612" s="129"/>
      <c r="AP612" s="129"/>
      <c r="AQ612" s="129"/>
      <c r="AR612" s="129"/>
      <c r="AS612" s="129"/>
      <c r="AT612" s="129"/>
    </row>
    <row r="613" spans="21:46" s="21" customFormat="1"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121"/>
      <c r="AO613" s="129"/>
      <c r="AP613" s="129"/>
      <c r="AQ613" s="129"/>
      <c r="AR613" s="129"/>
      <c r="AS613" s="129"/>
      <c r="AT613" s="129"/>
    </row>
    <row r="614" spans="21:46" s="21" customFormat="1"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121"/>
      <c r="AO614" s="129"/>
      <c r="AP614" s="129"/>
      <c r="AQ614" s="129"/>
      <c r="AR614" s="129"/>
      <c r="AS614" s="129"/>
      <c r="AT614" s="129"/>
    </row>
    <row r="615" spans="21:46" s="21" customFormat="1"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121"/>
      <c r="AO615" s="129"/>
      <c r="AP615" s="129"/>
      <c r="AQ615" s="129"/>
      <c r="AR615" s="129"/>
      <c r="AS615" s="129"/>
      <c r="AT615" s="129"/>
    </row>
    <row r="616" spans="21:46" s="21" customFormat="1"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121"/>
      <c r="AO616" s="129"/>
      <c r="AP616" s="129"/>
      <c r="AQ616" s="129"/>
      <c r="AR616" s="129"/>
      <c r="AS616" s="129"/>
      <c r="AT616" s="129"/>
    </row>
    <row r="617" spans="21:46" s="21" customFormat="1"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121"/>
      <c r="AO617" s="129"/>
      <c r="AP617" s="129"/>
      <c r="AQ617" s="129"/>
      <c r="AR617" s="129"/>
      <c r="AS617" s="129"/>
      <c r="AT617" s="129"/>
    </row>
    <row r="618" spans="21:46" s="21" customFormat="1"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121"/>
      <c r="AO618" s="129"/>
      <c r="AP618" s="129"/>
      <c r="AQ618" s="129"/>
      <c r="AR618" s="129"/>
      <c r="AS618" s="129"/>
      <c r="AT618" s="129"/>
    </row>
    <row r="619" spans="21:46" s="21" customFormat="1"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121"/>
      <c r="AO619" s="129"/>
      <c r="AP619" s="129"/>
      <c r="AQ619" s="129"/>
      <c r="AR619" s="129"/>
      <c r="AS619" s="129"/>
      <c r="AT619" s="129"/>
    </row>
    <row r="620" spans="21:46" s="21" customFormat="1"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121"/>
      <c r="AO620" s="129"/>
      <c r="AP620" s="129"/>
      <c r="AQ620" s="129"/>
      <c r="AR620" s="129"/>
      <c r="AS620" s="129"/>
      <c r="AT620" s="129"/>
    </row>
    <row r="621" spans="21:46" s="21" customFormat="1"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121"/>
      <c r="AO621" s="129"/>
      <c r="AP621" s="129"/>
      <c r="AQ621" s="129"/>
      <c r="AR621" s="129"/>
      <c r="AS621" s="129"/>
      <c r="AT621" s="129"/>
    </row>
    <row r="622" spans="21:46" s="21" customFormat="1"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121"/>
      <c r="AO622" s="129"/>
      <c r="AP622" s="129"/>
      <c r="AQ622" s="129"/>
      <c r="AR622" s="129"/>
      <c r="AS622" s="129"/>
      <c r="AT622" s="129"/>
    </row>
    <row r="623" spans="21:46" s="21" customFormat="1"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121"/>
      <c r="AO623" s="129"/>
      <c r="AP623" s="129"/>
      <c r="AQ623" s="129"/>
      <c r="AR623" s="129"/>
      <c r="AS623" s="129"/>
      <c r="AT623" s="129"/>
    </row>
    <row r="624" spans="21:46" s="21" customFormat="1"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121"/>
      <c r="AO624" s="129"/>
      <c r="AP624" s="129"/>
      <c r="AQ624" s="129"/>
      <c r="AR624" s="129"/>
      <c r="AS624" s="129"/>
      <c r="AT624" s="129"/>
    </row>
    <row r="625" spans="21:46" s="21" customFormat="1"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121"/>
      <c r="AO625" s="129"/>
      <c r="AP625" s="129"/>
      <c r="AQ625" s="129"/>
      <c r="AR625" s="129"/>
      <c r="AS625" s="129"/>
      <c r="AT625" s="129"/>
    </row>
    <row r="626" spans="21:46" s="21" customFormat="1"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121"/>
      <c r="AO626" s="129"/>
      <c r="AP626" s="129"/>
      <c r="AQ626" s="129"/>
      <c r="AR626" s="129"/>
      <c r="AS626" s="129"/>
      <c r="AT626" s="129"/>
    </row>
    <row r="627" spans="21:46" s="21" customFormat="1"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121"/>
      <c r="AO627" s="129"/>
      <c r="AP627" s="129"/>
      <c r="AQ627" s="129"/>
      <c r="AR627" s="129"/>
      <c r="AS627" s="129"/>
      <c r="AT627" s="129"/>
    </row>
    <row r="628" spans="21:46" s="21" customFormat="1"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121"/>
      <c r="AO628" s="129"/>
      <c r="AP628" s="129"/>
      <c r="AQ628" s="129"/>
      <c r="AR628" s="129"/>
      <c r="AS628" s="129"/>
      <c r="AT628" s="129"/>
    </row>
    <row r="629" spans="21:46" s="21" customFormat="1"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121"/>
      <c r="AO629" s="129"/>
      <c r="AP629" s="129"/>
      <c r="AQ629" s="129"/>
      <c r="AR629" s="129"/>
      <c r="AS629" s="129"/>
      <c r="AT629" s="129"/>
    </row>
    <row r="630" spans="21:46" s="21" customFormat="1"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121"/>
      <c r="AO630" s="129"/>
      <c r="AP630" s="129"/>
      <c r="AQ630" s="129"/>
      <c r="AR630" s="129"/>
      <c r="AS630" s="129"/>
      <c r="AT630" s="129"/>
    </row>
    <row r="631" spans="21:46" s="21" customFormat="1"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121"/>
      <c r="AO631" s="129"/>
      <c r="AP631" s="129"/>
      <c r="AQ631" s="129"/>
      <c r="AR631" s="129"/>
      <c r="AS631" s="129"/>
      <c r="AT631" s="129"/>
    </row>
    <row r="632" spans="21:46" s="21" customFormat="1"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121"/>
      <c r="AO632" s="129"/>
      <c r="AP632" s="129"/>
      <c r="AQ632" s="129"/>
      <c r="AR632" s="129"/>
      <c r="AS632" s="129"/>
      <c r="AT632" s="129"/>
    </row>
    <row r="633" spans="21:46" s="21" customFormat="1"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121"/>
      <c r="AO633" s="129"/>
      <c r="AP633" s="129"/>
      <c r="AQ633" s="129"/>
      <c r="AR633" s="129"/>
      <c r="AS633" s="129"/>
      <c r="AT633" s="129"/>
    </row>
    <row r="634" spans="21:46" s="21" customFormat="1"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121"/>
      <c r="AO634" s="129"/>
      <c r="AP634" s="129"/>
      <c r="AQ634" s="129"/>
      <c r="AR634" s="129"/>
      <c r="AS634" s="129"/>
      <c r="AT634" s="129"/>
    </row>
    <row r="635" spans="21:46" s="21" customFormat="1"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121"/>
      <c r="AO635" s="129"/>
      <c r="AP635" s="129"/>
      <c r="AQ635" s="129"/>
      <c r="AR635" s="129"/>
      <c r="AS635" s="129"/>
      <c r="AT635" s="129"/>
    </row>
    <row r="636" spans="21:46" s="21" customFormat="1"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121"/>
      <c r="AO636" s="129"/>
      <c r="AP636" s="129"/>
      <c r="AQ636" s="129"/>
      <c r="AR636" s="129"/>
      <c r="AS636" s="129"/>
      <c r="AT636" s="129"/>
    </row>
    <row r="637" spans="21:46" s="21" customFormat="1"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121"/>
      <c r="AO637" s="129"/>
      <c r="AP637" s="129"/>
      <c r="AQ637" s="129"/>
      <c r="AR637" s="129"/>
      <c r="AS637" s="129"/>
      <c r="AT637" s="129"/>
    </row>
    <row r="638" spans="21:46" s="21" customFormat="1"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121"/>
      <c r="AO638" s="129"/>
      <c r="AP638" s="129"/>
      <c r="AQ638" s="129"/>
      <c r="AR638" s="129"/>
      <c r="AS638" s="129"/>
      <c r="AT638" s="129"/>
    </row>
    <row r="639" spans="21:46" s="21" customFormat="1"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121"/>
      <c r="AO639" s="129"/>
      <c r="AP639" s="129"/>
      <c r="AQ639" s="129"/>
      <c r="AR639" s="129"/>
      <c r="AS639" s="129"/>
      <c r="AT639" s="129"/>
    </row>
    <row r="640" spans="21:46" s="21" customFormat="1"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121"/>
      <c r="AO640" s="129"/>
      <c r="AP640" s="129"/>
      <c r="AQ640" s="129"/>
      <c r="AR640" s="129"/>
      <c r="AS640" s="129"/>
      <c r="AT640" s="129"/>
    </row>
    <row r="641" spans="21:46" s="21" customFormat="1"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121"/>
      <c r="AO641" s="129"/>
      <c r="AP641" s="129"/>
      <c r="AQ641" s="129"/>
      <c r="AR641" s="129"/>
      <c r="AS641" s="129"/>
      <c r="AT641" s="129"/>
    </row>
    <row r="642" spans="21:46" s="21" customFormat="1"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121"/>
      <c r="AO642" s="129"/>
      <c r="AP642" s="129"/>
      <c r="AQ642" s="129"/>
      <c r="AR642" s="129"/>
      <c r="AS642" s="129"/>
      <c r="AT642" s="129"/>
    </row>
    <row r="643" spans="21:46" s="21" customFormat="1"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121"/>
      <c r="AO643" s="129"/>
      <c r="AP643" s="129"/>
      <c r="AQ643" s="129"/>
      <c r="AR643" s="129"/>
      <c r="AS643" s="129"/>
      <c r="AT643" s="129"/>
    </row>
    <row r="644" spans="21:46" s="21" customFormat="1"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121"/>
      <c r="AO644" s="129"/>
      <c r="AP644" s="129"/>
      <c r="AQ644" s="129"/>
      <c r="AR644" s="129"/>
      <c r="AS644" s="129"/>
      <c r="AT644" s="129"/>
    </row>
    <row r="645" spans="21:46" s="21" customFormat="1"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121"/>
      <c r="AO645" s="129"/>
      <c r="AP645" s="129"/>
      <c r="AQ645" s="129"/>
      <c r="AR645" s="129"/>
      <c r="AS645" s="129"/>
      <c r="AT645" s="129"/>
    </row>
    <row r="646" spans="21:46" s="21" customFormat="1"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121"/>
      <c r="AO646" s="129"/>
      <c r="AP646" s="129"/>
      <c r="AQ646" s="129"/>
      <c r="AR646" s="129"/>
      <c r="AS646" s="129"/>
      <c r="AT646" s="129"/>
    </row>
    <row r="647" spans="21:46" s="21" customFormat="1"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121"/>
      <c r="AO647" s="129"/>
      <c r="AP647" s="129"/>
      <c r="AQ647" s="129"/>
      <c r="AR647" s="129"/>
      <c r="AS647" s="129"/>
      <c r="AT647" s="129"/>
    </row>
    <row r="648" spans="21:46" s="21" customFormat="1"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121"/>
      <c r="AO648" s="129"/>
      <c r="AP648" s="129"/>
      <c r="AQ648" s="129"/>
      <c r="AR648" s="129"/>
      <c r="AS648" s="129"/>
      <c r="AT648" s="129"/>
    </row>
    <row r="649" spans="21:46" s="21" customFormat="1"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121"/>
      <c r="AO649" s="129"/>
      <c r="AP649" s="129"/>
      <c r="AQ649" s="129"/>
      <c r="AR649" s="129"/>
      <c r="AS649" s="129"/>
      <c r="AT649" s="129"/>
    </row>
    <row r="650" spans="21:46" s="21" customFormat="1"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121"/>
      <c r="AO650" s="129"/>
      <c r="AP650" s="129"/>
      <c r="AQ650" s="129"/>
      <c r="AR650" s="129"/>
      <c r="AS650" s="129"/>
      <c r="AT650" s="129"/>
    </row>
    <row r="651" spans="21:46" s="21" customFormat="1"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121"/>
      <c r="AO651" s="129"/>
      <c r="AP651" s="129"/>
      <c r="AQ651" s="129"/>
      <c r="AR651" s="129"/>
      <c r="AS651" s="129"/>
      <c r="AT651" s="129"/>
    </row>
    <row r="652" spans="21:46" s="21" customFormat="1"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121"/>
      <c r="AO652" s="129"/>
      <c r="AP652" s="129"/>
      <c r="AQ652" s="129"/>
      <c r="AR652" s="129"/>
      <c r="AS652" s="129"/>
      <c r="AT652" s="129"/>
    </row>
    <row r="653" spans="21:46" s="21" customFormat="1"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121"/>
      <c r="AO653" s="129"/>
      <c r="AP653" s="129"/>
      <c r="AQ653" s="129"/>
      <c r="AR653" s="129"/>
      <c r="AS653" s="129"/>
      <c r="AT653" s="129"/>
    </row>
    <row r="654" spans="21:46" s="21" customFormat="1"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121"/>
      <c r="AO654" s="129"/>
      <c r="AP654" s="129"/>
      <c r="AQ654" s="129"/>
      <c r="AR654" s="129"/>
      <c r="AS654" s="129"/>
      <c r="AT654" s="129"/>
    </row>
    <row r="655" spans="21:46" s="21" customFormat="1"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121"/>
      <c r="AO655" s="129"/>
      <c r="AP655" s="129"/>
      <c r="AQ655" s="129"/>
      <c r="AR655" s="129"/>
      <c r="AS655" s="129"/>
      <c r="AT655" s="129"/>
    </row>
    <row r="656" spans="21:46" s="21" customFormat="1"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121"/>
      <c r="AO656" s="129"/>
      <c r="AP656" s="129"/>
      <c r="AQ656" s="129"/>
      <c r="AR656" s="129"/>
      <c r="AS656" s="129"/>
      <c r="AT656" s="129"/>
    </row>
    <row r="657" spans="21:46" s="21" customFormat="1"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121"/>
      <c r="AO657" s="129"/>
      <c r="AP657" s="129"/>
      <c r="AQ657" s="129"/>
      <c r="AR657" s="129"/>
      <c r="AS657" s="129"/>
      <c r="AT657" s="129"/>
    </row>
    <row r="658" spans="21:46" s="21" customFormat="1"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121"/>
      <c r="AO658" s="129"/>
      <c r="AP658" s="129"/>
      <c r="AQ658" s="129"/>
      <c r="AR658" s="129"/>
      <c r="AS658" s="129"/>
      <c r="AT658" s="129"/>
    </row>
    <row r="659" spans="21:46" s="21" customFormat="1"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121"/>
      <c r="AO659" s="129"/>
      <c r="AP659" s="129"/>
      <c r="AQ659" s="129"/>
      <c r="AR659" s="129"/>
      <c r="AS659" s="129"/>
      <c r="AT659" s="129"/>
    </row>
    <row r="660" spans="21:46" s="21" customFormat="1"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121"/>
      <c r="AO660" s="129"/>
      <c r="AP660" s="129"/>
      <c r="AQ660" s="129"/>
      <c r="AR660" s="129"/>
      <c r="AS660" s="129"/>
      <c r="AT660" s="129"/>
    </row>
    <row r="661" spans="21:46" s="21" customFormat="1"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121"/>
      <c r="AO661" s="129"/>
      <c r="AP661" s="129"/>
      <c r="AQ661" s="129"/>
      <c r="AR661" s="129"/>
      <c r="AS661" s="129"/>
      <c r="AT661" s="129"/>
    </row>
    <row r="662" spans="21:46" s="21" customFormat="1"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121"/>
      <c r="AO662" s="129"/>
      <c r="AP662" s="129"/>
      <c r="AQ662" s="129"/>
      <c r="AR662" s="129"/>
      <c r="AS662" s="129"/>
      <c r="AT662" s="129"/>
    </row>
    <row r="663" spans="21:46" s="21" customFormat="1"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121"/>
      <c r="AO663" s="129"/>
      <c r="AP663" s="129"/>
      <c r="AQ663" s="129"/>
      <c r="AR663" s="129"/>
      <c r="AS663" s="129"/>
      <c r="AT663" s="129"/>
    </row>
    <row r="664" spans="21:46" s="21" customFormat="1"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121"/>
      <c r="AO664" s="129"/>
      <c r="AP664" s="129"/>
      <c r="AQ664" s="129"/>
      <c r="AR664" s="129"/>
      <c r="AS664" s="129"/>
      <c r="AT664" s="129"/>
    </row>
    <row r="665" spans="21:46" s="21" customFormat="1"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121"/>
      <c r="AO665" s="129"/>
      <c r="AP665" s="129"/>
      <c r="AQ665" s="129"/>
      <c r="AR665" s="129"/>
      <c r="AS665" s="129"/>
      <c r="AT665" s="129"/>
    </row>
    <row r="666" spans="21:46" s="21" customFormat="1"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121"/>
      <c r="AO666" s="129"/>
      <c r="AP666" s="129"/>
      <c r="AQ666" s="129"/>
      <c r="AR666" s="129"/>
      <c r="AS666" s="129"/>
      <c r="AT666" s="129"/>
    </row>
    <row r="667" spans="21:46" s="21" customFormat="1"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121"/>
      <c r="AO667" s="129"/>
      <c r="AP667" s="129"/>
      <c r="AQ667" s="129"/>
      <c r="AR667" s="129"/>
      <c r="AS667" s="129"/>
      <c r="AT667" s="129"/>
    </row>
    <row r="668" spans="21:46" s="21" customFormat="1"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121"/>
      <c r="AO668" s="129"/>
      <c r="AP668" s="129"/>
      <c r="AQ668" s="129"/>
      <c r="AR668" s="129"/>
      <c r="AS668" s="129"/>
      <c r="AT668" s="129"/>
    </row>
    <row r="669" spans="21:46" s="21" customFormat="1"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121"/>
      <c r="AO669" s="129"/>
      <c r="AP669" s="129"/>
      <c r="AQ669" s="129"/>
      <c r="AR669" s="129"/>
      <c r="AS669" s="129"/>
      <c r="AT669" s="129"/>
    </row>
    <row r="670" spans="21:46" s="21" customFormat="1"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121"/>
      <c r="AO670" s="129"/>
      <c r="AP670" s="129"/>
      <c r="AQ670" s="129"/>
      <c r="AR670" s="129"/>
      <c r="AS670" s="129"/>
      <c r="AT670" s="129"/>
    </row>
    <row r="671" spans="21:46" s="21" customFormat="1"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121"/>
      <c r="AO671" s="129"/>
      <c r="AP671" s="129"/>
      <c r="AQ671" s="129"/>
      <c r="AR671" s="129"/>
      <c r="AS671" s="129"/>
      <c r="AT671" s="129"/>
    </row>
    <row r="672" spans="21:46" s="21" customFormat="1"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121"/>
      <c r="AO672" s="129"/>
      <c r="AP672" s="129"/>
      <c r="AQ672" s="129"/>
      <c r="AR672" s="129"/>
      <c r="AS672" s="129"/>
      <c r="AT672" s="129"/>
    </row>
    <row r="673" spans="21:46" s="21" customFormat="1"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121"/>
      <c r="AO673" s="129"/>
      <c r="AP673" s="129"/>
      <c r="AQ673" s="129"/>
      <c r="AR673" s="129"/>
      <c r="AS673" s="129"/>
      <c r="AT673" s="129"/>
    </row>
    <row r="674" spans="21:46" s="21" customFormat="1"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121"/>
      <c r="AO674" s="129"/>
      <c r="AP674" s="129"/>
      <c r="AQ674" s="129"/>
      <c r="AR674" s="129"/>
      <c r="AS674" s="129"/>
      <c r="AT674" s="129"/>
    </row>
    <row r="675" spans="21:46" s="21" customFormat="1"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121"/>
      <c r="AO675" s="129"/>
      <c r="AP675" s="129"/>
      <c r="AQ675" s="129"/>
      <c r="AR675" s="129"/>
      <c r="AS675" s="129"/>
      <c r="AT675" s="129"/>
    </row>
    <row r="676" spans="21:46" s="21" customFormat="1"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121"/>
      <c r="AO676" s="129"/>
      <c r="AP676" s="129"/>
      <c r="AQ676" s="129"/>
      <c r="AR676" s="129"/>
      <c r="AS676" s="129"/>
      <c r="AT676" s="129"/>
    </row>
    <row r="677" spans="21:46" s="21" customFormat="1"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121"/>
      <c r="AO677" s="129"/>
      <c r="AP677" s="129"/>
      <c r="AQ677" s="129"/>
      <c r="AR677" s="129"/>
      <c r="AS677" s="129"/>
      <c r="AT677" s="129"/>
    </row>
    <row r="678" spans="21:46" s="21" customFormat="1"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121"/>
      <c r="AO678" s="129"/>
      <c r="AP678" s="129"/>
      <c r="AQ678" s="129"/>
      <c r="AR678" s="129"/>
      <c r="AS678" s="129"/>
      <c r="AT678" s="129"/>
    </row>
    <row r="679" spans="21:46" s="21" customFormat="1"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121"/>
      <c r="AO679" s="129"/>
      <c r="AP679" s="129"/>
      <c r="AQ679" s="129"/>
      <c r="AR679" s="129"/>
      <c r="AS679" s="129"/>
      <c r="AT679" s="129"/>
    </row>
    <row r="680" spans="21:46" s="21" customFormat="1"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121"/>
      <c r="AO680" s="129"/>
      <c r="AP680" s="129"/>
      <c r="AQ680" s="129"/>
      <c r="AR680" s="129"/>
      <c r="AS680" s="129"/>
      <c r="AT680" s="129"/>
    </row>
    <row r="681" spans="21:46" s="21" customFormat="1"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121"/>
      <c r="AO681" s="129"/>
      <c r="AP681" s="129"/>
      <c r="AQ681" s="129"/>
      <c r="AR681" s="129"/>
      <c r="AS681" s="129"/>
      <c r="AT681" s="129"/>
    </row>
    <row r="682" spans="21:46" s="21" customFormat="1"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121"/>
      <c r="AO682" s="129"/>
      <c r="AP682" s="129"/>
      <c r="AQ682" s="129"/>
      <c r="AR682" s="129"/>
      <c r="AS682" s="129"/>
      <c r="AT682" s="129"/>
    </row>
    <row r="683" spans="21:46" s="21" customFormat="1"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121"/>
      <c r="AO683" s="129"/>
      <c r="AP683" s="129"/>
      <c r="AQ683" s="129"/>
      <c r="AR683" s="129"/>
      <c r="AS683" s="129"/>
      <c r="AT683" s="129"/>
    </row>
    <row r="684" spans="21:46" s="21" customFormat="1"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121"/>
      <c r="AO684" s="129"/>
      <c r="AP684" s="129"/>
      <c r="AQ684" s="129"/>
      <c r="AR684" s="129"/>
      <c r="AS684" s="129"/>
      <c r="AT684" s="129"/>
    </row>
    <row r="685" spans="21:46" s="21" customFormat="1"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121"/>
      <c r="AO685" s="129"/>
      <c r="AP685" s="129"/>
      <c r="AQ685" s="129"/>
      <c r="AR685" s="129"/>
      <c r="AS685" s="129"/>
      <c r="AT685" s="129"/>
    </row>
    <row r="686" spans="21:46" s="21" customFormat="1"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121"/>
      <c r="AO686" s="129"/>
      <c r="AP686" s="129"/>
      <c r="AQ686" s="129"/>
      <c r="AR686" s="129"/>
      <c r="AS686" s="129"/>
      <c r="AT686" s="129"/>
    </row>
    <row r="687" spans="21:46" s="21" customFormat="1"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121"/>
      <c r="AO687" s="129"/>
      <c r="AP687" s="129"/>
      <c r="AQ687" s="129"/>
      <c r="AR687" s="129"/>
      <c r="AS687" s="129"/>
      <c r="AT687" s="129"/>
    </row>
    <row r="688" spans="21:46" s="21" customFormat="1"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121"/>
      <c r="AO688" s="129"/>
      <c r="AP688" s="129"/>
      <c r="AQ688" s="129"/>
      <c r="AR688" s="129"/>
      <c r="AS688" s="129"/>
      <c r="AT688" s="129"/>
    </row>
    <row r="689" spans="21:46" s="21" customFormat="1"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121"/>
      <c r="AO689" s="129"/>
      <c r="AP689" s="129"/>
      <c r="AQ689" s="129"/>
      <c r="AR689" s="129"/>
      <c r="AS689" s="129"/>
      <c r="AT689" s="129"/>
    </row>
    <row r="690" spans="21:46" s="21" customFormat="1"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121"/>
      <c r="AO690" s="129"/>
      <c r="AP690" s="129"/>
      <c r="AQ690" s="129"/>
      <c r="AR690" s="129"/>
      <c r="AS690" s="129"/>
      <c r="AT690" s="129"/>
    </row>
    <row r="691" spans="21:46" s="21" customFormat="1"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121"/>
      <c r="AO691" s="129"/>
      <c r="AP691" s="129"/>
      <c r="AQ691" s="129"/>
      <c r="AR691" s="129"/>
      <c r="AS691" s="129"/>
      <c r="AT691" s="129"/>
    </row>
    <row r="692" spans="21:46" s="21" customFormat="1"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121"/>
      <c r="AO692" s="129"/>
      <c r="AP692" s="129"/>
      <c r="AQ692" s="129"/>
      <c r="AR692" s="129"/>
      <c r="AS692" s="129"/>
      <c r="AT692" s="129"/>
    </row>
    <row r="693" spans="21:46" s="21" customFormat="1"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121"/>
      <c r="AO693" s="129"/>
      <c r="AP693" s="129"/>
      <c r="AQ693" s="129"/>
      <c r="AR693" s="129"/>
      <c r="AS693" s="129"/>
      <c r="AT693" s="129"/>
    </row>
    <row r="694" spans="21:46" s="21" customFormat="1"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121"/>
      <c r="AO694" s="129"/>
      <c r="AP694" s="129"/>
      <c r="AQ694" s="129"/>
      <c r="AR694" s="129"/>
      <c r="AS694" s="129"/>
      <c r="AT694" s="129"/>
    </row>
    <row r="695" spans="21:46" s="21" customFormat="1"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121"/>
      <c r="AO695" s="129"/>
      <c r="AP695" s="129"/>
      <c r="AQ695" s="129"/>
      <c r="AR695" s="129"/>
      <c r="AS695" s="129"/>
      <c r="AT695" s="129"/>
    </row>
    <row r="696" spans="21:46" s="21" customFormat="1"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121"/>
      <c r="AO696" s="129"/>
      <c r="AP696" s="129"/>
      <c r="AQ696" s="129"/>
      <c r="AR696" s="129"/>
      <c r="AS696" s="129"/>
      <c r="AT696" s="129"/>
    </row>
    <row r="697" spans="21:46" s="21" customFormat="1"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121"/>
      <c r="AO697" s="129"/>
      <c r="AP697" s="129"/>
      <c r="AQ697" s="129"/>
      <c r="AR697" s="129"/>
      <c r="AS697" s="129"/>
      <c r="AT697" s="129"/>
    </row>
    <row r="698" spans="21:46" s="21" customFormat="1"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121"/>
      <c r="AO698" s="129"/>
      <c r="AP698" s="129"/>
      <c r="AQ698" s="129"/>
      <c r="AR698" s="129"/>
      <c r="AS698" s="129"/>
      <c r="AT698" s="129"/>
    </row>
    <row r="699" spans="21:46" s="21" customFormat="1"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121"/>
      <c r="AO699" s="129"/>
      <c r="AP699" s="129"/>
      <c r="AQ699" s="129"/>
      <c r="AR699" s="129"/>
      <c r="AS699" s="129"/>
      <c r="AT699" s="129"/>
    </row>
    <row r="700" spans="21:46" s="21" customFormat="1"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121"/>
      <c r="AO700" s="129"/>
      <c r="AP700" s="129"/>
      <c r="AQ700" s="129"/>
      <c r="AR700" s="129"/>
      <c r="AS700" s="129"/>
      <c r="AT700" s="129"/>
    </row>
    <row r="701" spans="21:46" s="21" customFormat="1"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121"/>
      <c r="AO701" s="129"/>
      <c r="AP701" s="129"/>
      <c r="AQ701" s="129"/>
      <c r="AR701" s="129"/>
      <c r="AS701" s="129"/>
      <c r="AT701" s="129"/>
    </row>
    <row r="702" spans="21:46" s="21" customFormat="1"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121"/>
      <c r="AO702" s="129"/>
      <c r="AP702" s="129"/>
      <c r="AQ702" s="129"/>
      <c r="AR702" s="129"/>
      <c r="AS702" s="129"/>
      <c r="AT702" s="129"/>
    </row>
    <row r="703" spans="21:46" s="21" customFormat="1"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121"/>
      <c r="AO703" s="129"/>
      <c r="AP703" s="129"/>
      <c r="AQ703" s="129"/>
      <c r="AR703" s="129"/>
      <c r="AS703" s="129"/>
      <c r="AT703" s="129"/>
    </row>
    <row r="704" spans="21:46" s="21" customFormat="1"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121"/>
      <c r="AO704" s="129"/>
      <c r="AP704" s="129"/>
      <c r="AQ704" s="129"/>
      <c r="AR704" s="129"/>
      <c r="AS704" s="129"/>
      <c r="AT704" s="129"/>
    </row>
    <row r="705" spans="21:46" s="21" customFormat="1"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121"/>
      <c r="AO705" s="129"/>
      <c r="AP705" s="129"/>
      <c r="AQ705" s="129"/>
      <c r="AR705" s="129"/>
      <c r="AS705" s="129"/>
      <c r="AT705" s="129"/>
    </row>
    <row r="706" spans="21:46" s="21" customFormat="1"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121"/>
      <c r="AO706" s="129"/>
      <c r="AP706" s="129"/>
      <c r="AQ706" s="129"/>
      <c r="AR706" s="129"/>
      <c r="AS706" s="129"/>
      <c r="AT706" s="129"/>
    </row>
    <row r="707" spans="21:46" s="21" customFormat="1"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121"/>
      <c r="AO707" s="129"/>
      <c r="AP707" s="129"/>
      <c r="AQ707" s="129"/>
      <c r="AR707" s="129"/>
      <c r="AS707" s="129"/>
      <c r="AT707" s="129"/>
    </row>
    <row r="708" spans="21:46" s="21" customFormat="1"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121"/>
      <c r="AO708" s="129"/>
      <c r="AP708" s="129"/>
      <c r="AQ708" s="129"/>
      <c r="AR708" s="129"/>
      <c r="AS708" s="129"/>
      <c r="AT708" s="129"/>
    </row>
    <row r="709" spans="21:46" s="21" customFormat="1"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121"/>
      <c r="AO709" s="129"/>
      <c r="AP709" s="129"/>
      <c r="AQ709" s="129"/>
      <c r="AR709" s="129"/>
      <c r="AS709" s="129"/>
      <c r="AT709" s="129"/>
    </row>
    <row r="710" spans="21:46" s="21" customFormat="1"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121"/>
      <c r="AO710" s="129"/>
      <c r="AP710" s="129"/>
      <c r="AQ710" s="129"/>
      <c r="AR710" s="129"/>
      <c r="AS710" s="129"/>
      <c r="AT710" s="129"/>
    </row>
    <row r="711" spans="21:46" s="21" customFormat="1"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121"/>
      <c r="AO711" s="129"/>
      <c r="AP711" s="129"/>
      <c r="AQ711" s="129"/>
      <c r="AR711" s="129"/>
      <c r="AS711" s="129"/>
      <c r="AT711" s="129"/>
    </row>
    <row r="712" spans="21:46" s="21" customFormat="1"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121"/>
      <c r="AO712" s="129"/>
      <c r="AP712" s="129"/>
      <c r="AQ712" s="129"/>
      <c r="AR712" s="129"/>
      <c r="AS712" s="129"/>
      <c r="AT712" s="129"/>
    </row>
    <row r="713" spans="21:46" s="21" customFormat="1"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121"/>
      <c r="AO713" s="129"/>
      <c r="AP713" s="129"/>
      <c r="AQ713" s="129"/>
      <c r="AR713" s="129"/>
      <c r="AS713" s="129"/>
      <c r="AT713" s="129"/>
    </row>
    <row r="714" spans="21:46" s="21" customFormat="1"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121"/>
      <c r="AO714" s="129"/>
      <c r="AP714" s="129"/>
      <c r="AQ714" s="129"/>
      <c r="AR714" s="129"/>
      <c r="AS714" s="129"/>
      <c r="AT714" s="129"/>
    </row>
    <row r="715" spans="21:46" s="21" customFormat="1"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121"/>
      <c r="AO715" s="129"/>
      <c r="AP715" s="129"/>
      <c r="AQ715" s="129"/>
      <c r="AR715" s="129"/>
      <c r="AS715" s="129"/>
      <c r="AT715" s="129"/>
    </row>
    <row r="716" spans="21:46" s="21" customFormat="1"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121"/>
      <c r="AO716" s="129"/>
      <c r="AP716" s="129"/>
      <c r="AQ716" s="129"/>
      <c r="AR716" s="129"/>
      <c r="AS716" s="129"/>
      <c r="AT716" s="129"/>
    </row>
    <row r="717" spans="21:46" s="21" customFormat="1"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121"/>
      <c r="AO717" s="129"/>
      <c r="AP717" s="129"/>
      <c r="AQ717" s="129"/>
      <c r="AR717" s="129"/>
      <c r="AS717" s="129"/>
      <c r="AT717" s="129"/>
    </row>
    <row r="718" spans="21:46" s="21" customFormat="1"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121"/>
      <c r="AO718" s="129"/>
      <c r="AP718" s="129"/>
      <c r="AQ718" s="129"/>
      <c r="AR718" s="129"/>
      <c r="AS718" s="129"/>
      <c r="AT718" s="129"/>
    </row>
    <row r="719" spans="21:46" s="21" customFormat="1"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121"/>
      <c r="AO719" s="129"/>
      <c r="AP719" s="129"/>
      <c r="AQ719" s="129"/>
      <c r="AR719" s="129"/>
      <c r="AS719" s="129"/>
      <c r="AT719" s="129"/>
    </row>
    <row r="720" spans="21:46" s="21" customFormat="1"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121"/>
      <c r="AO720" s="129"/>
      <c r="AP720" s="129"/>
      <c r="AQ720" s="129"/>
      <c r="AR720" s="129"/>
      <c r="AS720" s="129"/>
      <c r="AT720" s="129"/>
    </row>
    <row r="721" spans="21:46" s="21" customFormat="1"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121"/>
      <c r="AO721" s="129"/>
      <c r="AP721" s="129"/>
      <c r="AQ721" s="129"/>
      <c r="AR721" s="129"/>
      <c r="AS721" s="129"/>
      <c r="AT721" s="129"/>
    </row>
    <row r="722" spans="21:46" s="21" customFormat="1"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121"/>
      <c r="AO722" s="129"/>
      <c r="AP722" s="129"/>
      <c r="AQ722" s="129"/>
      <c r="AR722" s="129"/>
      <c r="AS722" s="129"/>
      <c r="AT722" s="129"/>
    </row>
    <row r="723" spans="21:46" s="21" customFormat="1"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121"/>
      <c r="AO723" s="129"/>
      <c r="AP723" s="129"/>
      <c r="AQ723" s="129"/>
      <c r="AR723" s="129"/>
      <c r="AS723" s="129"/>
      <c r="AT723" s="129"/>
    </row>
    <row r="724" spans="21:46" s="21" customFormat="1"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121"/>
      <c r="AO724" s="129"/>
      <c r="AP724" s="129"/>
      <c r="AQ724" s="129"/>
      <c r="AR724" s="129"/>
      <c r="AS724" s="129"/>
      <c r="AT724" s="129"/>
    </row>
    <row r="725" spans="21:46" s="21" customFormat="1"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121"/>
      <c r="AO725" s="129"/>
      <c r="AP725" s="129"/>
      <c r="AQ725" s="129"/>
      <c r="AR725" s="129"/>
      <c r="AS725" s="129"/>
      <c r="AT725" s="129"/>
    </row>
    <row r="726" spans="21:46" s="21" customFormat="1"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121"/>
      <c r="AO726" s="129"/>
      <c r="AP726" s="129"/>
      <c r="AQ726" s="129"/>
      <c r="AR726" s="129"/>
      <c r="AS726" s="129"/>
      <c r="AT726" s="129"/>
    </row>
    <row r="727" spans="21:46" s="21" customFormat="1"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121"/>
      <c r="AO727" s="129"/>
      <c r="AP727" s="129"/>
      <c r="AQ727" s="129"/>
      <c r="AR727" s="129"/>
      <c r="AS727" s="129"/>
      <c r="AT727" s="129"/>
    </row>
    <row r="728" spans="21:46" s="21" customFormat="1"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121"/>
      <c r="AO728" s="129"/>
      <c r="AP728" s="129"/>
      <c r="AQ728" s="129"/>
      <c r="AR728" s="129"/>
      <c r="AS728" s="129"/>
      <c r="AT728" s="129"/>
    </row>
    <row r="729" spans="21:46" s="21" customFormat="1"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121"/>
      <c r="AO729" s="129"/>
      <c r="AP729" s="129"/>
      <c r="AQ729" s="129"/>
      <c r="AR729" s="129"/>
      <c r="AS729" s="129"/>
      <c r="AT729" s="129"/>
    </row>
    <row r="730" spans="21:46" s="21" customFormat="1"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121"/>
      <c r="AO730" s="129"/>
      <c r="AP730" s="129"/>
      <c r="AQ730" s="129"/>
      <c r="AR730" s="129"/>
      <c r="AS730" s="129"/>
      <c r="AT730" s="129"/>
    </row>
    <row r="731" spans="21:46" s="21" customFormat="1"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121"/>
      <c r="AO731" s="129"/>
      <c r="AP731" s="129"/>
      <c r="AQ731" s="129"/>
      <c r="AR731" s="129"/>
      <c r="AS731" s="129"/>
      <c r="AT731" s="129"/>
    </row>
    <row r="732" spans="21:46" s="21" customFormat="1"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121"/>
      <c r="AO732" s="129"/>
      <c r="AP732" s="129"/>
      <c r="AQ732" s="129"/>
      <c r="AR732" s="129"/>
      <c r="AS732" s="129"/>
      <c r="AT732" s="129"/>
    </row>
  </sheetData>
  <sheetProtection password="CD0C" sheet="1" objects="1" scenarios="1" selectLockedCells="1"/>
  <mergeCells count="115">
    <mergeCell ref="C2:F2"/>
    <mergeCell ref="H2:H11"/>
    <mergeCell ref="J2:L2"/>
    <mergeCell ref="M2:O2"/>
    <mergeCell ref="J4:J5"/>
    <mergeCell ref="K4:K5"/>
    <mergeCell ref="L4:L5"/>
    <mergeCell ref="N4:P4"/>
    <mergeCell ref="N7:O7"/>
    <mergeCell ref="J8:L8"/>
    <mergeCell ref="Z7:AA7"/>
    <mergeCell ref="Z8:AA8"/>
    <mergeCell ref="N9:P9"/>
    <mergeCell ref="Z9:AA9"/>
    <mergeCell ref="O10:P10"/>
    <mergeCell ref="Z10:AA10"/>
    <mergeCell ref="R4:S4"/>
    <mergeCell ref="U4:AE4"/>
    <mergeCell ref="N5:O5"/>
    <mergeCell ref="Z5:AA5"/>
    <mergeCell ref="N6:O6"/>
    <mergeCell ref="Z6:AA6"/>
    <mergeCell ref="C15:F15"/>
    <mergeCell ref="M15:N15"/>
    <mergeCell ref="O15:P15"/>
    <mergeCell ref="Q15:R15"/>
    <mergeCell ref="T15:U15"/>
    <mergeCell ref="V15:W15"/>
    <mergeCell ref="AA12:AK12"/>
    <mergeCell ref="J14:K15"/>
    <mergeCell ref="M14:N14"/>
    <mergeCell ref="O14:P14"/>
    <mergeCell ref="Q14:R14"/>
    <mergeCell ref="T14:U14"/>
    <mergeCell ref="V14:W14"/>
    <mergeCell ref="AB14:AC14"/>
    <mergeCell ref="AD14:AE14"/>
    <mergeCell ref="AH14:AI14"/>
    <mergeCell ref="AB16:AC16"/>
    <mergeCell ref="AD16:AE16"/>
    <mergeCell ref="AH16:AI16"/>
    <mergeCell ref="AJ16:AK16"/>
    <mergeCell ref="AB17:AC17"/>
    <mergeCell ref="AD17:AE17"/>
    <mergeCell ref="AH17:AI17"/>
    <mergeCell ref="AJ17:AK17"/>
    <mergeCell ref="AJ14:AK14"/>
    <mergeCell ref="M20:N20"/>
    <mergeCell ref="O20:P20"/>
    <mergeCell ref="Q20:R20"/>
    <mergeCell ref="T20:U20"/>
    <mergeCell ref="V20:W20"/>
    <mergeCell ref="AB20:AC20"/>
    <mergeCell ref="I19:L20"/>
    <mergeCell ref="M19:N19"/>
    <mergeCell ref="O19:P19"/>
    <mergeCell ref="Q19:R19"/>
    <mergeCell ref="T19:U19"/>
    <mergeCell ref="V19:W19"/>
    <mergeCell ref="AD20:AE20"/>
    <mergeCell ref="AH20:AI20"/>
    <mergeCell ref="AJ20:AK20"/>
    <mergeCell ref="AB22:AC22"/>
    <mergeCell ref="AD22:AE22"/>
    <mergeCell ref="AH22:AI22"/>
    <mergeCell ref="AJ22:AK22"/>
    <mergeCell ref="AB19:AC19"/>
    <mergeCell ref="AD19:AE19"/>
    <mergeCell ref="AH19:AI19"/>
    <mergeCell ref="AJ19:AK19"/>
    <mergeCell ref="AB23:AC23"/>
    <mergeCell ref="AD23:AE23"/>
    <mergeCell ref="AH23:AI23"/>
    <mergeCell ref="AJ23:AK23"/>
    <mergeCell ref="J24:K25"/>
    <mergeCell ref="M24:N24"/>
    <mergeCell ref="O24:P24"/>
    <mergeCell ref="Q24:R24"/>
    <mergeCell ref="T24:U24"/>
    <mergeCell ref="V24:W24"/>
    <mergeCell ref="AD25:AE25"/>
    <mergeCell ref="AH25:AI25"/>
    <mergeCell ref="AJ25:AK25"/>
    <mergeCell ref="AB26:AC26"/>
    <mergeCell ref="AD26:AE26"/>
    <mergeCell ref="AH26:AI26"/>
    <mergeCell ref="AJ26:AK26"/>
    <mergeCell ref="M25:N25"/>
    <mergeCell ref="O25:P25"/>
    <mergeCell ref="Q25:R25"/>
    <mergeCell ref="T25:U25"/>
    <mergeCell ref="V25:W25"/>
    <mergeCell ref="AB25:AC25"/>
    <mergeCell ref="C28:F28"/>
    <mergeCell ref="AB28:AC28"/>
    <mergeCell ref="AD28:AE28"/>
    <mergeCell ref="AH28:AI28"/>
    <mergeCell ref="AJ28:AK28"/>
    <mergeCell ref="J29:K30"/>
    <mergeCell ref="M29:N29"/>
    <mergeCell ref="Q29:U29"/>
    <mergeCell ref="V29:W29"/>
    <mergeCell ref="AB29:AC29"/>
    <mergeCell ref="AB31:AC31"/>
    <mergeCell ref="AD31:AE31"/>
    <mergeCell ref="AH31:AI31"/>
    <mergeCell ref="AJ31:AK31"/>
    <mergeCell ref="AD29:AE29"/>
    <mergeCell ref="AH29:AI29"/>
    <mergeCell ref="AJ29:AK29"/>
    <mergeCell ref="M30:N30"/>
    <mergeCell ref="V30:W30"/>
    <mergeCell ref="AB30:AC30"/>
    <mergeCell ref="AD30:AE30"/>
    <mergeCell ref="AJ30:AK30"/>
  </mergeCells>
  <conditionalFormatting sqref="A14:H32 I17:Q32 S17:Y32 R18:R32">
    <cfRule type="expression" dxfId="42" priority="7">
      <formula>$F$7="Estimation"</formula>
    </cfRule>
  </conditionalFormatting>
  <conditionalFormatting sqref="H13:Q17 S13:Y17 R13:R16">
    <cfRule type="expression" dxfId="41" priority="6">
      <formula>$F$7="Création"</formula>
    </cfRule>
  </conditionalFormatting>
  <conditionalFormatting sqref="A14:H32 H12:H13 I12:Q32 S12:Y32 R12:R16 R18:R32">
    <cfRule type="expression" dxfId="40" priority="5">
      <formula>$F$7=""</formula>
    </cfRule>
  </conditionalFormatting>
  <conditionalFormatting sqref="N9:P10">
    <cfRule type="expression" dxfId="39" priority="1">
      <formula>$F$4=""</formula>
    </cfRule>
    <cfRule type="expression" dxfId="38" priority="2">
      <formula>$F$4="Duelliste"</formula>
    </cfRule>
    <cfRule type="expression" dxfId="37" priority="3">
      <formula>$F$4="Ouvrier"</formula>
    </cfRule>
    <cfRule type="expression" dxfId="36" priority="4">
      <formula>$F$4="Aventurier"</formula>
    </cfRule>
  </conditionalFormatting>
  <dataValidations count="5">
    <dataValidation type="list" allowBlank="1" showInputMessage="1" showErrorMessage="1" sqref="F5">
      <formula1>AN19:AN21</formula1>
    </dataValidation>
    <dataValidation type="list" showInputMessage="1" showErrorMessage="1" sqref="M2:O2">
      <formula1>"GRAND FORT,MOYEN FORT,PETIT FORT"</formula1>
    </dataValidation>
    <dataValidation type="whole" allowBlank="1" showInputMessage="1" showErrorMessage="1" sqref="F6">
      <formula1>1</formula1>
      <formula2>150</formula2>
    </dataValidation>
    <dataValidation type="list" allowBlank="1" showInputMessage="1" showErrorMessage="1" sqref="F4">
      <formula1>$AN$7:$AN$11</formula1>
    </dataValidation>
    <dataValidation type="list" allowBlank="1" showInputMessage="1" showErrorMessage="1" sqref="F7">
      <formula1>$AN$4:$AN$6</formula1>
    </dataValidation>
  </dataValidations>
  <pageMargins left="0.7" right="0.7" top="0.75" bottom="0.75" header="0.3" footer="0.3"/>
  <pageSetup paperSize="9" orientation="portrait" r:id="rId1"/>
  <headerFooter>
    <oddFooter>&amp;L&amp;1#&amp;"Calibri"&amp;10&amp;KC8DE09Diffusable SNCF RESEAU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V22"/>
  <sheetViews>
    <sheetView workbookViewId="0">
      <selection activeCell="F8" sqref="F8"/>
    </sheetView>
  </sheetViews>
  <sheetFormatPr baseColWidth="10" defaultRowHeight="15"/>
  <cols>
    <col min="1" max="1" width="1.7109375" style="139" customWidth="1"/>
    <col min="2" max="2" width="2.7109375" style="139" customWidth="1"/>
    <col min="3" max="5" width="11.42578125" style="139"/>
    <col min="6" max="6" width="6.7109375" style="139" customWidth="1"/>
    <col min="7" max="7" width="7.7109375" style="139" customWidth="1"/>
    <col min="8" max="8" width="3.7109375" style="139" customWidth="1"/>
    <col min="9" max="9" width="1.85546875" style="139" customWidth="1"/>
    <col min="10" max="10" width="4.85546875" style="139" customWidth="1"/>
    <col min="11" max="11" width="5.85546875" style="139" customWidth="1"/>
    <col min="12" max="12" width="6.140625" style="139" customWidth="1"/>
    <col min="13" max="13" width="12.5703125" style="139" customWidth="1"/>
    <col min="14" max="14" width="1.85546875" style="139" customWidth="1"/>
    <col min="15" max="15" width="11.42578125" style="176"/>
    <col min="16" max="16384" width="11.42578125" style="139"/>
  </cols>
  <sheetData>
    <row r="1" spans="2:22" ht="15.75" thickBot="1">
      <c r="H1" s="142"/>
      <c r="I1" s="142"/>
      <c r="J1" s="142"/>
      <c r="K1" s="142"/>
      <c r="L1" s="142"/>
      <c r="M1" s="142"/>
      <c r="N1" s="142"/>
      <c r="O1" s="175"/>
      <c r="P1" s="173"/>
      <c r="Q1" s="173"/>
    </row>
    <row r="2" spans="2:22">
      <c r="B2" s="156"/>
      <c r="C2" s="682" t="s">
        <v>91</v>
      </c>
      <c r="D2" s="682"/>
      <c r="E2" s="682"/>
      <c r="F2" s="682"/>
      <c r="G2" s="148"/>
      <c r="H2" s="142"/>
      <c r="I2" s="147"/>
      <c r="J2" s="682" t="s">
        <v>93</v>
      </c>
      <c r="K2" s="682"/>
      <c r="L2" s="682"/>
      <c r="M2" s="682"/>
      <c r="N2" s="148"/>
      <c r="O2" s="175"/>
      <c r="P2" s="173"/>
      <c r="Q2" s="173"/>
    </row>
    <row r="3" spans="2:22">
      <c r="B3" s="157"/>
      <c r="C3" s="145"/>
      <c r="D3" s="145"/>
      <c r="E3" s="145"/>
      <c r="F3" s="145"/>
      <c r="G3" s="150"/>
      <c r="H3" s="142"/>
      <c r="I3" s="149"/>
      <c r="J3" s="145"/>
      <c r="K3" s="145"/>
      <c r="L3" s="145"/>
      <c r="M3" s="145"/>
      <c r="N3" s="150"/>
      <c r="O3" s="175"/>
      <c r="P3" s="173"/>
      <c r="Q3" s="173"/>
    </row>
    <row r="4" spans="2:22">
      <c r="B4" s="157"/>
      <c r="C4" s="145" t="s">
        <v>88</v>
      </c>
      <c r="D4" s="145"/>
      <c r="E4" s="145"/>
      <c r="F4" s="161">
        <v>30</v>
      </c>
      <c r="G4" s="150"/>
      <c r="H4" s="142"/>
      <c r="I4" s="149"/>
      <c r="J4" s="151" t="s">
        <v>90</v>
      </c>
      <c r="K4" s="174">
        <f>IF('| BdF | Créat. &amp; Estim MJ 2.134'!F7="Estimation",'| BdF | Créat. &amp; Estim MJ 2.134'!L15,'| BdF | Créat. &amp; Estim MJ 2.134'!L25)</f>
        <v>7230</v>
      </c>
      <c r="L4" s="145" t="s">
        <v>87</v>
      </c>
      <c r="M4" s="159"/>
      <c r="N4" s="150"/>
      <c r="O4" s="387"/>
      <c r="P4" s="387"/>
      <c r="Q4" s="388"/>
    </row>
    <row r="5" spans="2:22">
      <c r="B5" s="157"/>
      <c r="C5" s="159"/>
      <c r="D5" s="159"/>
      <c r="E5" s="159"/>
      <c r="F5" s="159"/>
      <c r="G5" s="150"/>
      <c r="H5" s="142"/>
      <c r="I5" s="149"/>
      <c r="J5" s="145"/>
      <c r="K5" s="145"/>
      <c r="L5" s="145"/>
      <c r="M5" s="145"/>
      <c r="N5" s="150"/>
      <c r="O5" s="387"/>
      <c r="P5" s="388"/>
      <c r="Q5" s="388"/>
    </row>
    <row r="6" spans="2:22">
      <c r="B6" s="144"/>
      <c r="C6" s="145" t="s">
        <v>89</v>
      </c>
      <c r="D6" s="145"/>
      <c r="E6" s="145"/>
      <c r="F6" s="161">
        <v>500</v>
      </c>
      <c r="G6" s="160"/>
      <c r="H6" s="142"/>
      <c r="I6" s="149"/>
      <c r="J6" s="695" t="s">
        <v>102</v>
      </c>
      <c r="K6" s="696"/>
      <c r="L6" s="696"/>
      <c r="M6" s="697"/>
      <c r="N6" s="150"/>
      <c r="O6" s="387"/>
      <c r="P6" s="388"/>
      <c r="Q6" s="388"/>
      <c r="R6" s="142"/>
      <c r="S6" s="176"/>
      <c r="T6" s="142"/>
    </row>
    <row r="7" spans="2:22">
      <c r="B7" s="144"/>
      <c r="C7" s="159"/>
      <c r="D7" s="159"/>
      <c r="E7" s="159"/>
      <c r="F7" s="159"/>
      <c r="G7" s="160"/>
      <c r="H7" s="142"/>
      <c r="I7" s="149"/>
      <c r="J7" s="146">
        <f>K4/(F6+K4*F4*0.0002-'| BdF | Créat. &amp; Estim MJ 2.134'!J7)</f>
        <v>16.771619028221536</v>
      </c>
      <c r="K7" s="702" t="s">
        <v>94</v>
      </c>
      <c r="L7" s="702"/>
      <c r="M7" s="703"/>
      <c r="N7" s="150"/>
      <c r="O7" s="387"/>
      <c r="P7" s="388"/>
      <c r="Q7" s="388"/>
      <c r="R7" s="142"/>
      <c r="S7" s="176"/>
      <c r="T7" s="142"/>
    </row>
    <row r="8" spans="2:22">
      <c r="B8" s="144"/>
      <c r="C8" s="163" t="s">
        <v>95</v>
      </c>
      <c r="D8" s="159"/>
      <c r="E8" s="159"/>
      <c r="F8" s="161">
        <v>750</v>
      </c>
      <c r="G8" s="160"/>
      <c r="H8" s="142"/>
      <c r="I8" s="149"/>
      <c r="J8" s="687" t="s">
        <v>103</v>
      </c>
      <c r="K8" s="704"/>
      <c r="L8" s="704"/>
      <c r="M8" s="705"/>
      <c r="N8" s="150"/>
      <c r="O8" s="387"/>
      <c r="P8" s="388"/>
      <c r="Q8" s="388"/>
      <c r="R8" s="142"/>
      <c r="S8" s="176"/>
      <c r="T8" s="142"/>
    </row>
    <row r="9" spans="2:22" ht="15.75" thickBot="1">
      <c r="B9" s="158"/>
      <c r="C9" s="154"/>
      <c r="D9" s="154"/>
      <c r="E9" s="154"/>
      <c r="F9" s="154"/>
      <c r="G9" s="155"/>
      <c r="H9" s="142"/>
      <c r="I9" s="149"/>
      <c r="J9" s="152">
        <f>K4/(F6+K4*F4*0.0002-'| BdF | Créat. &amp; Estim MJ 2.134'!J10)</f>
        <v>16.179816472188449</v>
      </c>
      <c r="K9" s="700" t="s">
        <v>94</v>
      </c>
      <c r="L9" s="700"/>
      <c r="M9" s="701"/>
      <c r="N9" s="150"/>
      <c r="O9" s="387"/>
      <c r="P9" s="388"/>
      <c r="Q9" s="388"/>
      <c r="T9" s="142"/>
    </row>
    <row r="10" spans="2:22">
      <c r="H10" s="142"/>
      <c r="I10" s="149"/>
      <c r="J10" s="145"/>
      <c r="K10" s="145"/>
      <c r="L10" s="145"/>
      <c r="M10" s="145"/>
      <c r="N10" s="150"/>
      <c r="O10" s="387"/>
      <c r="P10" s="388"/>
      <c r="Q10" s="389"/>
      <c r="R10" s="185"/>
      <c r="S10" s="185"/>
      <c r="T10" s="185"/>
      <c r="U10" s="186"/>
      <c r="V10" s="186"/>
    </row>
    <row r="11" spans="2:22">
      <c r="H11" s="142"/>
      <c r="I11" s="162"/>
      <c r="J11" s="692" t="s">
        <v>96</v>
      </c>
      <c r="K11" s="692"/>
      <c r="L11" s="383">
        <f>ROUNDDOWN(K4*0.33,0)</f>
        <v>2385</v>
      </c>
      <c r="M11" s="181" t="s">
        <v>97</v>
      </c>
      <c r="N11" s="160"/>
      <c r="O11" s="388"/>
      <c r="P11" s="388"/>
      <c r="Q11" s="389"/>
      <c r="R11" s="185"/>
      <c r="S11" s="693"/>
      <c r="T11" s="693"/>
      <c r="U11" s="693"/>
      <c r="V11" s="186"/>
    </row>
    <row r="12" spans="2:22">
      <c r="H12" s="142"/>
      <c r="I12" s="162"/>
      <c r="J12" s="694" t="s">
        <v>98</v>
      </c>
      <c r="K12" s="694"/>
      <c r="L12" s="694"/>
      <c r="M12" s="694"/>
      <c r="N12" s="160"/>
      <c r="O12" s="388"/>
      <c r="P12" s="388"/>
      <c r="Q12" s="389"/>
      <c r="R12" s="185"/>
      <c r="S12" s="693"/>
      <c r="T12" s="693"/>
      <c r="U12" s="693"/>
      <c r="V12" s="186"/>
    </row>
    <row r="13" spans="2:22">
      <c r="H13" s="142"/>
      <c r="I13" s="162"/>
      <c r="J13" s="163"/>
      <c r="K13" s="164"/>
      <c r="L13" s="164"/>
      <c r="M13" s="165"/>
      <c r="N13" s="160"/>
      <c r="O13" s="173"/>
      <c r="P13" s="388"/>
      <c r="Q13" s="389"/>
      <c r="R13" s="185"/>
      <c r="S13" s="185"/>
      <c r="T13" s="187"/>
      <c r="U13" s="188"/>
      <c r="V13" s="186"/>
    </row>
    <row r="14" spans="2:22" ht="15" customHeight="1">
      <c r="C14" s="142"/>
      <c r="D14" s="142"/>
      <c r="E14" s="142"/>
      <c r="F14" s="142"/>
      <c r="G14" s="142"/>
      <c r="H14" s="143"/>
      <c r="I14" s="144"/>
      <c r="J14" s="695" t="s">
        <v>100</v>
      </c>
      <c r="K14" s="696"/>
      <c r="L14" s="696"/>
      <c r="M14" s="697"/>
      <c r="N14" s="160"/>
      <c r="O14" s="194">
        <f>F8+(0.1*K4)</f>
        <v>1473</v>
      </c>
      <c r="P14" s="388"/>
      <c r="Q14" s="389"/>
      <c r="R14" s="186"/>
      <c r="S14" s="189"/>
      <c r="T14" s="189"/>
      <c r="U14" s="189"/>
      <c r="V14" s="186"/>
    </row>
    <row r="15" spans="2:22" ht="15.75" thickBot="1">
      <c r="C15" s="142"/>
      <c r="D15" s="142"/>
      <c r="E15" s="142"/>
      <c r="F15" s="142"/>
      <c r="G15" s="142"/>
      <c r="H15" s="143"/>
      <c r="I15" s="166"/>
      <c r="J15" s="698">
        <f>IF(L11&lt;O14,L11,O14-'| BdF | Créat. &amp; Estim MJ 2.134'!J7)</f>
        <v>1360.7053941908714</v>
      </c>
      <c r="K15" s="699"/>
      <c r="L15" s="178" t="s">
        <v>99</v>
      </c>
      <c r="M15" s="182"/>
      <c r="N15" s="160"/>
      <c r="O15" s="173"/>
      <c r="P15" s="388"/>
      <c r="Q15" s="389"/>
      <c r="R15" s="190"/>
      <c r="S15" s="191"/>
      <c r="T15" s="192"/>
      <c r="U15" s="193"/>
      <c r="V15" s="186"/>
    </row>
    <row r="16" spans="2:22">
      <c r="B16" s="681" t="s">
        <v>161</v>
      </c>
      <c r="C16" s="682"/>
      <c r="D16" s="682"/>
      <c r="E16" s="682"/>
      <c r="F16" s="682"/>
      <c r="G16" s="683"/>
      <c r="I16" s="144"/>
      <c r="J16" s="687" t="s">
        <v>101</v>
      </c>
      <c r="K16" s="688"/>
      <c r="L16" s="688"/>
      <c r="M16" s="689"/>
      <c r="N16" s="160"/>
      <c r="O16" s="173"/>
      <c r="P16" s="388"/>
      <c r="Q16" s="389"/>
      <c r="R16" s="189"/>
      <c r="S16" s="189"/>
      <c r="T16" s="189"/>
      <c r="U16" s="189"/>
      <c r="V16" s="189"/>
    </row>
    <row r="17" spans="2:22" ht="15.75" thickBot="1">
      <c r="B17" s="684"/>
      <c r="C17" s="685"/>
      <c r="D17" s="685"/>
      <c r="E17" s="685"/>
      <c r="F17" s="685"/>
      <c r="G17" s="686"/>
      <c r="I17" s="144"/>
      <c r="J17" s="690">
        <f>IF(L11&lt;O14,L11,O14-'| BdF | Créat. &amp; Estim MJ 2.134'!J10)</f>
        <v>1376.4730290456432</v>
      </c>
      <c r="K17" s="691"/>
      <c r="L17" s="179" t="s">
        <v>99</v>
      </c>
      <c r="M17" s="183"/>
      <c r="N17" s="160"/>
      <c r="O17" s="173"/>
      <c r="P17" s="388"/>
      <c r="Q17" s="389"/>
      <c r="R17" s="186"/>
      <c r="S17" s="186"/>
      <c r="T17" s="186"/>
      <c r="U17" s="186"/>
      <c r="V17" s="186"/>
    </row>
    <row r="18" spans="2:22" ht="15.75" thickBot="1">
      <c r="C18" s="142"/>
      <c r="D18" s="142"/>
      <c r="E18" s="142"/>
      <c r="F18" s="142"/>
      <c r="G18" s="142"/>
      <c r="I18" s="153"/>
      <c r="J18" s="177"/>
      <c r="K18" s="177"/>
      <c r="L18" s="177"/>
      <c r="M18" s="177"/>
      <c r="N18" s="155"/>
      <c r="O18" s="388"/>
      <c r="P18" s="388"/>
      <c r="Q18" s="388"/>
    </row>
    <row r="19" spans="2:22">
      <c r="O19" s="388"/>
      <c r="P19" s="388"/>
      <c r="Q19" s="388"/>
    </row>
    <row r="20" spans="2:22">
      <c r="O20" s="388"/>
      <c r="P20" s="388"/>
      <c r="Q20" s="388"/>
    </row>
    <row r="21" spans="2:22">
      <c r="O21" s="388"/>
      <c r="P21" s="388"/>
      <c r="Q21" s="388"/>
    </row>
    <row r="22" spans="2:22">
      <c r="O22" s="388"/>
      <c r="P22" s="388"/>
      <c r="Q22" s="388"/>
    </row>
  </sheetData>
  <sheetProtection password="CD0C" sheet="1" objects="1" scenarios="1" selectLockedCells="1"/>
  <mergeCells count="15">
    <mergeCell ref="K9:M9"/>
    <mergeCell ref="C2:F2"/>
    <mergeCell ref="J2:M2"/>
    <mergeCell ref="J6:M6"/>
    <mergeCell ref="K7:M7"/>
    <mergeCell ref="J8:M8"/>
    <mergeCell ref="B16:G17"/>
    <mergeCell ref="J16:M16"/>
    <mergeCell ref="J17:K17"/>
    <mergeCell ref="J11:K11"/>
    <mergeCell ref="S11:U11"/>
    <mergeCell ref="J12:M12"/>
    <mergeCell ref="S12:U12"/>
    <mergeCell ref="J14:M14"/>
    <mergeCell ref="J15:K15"/>
  </mergeCells>
  <pageMargins left="0.7" right="0.7" top="0.75" bottom="0.75" header="0.3" footer="0.3"/>
  <pageSetup paperSize="9" orientation="portrait" r:id="rId1"/>
  <headerFooter>
    <oddFooter>&amp;L&amp;1#&amp;"Calibri"&amp;10&amp;KC8DE09Diffusable SNCF RESEAU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S3829"/>
  <sheetViews>
    <sheetView topLeftCell="A4" workbookViewId="0">
      <selection activeCell="K17" sqref="K17"/>
    </sheetView>
  </sheetViews>
  <sheetFormatPr baseColWidth="10" defaultRowHeight="15"/>
  <cols>
    <col min="1" max="2" width="1.7109375" style="200" customWidth="1"/>
    <col min="3" max="11" width="8.28515625" style="195" customWidth="1"/>
    <col min="12" max="12" width="1.7109375" style="200" customWidth="1"/>
    <col min="13" max="13" width="4.28515625" style="200" customWidth="1"/>
    <col min="14" max="14" width="1.7109375" style="195" customWidth="1"/>
    <col min="15" max="15" width="12.28515625" style="195" customWidth="1"/>
    <col min="16" max="16" width="8.7109375" style="195" customWidth="1"/>
    <col min="17" max="27" width="4.7109375" style="195" customWidth="1"/>
    <col min="28" max="29" width="4.7109375" style="199" customWidth="1"/>
    <col min="30" max="36" width="4.7109375" style="198" customWidth="1"/>
    <col min="37" max="37" width="1.7109375" style="198" customWidth="1"/>
    <col min="38" max="39" width="4.7109375" style="198" customWidth="1"/>
    <col min="40" max="49" width="4.7109375" style="197" customWidth="1"/>
    <col min="50" max="175" width="11.42578125" style="196"/>
    <col min="176" max="16384" width="11.42578125" style="195"/>
  </cols>
  <sheetData>
    <row r="1" spans="1:175" s="196" customFormat="1" ht="12" customHeight="1">
      <c r="L1" s="371"/>
      <c r="M1" s="210"/>
      <c r="N1" s="371"/>
      <c r="AB1" s="201"/>
      <c r="AC1" s="201"/>
      <c r="AD1" s="197"/>
      <c r="AE1" s="197"/>
      <c r="AF1" s="197"/>
      <c r="AG1" s="197"/>
      <c r="AH1" s="197"/>
      <c r="AI1" s="197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  <c r="AW1" s="197"/>
      <c r="BR1" s="487"/>
    </row>
    <row r="2" spans="1:175" s="196" customFormat="1" ht="15.75" thickBot="1">
      <c r="L2" s="371"/>
      <c r="M2" s="210"/>
      <c r="N2" s="371"/>
      <c r="AB2" s="201"/>
      <c r="AC2" s="201"/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202"/>
      <c r="AO2" s="202"/>
      <c r="AP2" s="202"/>
      <c r="AQ2" s="205"/>
      <c r="AR2" s="205"/>
      <c r="AS2" s="205"/>
      <c r="AT2" s="205"/>
      <c r="AU2" s="205"/>
      <c r="AV2" s="205"/>
      <c r="AW2" s="205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  <c r="BK2" s="204"/>
      <c r="BL2" s="204"/>
      <c r="BM2" s="204"/>
      <c r="BN2" s="204"/>
      <c r="BO2" s="204"/>
      <c r="BP2" s="204"/>
      <c r="BQ2" s="204"/>
      <c r="BR2" s="204"/>
      <c r="BS2" s="204"/>
      <c r="BT2" s="204"/>
      <c r="BU2" s="203"/>
      <c r="BV2" s="203"/>
      <c r="BW2" s="203"/>
      <c r="BX2" s="203"/>
      <c r="BY2" s="203"/>
      <c r="BZ2" s="203"/>
      <c r="CA2" s="203"/>
      <c r="CB2" s="203"/>
      <c r="CC2" s="203"/>
      <c r="CD2" s="203"/>
      <c r="CE2" s="203"/>
      <c r="CF2" s="203"/>
      <c r="CG2" s="203"/>
      <c r="CH2" s="203"/>
      <c r="CI2" s="203"/>
      <c r="CJ2" s="203"/>
      <c r="CK2" s="203"/>
    </row>
    <row r="3" spans="1:175" s="369" customFormat="1" ht="15.75" customHeight="1" thickTop="1" thickBot="1">
      <c r="A3" s="196"/>
      <c r="B3" s="318"/>
      <c r="C3" s="360"/>
      <c r="D3" s="360"/>
      <c r="E3" s="360"/>
      <c r="F3" s="360"/>
      <c r="G3" s="360"/>
      <c r="H3" s="360"/>
      <c r="I3" s="360"/>
      <c r="J3" s="360"/>
      <c r="K3" s="360"/>
      <c r="L3" s="370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201"/>
      <c r="AC3" s="201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202"/>
      <c r="AO3" s="202"/>
      <c r="AP3" s="202"/>
      <c r="AQ3" s="205"/>
      <c r="AR3" s="205">
        <v>1</v>
      </c>
      <c r="AS3" s="204">
        <v>100</v>
      </c>
      <c r="AT3" s="205"/>
      <c r="AU3" s="205"/>
      <c r="AV3" s="205"/>
      <c r="AW3" s="205"/>
      <c r="AX3" s="204"/>
      <c r="AY3" s="204"/>
      <c r="AZ3" s="204"/>
      <c r="BA3" s="204"/>
      <c r="BB3" s="204"/>
      <c r="BC3" s="204"/>
      <c r="BD3" s="204"/>
      <c r="BE3" s="204"/>
      <c r="BF3" s="204"/>
      <c r="BG3" s="204"/>
      <c r="BH3" s="204"/>
      <c r="BI3" s="204"/>
      <c r="BJ3" s="204"/>
      <c r="BK3" s="204"/>
      <c r="BL3" s="204"/>
      <c r="BM3" s="204"/>
      <c r="BN3" s="204"/>
      <c r="BO3" s="204"/>
      <c r="BP3" s="204"/>
      <c r="BQ3" s="204"/>
      <c r="BR3" s="204"/>
      <c r="BS3" s="204"/>
      <c r="BT3" s="204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3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</row>
    <row r="4" spans="1:175" s="355" customFormat="1" ht="12" customHeight="1" thickTop="1" thickBot="1">
      <c r="A4" s="211"/>
      <c r="B4" s="222"/>
      <c r="C4" s="368" t="s">
        <v>33</v>
      </c>
      <c r="D4" s="367"/>
      <c r="E4" s="367"/>
      <c r="F4" s="367"/>
      <c r="G4" s="235"/>
      <c r="H4" s="366" t="s">
        <v>160</v>
      </c>
      <c r="I4" s="365">
        <f>IF(H9="NON",VLOOKUP(K10,AR3:AS152,2,FALSE)+D6*10,IF(K9="OUI",VLOOKUP(K10,AR3:AS152,2,FALSE)+D6*20,VLOOKUP(K10,AR3:AS152,2,FALSE)+D6*15))</f>
        <v>5640</v>
      </c>
      <c r="J4" s="364" t="s">
        <v>159</v>
      </c>
      <c r="K4" s="363"/>
      <c r="L4" s="362"/>
      <c r="M4" s="211"/>
      <c r="N4" s="318"/>
      <c r="O4" s="360"/>
      <c r="P4" s="360"/>
      <c r="Q4" s="360"/>
      <c r="R4" s="360"/>
      <c r="S4" s="360"/>
      <c r="T4" s="360"/>
      <c r="U4" s="361"/>
      <c r="V4" s="360"/>
      <c r="W4" s="360"/>
      <c r="X4" s="360"/>
      <c r="Y4" s="360"/>
      <c r="Z4" s="360"/>
      <c r="AA4" s="360"/>
      <c r="AB4" s="359"/>
      <c r="AC4" s="359"/>
      <c r="AD4" s="358"/>
      <c r="AE4" s="358"/>
      <c r="AF4" s="358"/>
      <c r="AG4" s="358"/>
      <c r="AH4" s="358"/>
      <c r="AI4" s="358"/>
      <c r="AJ4" s="358"/>
      <c r="AK4" s="357"/>
      <c r="AL4" s="356"/>
      <c r="AM4" s="489"/>
      <c r="AN4" s="205"/>
      <c r="AO4" s="205"/>
      <c r="AP4" s="205"/>
      <c r="AQ4" s="205"/>
      <c r="AR4" s="205">
        <v>2</v>
      </c>
      <c r="AS4" s="204">
        <v>110</v>
      </c>
      <c r="AT4" s="205"/>
      <c r="AU4" s="205"/>
      <c r="AV4" s="205"/>
      <c r="AW4" s="205"/>
      <c r="AX4" s="204"/>
      <c r="AY4" s="204"/>
      <c r="AZ4" s="204"/>
      <c r="BA4" s="204"/>
      <c r="BB4" s="204"/>
      <c r="BC4" s="204"/>
      <c r="BD4" s="204"/>
      <c r="BE4" s="204"/>
      <c r="BF4" s="204"/>
      <c r="BG4" s="204"/>
      <c r="BH4" s="204"/>
      <c r="BI4" s="204"/>
      <c r="BJ4" s="204"/>
      <c r="BK4" s="204"/>
      <c r="BL4" s="204"/>
      <c r="BM4" s="204"/>
      <c r="BN4" s="204"/>
      <c r="BO4" s="204"/>
      <c r="BP4" s="204"/>
      <c r="BQ4" s="204"/>
      <c r="BR4" s="204"/>
      <c r="BS4" s="204"/>
      <c r="BT4" s="204"/>
      <c r="BU4" s="204"/>
      <c r="BV4" s="204"/>
      <c r="BW4" s="204"/>
      <c r="BX4" s="204"/>
      <c r="BY4" s="204"/>
      <c r="BZ4" s="204"/>
      <c r="CA4" s="204"/>
      <c r="CB4" s="204"/>
      <c r="CC4" s="204"/>
      <c r="CD4" s="204"/>
      <c r="CE4" s="204"/>
      <c r="CF4" s="204"/>
      <c r="CG4" s="204"/>
      <c r="CH4" s="204"/>
      <c r="CI4" s="204"/>
      <c r="CJ4" s="204"/>
      <c r="CK4" s="204"/>
      <c r="CL4" s="210"/>
      <c r="CM4" s="210"/>
      <c r="CN4" s="210"/>
      <c r="CO4" s="210"/>
      <c r="CP4" s="210"/>
      <c r="CQ4" s="210"/>
      <c r="CR4" s="210"/>
      <c r="CS4" s="210"/>
      <c r="CT4" s="210"/>
      <c r="CU4" s="210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</row>
    <row r="5" spans="1:175" ht="15.75" customHeight="1" thickBot="1">
      <c r="A5" s="196"/>
      <c r="B5" s="222"/>
      <c r="C5" s="354" t="s">
        <v>137</v>
      </c>
      <c r="D5" s="353" t="s">
        <v>139</v>
      </c>
      <c r="E5" s="353" t="s">
        <v>138</v>
      </c>
      <c r="F5" s="352" t="s">
        <v>135</v>
      </c>
      <c r="G5" s="352" t="s">
        <v>16</v>
      </c>
      <c r="H5" s="351" t="s">
        <v>15</v>
      </c>
      <c r="I5" s="351" t="s">
        <v>129</v>
      </c>
      <c r="J5" s="350" t="s">
        <v>124</v>
      </c>
      <c r="K5" s="349" t="s">
        <v>123</v>
      </c>
      <c r="L5" s="340"/>
      <c r="M5" s="348"/>
      <c r="N5" s="222"/>
      <c r="O5" s="737" t="s">
        <v>165</v>
      </c>
      <c r="P5" s="738"/>
      <c r="Q5" s="738"/>
      <c r="R5" s="738"/>
      <c r="S5" s="738"/>
      <c r="T5" s="738"/>
      <c r="U5" s="738"/>
      <c r="V5" s="738"/>
      <c r="W5" s="738"/>
      <c r="X5" s="738"/>
      <c r="Y5" s="738"/>
      <c r="Z5" s="738"/>
      <c r="AA5" s="738"/>
      <c r="AB5" s="738"/>
      <c r="AC5" s="738"/>
      <c r="AD5" s="738"/>
      <c r="AE5" s="738"/>
      <c r="AF5" s="738"/>
      <c r="AG5" s="738"/>
      <c r="AH5" s="738"/>
      <c r="AI5" s="738"/>
      <c r="AJ5" s="739"/>
      <c r="AK5" s="347"/>
      <c r="AL5" s="197"/>
      <c r="AM5" s="490"/>
      <c r="AN5" s="202"/>
      <c r="AO5" s="202"/>
      <c r="AP5" s="202"/>
      <c r="AQ5" s="205"/>
      <c r="AR5" s="205">
        <v>3</v>
      </c>
      <c r="AS5" s="204">
        <v>120</v>
      </c>
      <c r="AT5" s="205"/>
      <c r="AU5" s="205"/>
      <c r="AV5" s="205"/>
      <c r="AW5" s="205"/>
      <c r="AX5" s="204"/>
      <c r="AY5" s="204"/>
      <c r="AZ5" s="204"/>
      <c r="BA5" s="204"/>
      <c r="BB5" s="204"/>
      <c r="BC5" s="503">
        <v>0.75</v>
      </c>
      <c r="BD5" s="204"/>
      <c r="BE5" s="204"/>
      <c r="BF5" s="204"/>
      <c r="BG5" s="204"/>
      <c r="BH5" s="204"/>
      <c r="BI5" s="204"/>
      <c r="BJ5" s="204"/>
      <c r="BK5" s="204"/>
      <c r="BL5" s="204"/>
      <c r="BM5" s="204"/>
      <c r="BN5" s="204"/>
      <c r="BO5" s="204"/>
      <c r="BP5" s="204"/>
      <c r="BQ5" s="204"/>
      <c r="BR5" s="204"/>
      <c r="BS5" s="204"/>
      <c r="BT5" s="204"/>
      <c r="BU5" s="203"/>
      <c r="BV5" s="203"/>
      <c r="BW5" s="203"/>
      <c r="BX5" s="203"/>
      <c r="BY5" s="203"/>
      <c r="BZ5" s="203"/>
      <c r="CA5" s="203"/>
      <c r="CB5" s="203"/>
      <c r="CC5" s="203"/>
      <c r="CD5" s="203"/>
      <c r="CE5" s="203"/>
      <c r="CF5" s="203"/>
      <c r="CG5" s="203"/>
      <c r="CH5" s="203"/>
      <c r="CI5" s="203"/>
      <c r="CJ5" s="203"/>
      <c r="CK5" s="203"/>
      <c r="CL5" s="371"/>
      <c r="CM5" s="371"/>
      <c r="CN5" s="371"/>
      <c r="CO5" s="371"/>
      <c r="CP5" s="371"/>
      <c r="CQ5" s="371"/>
      <c r="CR5" s="371"/>
      <c r="CS5" s="371"/>
      <c r="CT5" s="371"/>
      <c r="CU5" s="371"/>
    </row>
    <row r="6" spans="1:175" ht="15.75" customHeight="1" thickBot="1">
      <c r="A6" s="196"/>
      <c r="B6" s="222"/>
      <c r="C6" s="346">
        <f>D16+I16+K18+F18</f>
        <v>0</v>
      </c>
      <c r="D6" s="345">
        <f>D16+F16+I16+K16</f>
        <v>405</v>
      </c>
      <c r="E6" s="345">
        <f>D16+F17+I16+K17</f>
        <v>0</v>
      </c>
      <c r="F6" s="344">
        <f>D19+F19+I19+K19</f>
        <v>98</v>
      </c>
      <c r="G6" s="344">
        <f>D19+F20+I19+K20</f>
        <v>682</v>
      </c>
      <c r="H6" s="343">
        <f>D21+F21+I21+K21</f>
        <v>1210</v>
      </c>
      <c r="I6" s="343">
        <f>D21+F22+I21+K22</f>
        <v>1018</v>
      </c>
      <c r="J6" s="342">
        <f>D23+F23+I23+K23</f>
        <v>636</v>
      </c>
      <c r="K6" s="341">
        <f>D23+F24+I23+K24</f>
        <v>261</v>
      </c>
      <c r="L6" s="340"/>
      <c r="M6" s="314"/>
      <c r="N6" s="222"/>
      <c r="O6" s="235"/>
      <c r="P6" s="235"/>
      <c r="Q6" s="287"/>
      <c r="R6" s="287"/>
      <c r="S6" s="287"/>
      <c r="T6" s="287"/>
      <c r="U6" s="287"/>
      <c r="V6" s="287"/>
      <c r="W6" s="287"/>
      <c r="X6" s="502">
        <f>IF(D11="Feu",I6,C6)</f>
        <v>1018</v>
      </c>
      <c r="Y6" s="501"/>
      <c r="Z6" s="287"/>
      <c r="AA6" s="287"/>
      <c r="AB6" s="492"/>
      <c r="AC6" s="492"/>
      <c r="AD6" s="491"/>
      <c r="AE6" s="491"/>
      <c r="AF6" s="491"/>
      <c r="AG6" s="491"/>
      <c r="AH6" s="491"/>
      <c r="AI6" s="491"/>
      <c r="AJ6" s="491"/>
      <c r="AK6" s="232"/>
      <c r="AL6" s="197"/>
      <c r="AM6" s="490"/>
      <c r="AN6" s="202"/>
      <c r="AO6" s="202"/>
      <c r="AP6" s="202"/>
      <c r="AQ6" s="205"/>
      <c r="AR6" s="205">
        <v>4</v>
      </c>
      <c r="AS6" s="204">
        <v>130</v>
      </c>
      <c r="AT6" s="205"/>
      <c r="AU6" s="205"/>
      <c r="AV6" s="205"/>
      <c r="AW6" s="205"/>
      <c r="AX6" s="204"/>
      <c r="AY6" s="204"/>
      <c r="AZ6" s="204"/>
      <c r="BA6" s="204"/>
      <c r="BB6" s="339" t="s">
        <v>158</v>
      </c>
      <c r="BC6" s="339" t="s">
        <v>157</v>
      </c>
      <c r="BD6" s="204"/>
      <c r="BE6" s="204"/>
      <c r="BF6" s="204"/>
      <c r="BG6" s="204"/>
      <c r="BH6" s="204"/>
      <c r="BI6" s="204"/>
      <c r="BJ6" s="204"/>
      <c r="BK6" s="503">
        <v>0</v>
      </c>
      <c r="BL6" s="204"/>
      <c r="BM6" s="204"/>
      <c r="BN6" s="204"/>
      <c r="BO6" s="503">
        <v>0.55000000000000004</v>
      </c>
      <c r="BP6" s="204"/>
      <c r="BQ6" s="204"/>
      <c r="BR6" s="204"/>
      <c r="BS6" s="503">
        <v>0.25</v>
      </c>
      <c r="BT6" s="204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371"/>
      <c r="CM6" s="371"/>
      <c r="CN6" s="371"/>
      <c r="CO6" s="371"/>
      <c r="CP6" s="371"/>
      <c r="CQ6" s="371"/>
      <c r="CR6" s="371"/>
      <c r="CS6" s="371"/>
      <c r="CT6" s="371"/>
      <c r="CU6" s="371"/>
    </row>
    <row r="7" spans="1:175" ht="15.75" thickBot="1">
      <c r="A7" s="196"/>
      <c r="B7" s="218"/>
      <c r="C7" s="217"/>
      <c r="D7" s="217"/>
      <c r="E7" s="724" t="s">
        <v>156</v>
      </c>
      <c r="F7" s="724"/>
      <c r="G7" s="724"/>
      <c r="H7" s="724"/>
      <c r="I7" s="724"/>
      <c r="J7" s="724"/>
      <c r="K7" s="338">
        <f>IF(K9="OUI",K6+K6*0.5,K6+K6*0.25)</f>
        <v>391.5</v>
      </c>
      <c r="L7" s="219"/>
      <c r="M7" s="314"/>
      <c r="N7" s="222"/>
      <c r="O7" s="740" t="s">
        <v>162</v>
      </c>
      <c r="P7" s="741"/>
      <c r="Q7" s="337">
        <f>X6-100</f>
        <v>918</v>
      </c>
      <c r="R7" s="337">
        <f>X6-55</f>
        <v>963</v>
      </c>
      <c r="S7" s="337">
        <f>X6-40</f>
        <v>978</v>
      </c>
      <c r="T7" s="337">
        <f>X6-30</f>
        <v>988</v>
      </c>
      <c r="U7" s="337">
        <f>X6-20</f>
        <v>998</v>
      </c>
      <c r="V7" s="337">
        <f>X6-10</f>
        <v>1008</v>
      </c>
      <c r="W7" s="337">
        <f>X6-5</f>
        <v>1013</v>
      </c>
      <c r="X7" s="337">
        <f>X6-3</f>
        <v>1015</v>
      </c>
      <c r="Y7" s="337">
        <f>X6</f>
        <v>1018</v>
      </c>
      <c r="Z7" s="337">
        <f>X6+3</f>
        <v>1021</v>
      </c>
      <c r="AA7" s="337">
        <f>X6+5</f>
        <v>1023</v>
      </c>
      <c r="AB7" s="337">
        <f>X6+10</f>
        <v>1028</v>
      </c>
      <c r="AC7" s="337">
        <f>X6+15</f>
        <v>1033</v>
      </c>
      <c r="AD7" s="337">
        <f>X6+20</f>
        <v>1038</v>
      </c>
      <c r="AE7" s="337">
        <f>X6+25</f>
        <v>1043</v>
      </c>
      <c r="AF7" s="337">
        <f>X6+30</f>
        <v>1048</v>
      </c>
      <c r="AG7" s="337">
        <f>X6+35</f>
        <v>1053</v>
      </c>
      <c r="AH7" s="337">
        <f>X6+40</f>
        <v>1058</v>
      </c>
      <c r="AI7" s="337">
        <f>X6+55</f>
        <v>1073</v>
      </c>
      <c r="AJ7" s="336">
        <f>X6+100</f>
        <v>1118</v>
      </c>
      <c r="AK7" s="335"/>
      <c r="AL7" s="197"/>
      <c r="AM7" s="490"/>
      <c r="AN7" s="202"/>
      <c r="AO7" s="202"/>
      <c r="AP7" s="202"/>
      <c r="AQ7" s="205"/>
      <c r="AR7" s="205">
        <v>5</v>
      </c>
      <c r="AS7" s="204">
        <v>140</v>
      </c>
      <c r="AT7" s="205"/>
      <c r="AU7" s="205"/>
      <c r="AV7" s="205"/>
      <c r="AW7" s="205"/>
      <c r="AX7" s="204"/>
      <c r="AY7" s="204"/>
      <c r="AZ7" s="204"/>
      <c r="BA7" s="204"/>
      <c r="BB7" s="231">
        <v>100</v>
      </c>
      <c r="BC7" s="231">
        <v>1.75</v>
      </c>
      <c r="BD7" s="231">
        <v>1.7</v>
      </c>
      <c r="BE7" s="231">
        <v>1.65</v>
      </c>
      <c r="BF7" s="231">
        <v>1.6</v>
      </c>
      <c r="BG7" s="231">
        <v>1.45</v>
      </c>
      <c r="BH7" s="231">
        <v>1.3</v>
      </c>
      <c r="BI7" s="231">
        <v>1.1499999999999999</v>
      </c>
      <c r="BJ7" s="231">
        <v>1.1000000000000001</v>
      </c>
      <c r="BK7" s="231">
        <v>1</v>
      </c>
      <c r="BL7" s="231">
        <v>0.9</v>
      </c>
      <c r="BM7" s="231">
        <v>0.85</v>
      </c>
      <c r="BN7" s="231">
        <v>0.7</v>
      </c>
      <c r="BO7" s="231">
        <v>0.55000000000000004</v>
      </c>
      <c r="BP7" s="231">
        <v>0.4</v>
      </c>
      <c r="BQ7" s="231">
        <v>0.35</v>
      </c>
      <c r="BR7" s="231">
        <v>0.3</v>
      </c>
      <c r="BS7" s="231">
        <v>0.25</v>
      </c>
      <c r="BT7" s="204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371"/>
      <c r="CM7" s="371"/>
      <c r="CN7" s="371"/>
      <c r="CO7" s="371"/>
      <c r="CP7" s="371"/>
      <c r="CQ7" s="371"/>
      <c r="CR7" s="371"/>
      <c r="CS7" s="371"/>
      <c r="CT7" s="371"/>
      <c r="CU7" s="371"/>
    </row>
    <row r="8" spans="1:175" ht="16.5" thickTop="1" thickBot="1">
      <c r="A8" s="196"/>
      <c r="B8" s="196"/>
      <c r="C8" s="211"/>
      <c r="D8" s="211"/>
      <c r="E8" s="211"/>
      <c r="F8" s="211"/>
      <c r="G8" s="211"/>
      <c r="H8" s="211"/>
      <c r="I8" s="211"/>
      <c r="J8" s="211"/>
      <c r="K8" s="321"/>
      <c r="L8" s="321"/>
      <c r="M8" s="196"/>
      <c r="N8" s="222"/>
      <c r="O8" s="725" t="s">
        <v>163</v>
      </c>
      <c r="P8" s="334" t="s">
        <v>12</v>
      </c>
      <c r="Q8" s="493">
        <f t="shared" ref="Q8:AB8" si="0">(($H$11+$H$12)*1.5)*BC7</f>
        <v>601.125</v>
      </c>
      <c r="R8" s="330">
        <f t="shared" si="0"/>
        <v>583.94999999999993</v>
      </c>
      <c r="S8" s="330">
        <f t="shared" si="0"/>
        <v>566.77499999999998</v>
      </c>
      <c r="T8" s="330">
        <f t="shared" si="0"/>
        <v>549.6</v>
      </c>
      <c r="U8" s="330">
        <f t="shared" si="0"/>
        <v>498.07499999999999</v>
      </c>
      <c r="V8" s="330">
        <f t="shared" si="0"/>
        <v>446.55</v>
      </c>
      <c r="W8" s="330">
        <f t="shared" si="0"/>
        <v>395.02499999999998</v>
      </c>
      <c r="X8" s="330">
        <f t="shared" si="0"/>
        <v>377.85</v>
      </c>
      <c r="Y8" s="330">
        <f t="shared" si="0"/>
        <v>343.5</v>
      </c>
      <c r="Z8" s="330">
        <f t="shared" si="0"/>
        <v>309.15000000000003</v>
      </c>
      <c r="AA8" s="330">
        <f t="shared" si="0"/>
        <v>291.97499999999997</v>
      </c>
      <c r="AB8" s="330">
        <f t="shared" si="0"/>
        <v>240.45</v>
      </c>
      <c r="AC8" s="330">
        <f>(($H$11+$H$12)*1.5)*0.63</f>
        <v>216.405</v>
      </c>
      <c r="AD8" s="330">
        <f>(($H$11+$H$12)*1.5)*BO7</f>
        <v>188.92500000000001</v>
      </c>
      <c r="AE8" s="330">
        <f>(($H$11+$H$12)*1.5)*0.48</f>
        <v>164.88</v>
      </c>
      <c r="AF8" s="330">
        <f>(($H$11+$H$12)*1.5)*BP7</f>
        <v>137.4</v>
      </c>
      <c r="AG8" s="330">
        <f>(($H$11+$H$12)*1.5)*0.38</f>
        <v>130.53</v>
      </c>
      <c r="AH8" s="330">
        <f>(($H$11+$H$12)*1.5)*BQ7</f>
        <v>120.22499999999999</v>
      </c>
      <c r="AI8" s="330">
        <f>(($H$11+$H$12)*1.5)*BR7</f>
        <v>103.05</v>
      </c>
      <c r="AJ8" s="330">
        <f>(($H$11+$H$12)*1.5)*BS7</f>
        <v>85.875</v>
      </c>
      <c r="AK8" s="293"/>
      <c r="AL8" s="197"/>
      <c r="AM8" s="490"/>
      <c r="AN8" s="202"/>
      <c r="AO8" s="202"/>
      <c r="AP8" s="202"/>
      <c r="AQ8" s="205"/>
      <c r="AR8" s="205">
        <v>6</v>
      </c>
      <c r="AS8" s="204">
        <v>150</v>
      </c>
      <c r="AT8" s="205"/>
      <c r="AU8" s="205"/>
      <c r="AV8" s="205"/>
      <c r="AW8" s="205"/>
      <c r="AX8" s="204"/>
      <c r="AY8" s="204"/>
      <c r="AZ8" s="204"/>
      <c r="BA8" s="204"/>
      <c r="BB8" s="231">
        <v>55</v>
      </c>
      <c r="BC8" s="231">
        <v>1.7</v>
      </c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04"/>
      <c r="BR8" s="204"/>
      <c r="BS8" s="204"/>
      <c r="BT8" s="204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371"/>
      <c r="CM8" s="371"/>
      <c r="CN8" s="371"/>
      <c r="CO8" s="371"/>
      <c r="CP8" s="371"/>
      <c r="CQ8" s="371"/>
      <c r="CR8" s="371"/>
      <c r="CS8" s="371"/>
      <c r="CT8" s="371"/>
      <c r="CU8" s="371"/>
    </row>
    <row r="9" spans="1:175" ht="15.75" customHeight="1" thickTop="1">
      <c r="A9" s="196"/>
      <c r="B9" s="196"/>
      <c r="C9" s="727" t="s">
        <v>155</v>
      </c>
      <c r="D9" s="728"/>
      <c r="E9" s="728"/>
      <c r="F9" s="723" t="s">
        <v>154</v>
      </c>
      <c r="G9" s="723"/>
      <c r="H9" s="333" t="s">
        <v>152</v>
      </c>
      <c r="I9" s="742" t="s">
        <v>153</v>
      </c>
      <c r="J9" s="742"/>
      <c r="K9" s="332" t="s">
        <v>314</v>
      </c>
      <c r="L9" s="196"/>
      <c r="M9" s="196"/>
      <c r="N9" s="222"/>
      <c r="O9" s="725"/>
      <c r="P9" s="331" t="s">
        <v>10</v>
      </c>
      <c r="Q9" s="330">
        <f t="shared" ref="Q9:AB9" si="1">(((($H$10+$H$11)/2)+$H$12)*1.5)*BC7</f>
        <v>586.6875</v>
      </c>
      <c r="R9" s="330">
        <f t="shared" si="1"/>
        <v>569.92499999999995</v>
      </c>
      <c r="S9" s="330">
        <f t="shared" si="1"/>
        <v>553.16250000000002</v>
      </c>
      <c r="T9" s="330">
        <f t="shared" si="1"/>
        <v>536.4</v>
      </c>
      <c r="U9" s="330">
        <f t="shared" si="1"/>
        <v>486.11250000000001</v>
      </c>
      <c r="V9" s="330">
        <f t="shared" si="1"/>
        <v>435.82499999999999</v>
      </c>
      <c r="W9" s="330">
        <f t="shared" si="1"/>
        <v>385.53749999999997</v>
      </c>
      <c r="X9" s="330">
        <f t="shared" si="1"/>
        <v>368.77500000000003</v>
      </c>
      <c r="Y9" s="330">
        <f t="shared" si="1"/>
        <v>335.25</v>
      </c>
      <c r="Z9" s="330">
        <f t="shared" si="1"/>
        <v>301.72500000000002</v>
      </c>
      <c r="AA9" s="330">
        <f t="shared" si="1"/>
        <v>284.96249999999998</v>
      </c>
      <c r="AB9" s="330">
        <f t="shared" si="1"/>
        <v>234.67499999999998</v>
      </c>
      <c r="AC9" s="330">
        <f>(((($H$10+$H$11)/2)+$H$12)*1.5)*0.63</f>
        <v>211.20750000000001</v>
      </c>
      <c r="AD9" s="330">
        <f>(((($H$10+$H$11)/2)+$H$12)*1.5)*BO7</f>
        <v>184.38750000000002</v>
      </c>
      <c r="AE9" s="330">
        <f>(((($H$10+$H$11)/2)+$H$12)*1.5)*0.48</f>
        <v>160.91999999999999</v>
      </c>
      <c r="AF9" s="330">
        <f>(((($H$10+$H$11)/2)+$H$12)*1.5)*BP7</f>
        <v>134.1</v>
      </c>
      <c r="AG9" s="330">
        <f>(((($H$10+$H$11)/2)+$H$12)*1.5)*0.38</f>
        <v>127.395</v>
      </c>
      <c r="AH9" s="330">
        <f t="shared" ref="AH9:AI9" si="2">(((($H$10+$H$11)/2)+$H$12)*1.5)*BQ7</f>
        <v>117.33749999999999</v>
      </c>
      <c r="AI9" s="330">
        <f t="shared" si="2"/>
        <v>100.575</v>
      </c>
      <c r="AJ9" s="330">
        <f>(((($H$10+$H$11)/2)+$H$12)*1.5)*BS7</f>
        <v>83.8125</v>
      </c>
      <c r="AK9" s="293"/>
      <c r="AL9" s="197"/>
      <c r="AM9" s="490"/>
      <c r="AN9" s="202"/>
      <c r="AO9" s="202"/>
      <c r="AP9" s="202"/>
      <c r="AQ9" s="205"/>
      <c r="AR9" s="205">
        <v>7</v>
      </c>
      <c r="AS9" s="204">
        <v>160</v>
      </c>
      <c r="AT9" s="205"/>
      <c r="AU9" s="205"/>
      <c r="AV9" s="205"/>
      <c r="AW9" s="205"/>
      <c r="AX9" s="204"/>
      <c r="AY9" s="204"/>
      <c r="AZ9" s="204"/>
      <c r="BA9" s="204"/>
      <c r="BB9" s="231">
        <v>40</v>
      </c>
      <c r="BC9" s="231">
        <v>1.65</v>
      </c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  <c r="BR9" s="204"/>
      <c r="BS9" s="204"/>
      <c r="BT9" s="204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371"/>
      <c r="CM9" s="371"/>
      <c r="CN9" s="371"/>
      <c r="CO9" s="371"/>
      <c r="CP9" s="371"/>
      <c r="CQ9" s="371"/>
      <c r="CR9" s="371"/>
      <c r="CS9" s="371"/>
      <c r="CT9" s="371"/>
      <c r="CU9" s="371"/>
    </row>
    <row r="10" spans="1:175">
      <c r="A10" s="196"/>
      <c r="B10" s="196"/>
      <c r="C10" s="729" t="s">
        <v>207</v>
      </c>
      <c r="D10" s="730"/>
      <c r="E10" s="451">
        <v>150</v>
      </c>
      <c r="F10" s="719" t="s">
        <v>151</v>
      </c>
      <c r="G10" s="719"/>
      <c r="H10" s="327">
        <v>218</v>
      </c>
      <c r="I10" s="719" t="s">
        <v>150</v>
      </c>
      <c r="J10" s="719"/>
      <c r="K10" s="326">
        <v>150</v>
      </c>
      <c r="L10" s="211"/>
      <c r="M10" s="211"/>
      <c r="N10" s="222"/>
      <c r="O10" s="726"/>
      <c r="P10" s="329" t="s">
        <v>11</v>
      </c>
      <c r="Q10" s="328">
        <f t="shared" ref="Q10:AB10" si="3">(($H$10+$H$12)*1.5)*BC7</f>
        <v>572.25</v>
      </c>
      <c r="R10" s="328">
        <f t="shared" si="3"/>
        <v>555.9</v>
      </c>
      <c r="S10" s="328">
        <f t="shared" si="3"/>
        <v>539.54999999999995</v>
      </c>
      <c r="T10" s="328">
        <f t="shared" si="3"/>
        <v>523.20000000000005</v>
      </c>
      <c r="U10" s="328">
        <f t="shared" si="3"/>
        <v>474.15</v>
      </c>
      <c r="V10" s="328">
        <f t="shared" si="3"/>
        <v>425.1</v>
      </c>
      <c r="W10" s="328">
        <f t="shared" si="3"/>
        <v>376.04999999999995</v>
      </c>
      <c r="X10" s="328">
        <f t="shared" si="3"/>
        <v>359.70000000000005</v>
      </c>
      <c r="Y10" s="328">
        <f t="shared" si="3"/>
        <v>327</v>
      </c>
      <c r="Z10" s="328">
        <f t="shared" si="3"/>
        <v>294.3</v>
      </c>
      <c r="AA10" s="328">
        <f t="shared" si="3"/>
        <v>277.95</v>
      </c>
      <c r="AB10" s="328">
        <f t="shared" si="3"/>
        <v>228.89999999999998</v>
      </c>
      <c r="AC10" s="328">
        <f>(($H$10+$H$12)*1.5)*0.63</f>
        <v>206.01</v>
      </c>
      <c r="AD10" s="328">
        <f>(($H$10+$H$12)*1.5)*BO7</f>
        <v>179.85000000000002</v>
      </c>
      <c r="AE10" s="328">
        <f>(($H$10+$H$12)*1.5)*0.48</f>
        <v>156.96</v>
      </c>
      <c r="AF10" s="328">
        <f>(($H$10+$H$12)*1.5)*BP7</f>
        <v>130.80000000000001</v>
      </c>
      <c r="AG10" s="328">
        <f>(($H$10+$H$12)*1.5)*0.38</f>
        <v>124.26</v>
      </c>
      <c r="AH10" s="328">
        <f t="shared" ref="AH10:AI10" si="4">(($H$10+$H$12)*1.5)*BQ7</f>
        <v>114.44999999999999</v>
      </c>
      <c r="AI10" s="328">
        <f t="shared" si="4"/>
        <v>98.1</v>
      </c>
      <c r="AJ10" s="328">
        <f>(($H$10+$H$12)*1.5)*BS7</f>
        <v>81.75</v>
      </c>
      <c r="AK10" s="293"/>
      <c r="AL10" s="197"/>
      <c r="AM10" s="490"/>
      <c r="AN10" s="202"/>
      <c r="AO10" s="202"/>
      <c r="AP10" s="202"/>
      <c r="AQ10" s="205"/>
      <c r="AR10" s="205">
        <v>8</v>
      </c>
      <c r="AS10" s="204">
        <v>170</v>
      </c>
      <c r="AT10" s="205"/>
      <c r="AU10" s="205"/>
      <c r="AV10" s="205"/>
      <c r="AW10" s="205"/>
      <c r="AX10" s="204"/>
      <c r="AY10" s="204"/>
      <c r="AZ10" s="204"/>
      <c r="BA10" s="204"/>
      <c r="BB10" s="231">
        <v>30</v>
      </c>
      <c r="BC10" s="231">
        <v>1.6</v>
      </c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04"/>
      <c r="BR10" s="204"/>
      <c r="BS10" s="204"/>
      <c r="BT10" s="204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371"/>
      <c r="CM10" s="371"/>
      <c r="CN10" s="371"/>
      <c r="CO10" s="371"/>
      <c r="CP10" s="371"/>
      <c r="CQ10" s="371"/>
      <c r="CR10" s="371"/>
      <c r="CS10" s="371"/>
      <c r="CT10" s="371"/>
      <c r="CU10" s="371"/>
    </row>
    <row r="11" spans="1:175">
      <c r="A11" s="196"/>
      <c r="B11" s="196"/>
      <c r="C11" s="721" t="s">
        <v>149</v>
      </c>
      <c r="D11" s="710" t="s">
        <v>315</v>
      </c>
      <c r="E11" s="719" t="s">
        <v>148</v>
      </c>
      <c r="F11" s="719"/>
      <c r="G11" s="719"/>
      <c r="H11" s="327">
        <v>229</v>
      </c>
      <c r="I11" s="719" t="s">
        <v>147</v>
      </c>
      <c r="J11" s="719"/>
      <c r="K11" s="326">
        <v>226</v>
      </c>
      <c r="L11" s="321"/>
      <c r="M11" s="321"/>
      <c r="N11" s="222"/>
      <c r="O11" s="715" t="s">
        <v>164</v>
      </c>
      <c r="P11" s="323" t="s">
        <v>12</v>
      </c>
      <c r="Q11" s="494">
        <f t="shared" ref="Q11:AB11" si="5">(($H$11+$H$12)*1.15)*BC7</f>
        <v>460.86249999999995</v>
      </c>
      <c r="R11" s="322">
        <f t="shared" si="5"/>
        <v>447.69499999999994</v>
      </c>
      <c r="S11" s="322">
        <f t="shared" si="5"/>
        <v>434.52749999999992</v>
      </c>
      <c r="T11" s="322">
        <f t="shared" si="5"/>
        <v>421.35999999999996</v>
      </c>
      <c r="U11" s="322">
        <f t="shared" si="5"/>
        <v>381.85749999999996</v>
      </c>
      <c r="V11" s="322">
        <f t="shared" si="5"/>
        <v>342.35499999999996</v>
      </c>
      <c r="W11" s="322">
        <f t="shared" si="5"/>
        <v>302.85249999999996</v>
      </c>
      <c r="X11" s="322">
        <f t="shared" si="5"/>
        <v>289.685</v>
      </c>
      <c r="Y11" s="322">
        <f t="shared" si="5"/>
        <v>263.34999999999997</v>
      </c>
      <c r="Z11" s="322">
        <f t="shared" si="5"/>
        <v>237.01499999999999</v>
      </c>
      <c r="AA11" s="322">
        <f t="shared" si="5"/>
        <v>223.84749999999997</v>
      </c>
      <c r="AB11" s="322">
        <f t="shared" si="5"/>
        <v>184.34499999999997</v>
      </c>
      <c r="AC11" s="322">
        <f>(($H$11+$H$12)*1.15)*0.63</f>
        <v>165.91049999999998</v>
      </c>
      <c r="AD11" s="322">
        <f>(($H$11+$H$12)*1.15)*BO7</f>
        <v>144.8425</v>
      </c>
      <c r="AE11" s="322">
        <f>(($H$11+$H$12)*1.15)*0.48</f>
        <v>126.40799999999997</v>
      </c>
      <c r="AF11" s="322">
        <f>(($H$11+$H$12)*1.15)*BP7</f>
        <v>105.33999999999999</v>
      </c>
      <c r="AG11" s="322">
        <f>(($H$11+$H$12)*1.15)*0.38</f>
        <v>100.07299999999999</v>
      </c>
      <c r="AH11" s="322">
        <f t="shared" ref="AH11:AI11" si="6">(($H$11+$H$12)*1.15)*BQ7</f>
        <v>92.172499999999985</v>
      </c>
      <c r="AI11" s="322">
        <f t="shared" si="6"/>
        <v>79.004999999999981</v>
      </c>
      <c r="AJ11" s="322">
        <f>(($H$11+$H$12)*1.15)*BS7</f>
        <v>65.837499999999991</v>
      </c>
      <c r="AK11" s="293"/>
      <c r="AL11" s="197"/>
      <c r="AM11" s="490"/>
      <c r="AN11" s="202"/>
      <c r="AO11" s="202"/>
      <c r="AP11" s="202"/>
      <c r="AQ11" s="205"/>
      <c r="AR11" s="205">
        <v>9</v>
      </c>
      <c r="AS11" s="204">
        <v>180</v>
      </c>
      <c r="AT11" s="205"/>
      <c r="AU11" s="205"/>
      <c r="AV11" s="205"/>
      <c r="AW11" s="205"/>
      <c r="AX11" s="204"/>
      <c r="AY11" s="204"/>
      <c r="AZ11" s="204"/>
      <c r="BA11" s="204"/>
      <c r="BB11" s="231">
        <v>20</v>
      </c>
      <c r="BC11" s="231">
        <v>1.45</v>
      </c>
      <c r="BD11" s="204"/>
      <c r="BE11" s="204"/>
      <c r="BF11" s="204"/>
      <c r="BG11" s="204"/>
      <c r="BH11" s="204"/>
      <c r="BI11" s="204"/>
      <c r="BJ11" s="204"/>
      <c r="BK11" s="204"/>
      <c r="BL11" s="204"/>
      <c r="BM11" s="204"/>
      <c r="BN11" s="204"/>
      <c r="BO11" s="204"/>
      <c r="BP11" s="204"/>
      <c r="BQ11" s="204"/>
      <c r="BR11" s="204"/>
      <c r="BS11" s="204"/>
      <c r="BT11" s="204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371"/>
      <c r="CM11" s="371"/>
      <c r="CN11" s="371"/>
      <c r="CO11" s="371"/>
      <c r="CP11" s="371"/>
      <c r="CQ11" s="371"/>
      <c r="CR11" s="371"/>
      <c r="CS11" s="371"/>
      <c r="CT11" s="371"/>
      <c r="CU11" s="371"/>
    </row>
    <row r="12" spans="1:175" ht="15.75" customHeight="1" thickBot="1">
      <c r="A12" s="196"/>
      <c r="B12" s="196"/>
      <c r="C12" s="722"/>
      <c r="D12" s="711"/>
      <c r="E12" s="720" t="s">
        <v>146</v>
      </c>
      <c r="F12" s="720"/>
      <c r="G12" s="720"/>
      <c r="H12" s="325">
        <v>0</v>
      </c>
      <c r="I12" s="720" t="s">
        <v>145</v>
      </c>
      <c r="J12" s="720"/>
      <c r="K12" s="324">
        <v>694</v>
      </c>
      <c r="L12" s="321"/>
      <c r="M12" s="321"/>
      <c r="N12" s="222"/>
      <c r="O12" s="716"/>
      <c r="P12" s="320" t="s">
        <v>10</v>
      </c>
      <c r="Q12" s="495">
        <f t="shared" ref="Q12:AB12" si="7">(((($H$10+$H$11)/2)+$H$12)*1.15)*BC7</f>
        <v>449.79374999999993</v>
      </c>
      <c r="R12" s="319">
        <f t="shared" si="7"/>
        <v>436.94249999999994</v>
      </c>
      <c r="S12" s="319">
        <f t="shared" si="7"/>
        <v>424.09124999999995</v>
      </c>
      <c r="T12" s="319">
        <f t="shared" si="7"/>
        <v>411.24</v>
      </c>
      <c r="U12" s="319">
        <f t="shared" si="7"/>
        <v>372.68624999999997</v>
      </c>
      <c r="V12" s="319">
        <f t="shared" si="7"/>
        <v>334.13249999999999</v>
      </c>
      <c r="W12" s="319">
        <f t="shared" si="7"/>
        <v>295.57874999999996</v>
      </c>
      <c r="X12" s="319">
        <f t="shared" si="7"/>
        <v>282.72750000000002</v>
      </c>
      <c r="Y12" s="319">
        <f t="shared" si="7"/>
        <v>257.02499999999998</v>
      </c>
      <c r="Z12" s="319">
        <f t="shared" si="7"/>
        <v>231.32249999999999</v>
      </c>
      <c r="AA12" s="319">
        <f t="shared" si="7"/>
        <v>218.47124999999997</v>
      </c>
      <c r="AB12" s="319">
        <f t="shared" si="7"/>
        <v>179.91749999999996</v>
      </c>
      <c r="AC12" s="319">
        <f>(((($H$10+$H$11)/2)+$H$12)*1.15)*0.63</f>
        <v>161.92574999999999</v>
      </c>
      <c r="AD12" s="319">
        <f>(((($H$10+$H$11)/2)+$H$12)*1.15)*BO7</f>
        <v>141.36375000000001</v>
      </c>
      <c r="AE12" s="319">
        <f>(((($H$10+$H$11)/2)+$H$12)*1.15)*0.48</f>
        <v>123.37199999999999</v>
      </c>
      <c r="AF12" s="319">
        <f>(((($H$10+$H$11)/2)+$H$12)*1.15)*BP7</f>
        <v>102.81</v>
      </c>
      <c r="AG12" s="319">
        <f>(((($H$10+$H$11)/2)+$H$12)*1.15)*0.38</f>
        <v>97.669499999999999</v>
      </c>
      <c r="AH12" s="319">
        <f t="shared" ref="AH12:AI12" si="8">(((($H$10+$H$11)/2)+$H$12)*1.15)*BQ7</f>
        <v>89.958749999999981</v>
      </c>
      <c r="AI12" s="319">
        <f t="shared" si="8"/>
        <v>77.107499999999987</v>
      </c>
      <c r="AJ12" s="319">
        <f>(((($H$10+$H$11)/2)+$H$12)*1.15)*BS7</f>
        <v>64.256249999999994</v>
      </c>
      <c r="AK12" s="293"/>
      <c r="AL12" s="197"/>
      <c r="AM12" s="490"/>
      <c r="AN12" s="202"/>
      <c r="AO12" s="202"/>
      <c r="AP12" s="202"/>
      <c r="AQ12" s="205"/>
      <c r="AR12" s="205">
        <v>10</v>
      </c>
      <c r="AS12" s="204">
        <v>190</v>
      </c>
      <c r="AT12" s="205"/>
      <c r="AU12" s="205"/>
      <c r="AV12" s="205"/>
      <c r="AW12" s="205"/>
      <c r="AX12" s="204"/>
      <c r="AY12" s="204"/>
      <c r="AZ12" s="204"/>
      <c r="BA12" s="204"/>
      <c r="BB12" s="231">
        <v>10</v>
      </c>
      <c r="BC12" s="231">
        <v>1.3</v>
      </c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371"/>
      <c r="CM12" s="371"/>
      <c r="CN12" s="371"/>
      <c r="CO12" s="371"/>
      <c r="CP12" s="371"/>
      <c r="CQ12" s="371"/>
      <c r="CR12" s="371"/>
      <c r="CS12" s="371"/>
      <c r="CT12" s="371"/>
      <c r="CU12" s="371"/>
    </row>
    <row r="13" spans="1:175" ht="16.5" thickTop="1" thickBot="1">
      <c r="A13" s="196"/>
      <c r="B13" s="196"/>
      <c r="C13" s="211"/>
      <c r="D13" s="211"/>
      <c r="E13" s="211"/>
      <c r="F13" s="211"/>
      <c r="G13" s="211"/>
      <c r="H13" s="211"/>
      <c r="I13" s="211"/>
      <c r="J13" s="211"/>
      <c r="K13" s="321"/>
      <c r="L13" s="321"/>
      <c r="M13" s="321"/>
      <c r="N13" s="222"/>
      <c r="O13" s="717"/>
      <c r="P13" s="313" t="s">
        <v>11</v>
      </c>
      <c r="Q13" s="496">
        <f t="shared" ref="Q13:AB13" si="9">(($H$10+$H$12)*1.15)*BC7</f>
        <v>438.72499999999997</v>
      </c>
      <c r="R13" s="312">
        <f t="shared" si="9"/>
        <v>426.19</v>
      </c>
      <c r="S13" s="312">
        <f t="shared" si="9"/>
        <v>413.65499999999997</v>
      </c>
      <c r="T13" s="312">
        <f t="shared" si="9"/>
        <v>401.12</v>
      </c>
      <c r="U13" s="312">
        <f t="shared" si="9"/>
        <v>363.51499999999999</v>
      </c>
      <c r="V13" s="312">
        <f t="shared" si="9"/>
        <v>325.90999999999997</v>
      </c>
      <c r="W13" s="312">
        <f t="shared" si="9"/>
        <v>288.30499999999995</v>
      </c>
      <c r="X13" s="312">
        <f t="shared" si="9"/>
        <v>275.77</v>
      </c>
      <c r="Y13" s="312">
        <f t="shared" si="9"/>
        <v>250.7</v>
      </c>
      <c r="Z13" s="312">
        <f t="shared" si="9"/>
        <v>225.63</v>
      </c>
      <c r="AA13" s="312">
        <f t="shared" si="9"/>
        <v>213.095</v>
      </c>
      <c r="AB13" s="312">
        <f t="shared" si="9"/>
        <v>175.48999999999998</v>
      </c>
      <c r="AC13" s="312">
        <f>(($H$10+$H$12)*1.15)*0.63</f>
        <v>157.941</v>
      </c>
      <c r="AD13" s="312">
        <f>(($H$10+$H$12)*1.15)*BO7</f>
        <v>137.88499999999999</v>
      </c>
      <c r="AE13" s="312">
        <f>(($H$10+$H$12)*1.15)*0.48</f>
        <v>120.33599999999998</v>
      </c>
      <c r="AF13" s="312">
        <f>(($H$10+$H$12)*1.15)*BP7</f>
        <v>100.28</v>
      </c>
      <c r="AG13" s="312">
        <f>(($H$10+$H$12)*1.15)*0.38</f>
        <v>95.265999999999991</v>
      </c>
      <c r="AH13" s="312">
        <f t="shared" ref="AH13:AI13" si="10">(($H$10+$H$12)*1.15)*BQ7</f>
        <v>87.74499999999999</v>
      </c>
      <c r="AI13" s="312">
        <f t="shared" si="10"/>
        <v>75.209999999999994</v>
      </c>
      <c r="AJ13" s="312">
        <f>(($H$10+$H$12)*1.15)*BS7</f>
        <v>62.674999999999997</v>
      </c>
      <c r="AK13" s="293"/>
      <c r="AL13" s="197"/>
      <c r="AM13" s="490"/>
      <c r="AN13" s="202"/>
      <c r="AO13" s="202"/>
      <c r="AP13" s="202"/>
      <c r="AQ13" s="205"/>
      <c r="AR13" s="205">
        <v>11</v>
      </c>
      <c r="AS13" s="204">
        <v>200</v>
      </c>
      <c r="AT13" s="205"/>
      <c r="AU13" s="205"/>
      <c r="AV13" s="205"/>
      <c r="AW13" s="205"/>
      <c r="AX13" s="204"/>
      <c r="AY13" s="204"/>
      <c r="AZ13" s="204"/>
      <c r="BA13" s="204"/>
      <c r="BB13" s="231">
        <v>5</v>
      </c>
      <c r="BC13" s="231">
        <v>1.1499999999999999</v>
      </c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371"/>
      <c r="CM13" s="371"/>
      <c r="CN13" s="371"/>
      <c r="CO13" s="371"/>
      <c r="CP13" s="371"/>
      <c r="CQ13" s="371"/>
      <c r="CR13" s="371"/>
      <c r="CS13" s="371"/>
      <c r="CT13" s="371"/>
      <c r="CU13" s="371"/>
    </row>
    <row r="14" spans="1:175" ht="16.5" thickTop="1" thickBot="1">
      <c r="A14" s="196"/>
      <c r="B14" s="318"/>
      <c r="C14" s="718" t="s">
        <v>144</v>
      </c>
      <c r="D14" s="718"/>
      <c r="E14" s="718"/>
      <c r="F14" s="718"/>
      <c r="G14" s="718"/>
      <c r="H14" s="317" t="s">
        <v>143</v>
      </c>
      <c r="I14" s="316">
        <f>K11-(D16+D19+D21+D23)</f>
        <v>0</v>
      </c>
      <c r="J14" s="317" t="s">
        <v>142</v>
      </c>
      <c r="K14" s="316">
        <f>K12-(F16+F17+F19+F20+F21+F22+F23+F24+F18)</f>
        <v>0</v>
      </c>
      <c r="L14" s="315"/>
      <c r="M14" s="314"/>
      <c r="N14" s="222"/>
      <c r="O14" s="441" t="s">
        <v>166</v>
      </c>
      <c r="P14" s="307" t="s">
        <v>12</v>
      </c>
      <c r="Q14" s="497">
        <f t="shared" ref="Q14:AB14" si="11">(($H$11+$H$12)*1)*BC7</f>
        <v>400.75</v>
      </c>
      <c r="R14" s="306">
        <f t="shared" si="11"/>
        <v>389.3</v>
      </c>
      <c r="S14" s="306">
        <f t="shared" si="11"/>
        <v>377.84999999999997</v>
      </c>
      <c r="T14" s="306">
        <f t="shared" si="11"/>
        <v>366.40000000000003</v>
      </c>
      <c r="U14" s="306">
        <f t="shared" si="11"/>
        <v>332.05</v>
      </c>
      <c r="V14" s="306">
        <f t="shared" si="11"/>
        <v>297.7</v>
      </c>
      <c r="W14" s="306">
        <f t="shared" si="11"/>
        <v>263.34999999999997</v>
      </c>
      <c r="X14" s="306">
        <f t="shared" si="11"/>
        <v>251.90000000000003</v>
      </c>
      <c r="Y14" s="306">
        <f t="shared" si="11"/>
        <v>229</v>
      </c>
      <c r="Z14" s="306">
        <f t="shared" si="11"/>
        <v>206.1</v>
      </c>
      <c r="AA14" s="306">
        <f t="shared" si="11"/>
        <v>194.65</v>
      </c>
      <c r="AB14" s="306">
        <f t="shared" si="11"/>
        <v>160.29999999999998</v>
      </c>
      <c r="AC14" s="306">
        <f>(($H$11+$H$12)*1)*0.63</f>
        <v>144.27000000000001</v>
      </c>
      <c r="AD14" s="306">
        <f>(($H$11+$H$12)*1)*BO7</f>
        <v>125.95000000000002</v>
      </c>
      <c r="AE14" s="306">
        <f>(($H$11+$H$12)*1)*0.48</f>
        <v>109.92</v>
      </c>
      <c r="AF14" s="306">
        <f>(($H$11+$H$12)*1)*BP7</f>
        <v>91.600000000000009</v>
      </c>
      <c r="AG14" s="306">
        <f>(($H$11+$H$12)*1)*0.38</f>
        <v>87.02</v>
      </c>
      <c r="AH14" s="306">
        <f t="shared" ref="AH14:AI14" si="12">(($H$11+$H$12)*1)*BQ7</f>
        <v>80.149999999999991</v>
      </c>
      <c r="AI14" s="306">
        <f t="shared" si="12"/>
        <v>68.7</v>
      </c>
      <c r="AJ14" s="306">
        <f>(($H$11+$H$12)*1)*BS7</f>
        <v>57.25</v>
      </c>
      <c r="AK14" s="293"/>
      <c r="AL14" s="197"/>
      <c r="AM14" s="490"/>
      <c r="AN14" s="202"/>
      <c r="AO14" s="202"/>
      <c r="AP14" s="202"/>
      <c r="AQ14" s="205"/>
      <c r="AR14" s="205">
        <v>12</v>
      </c>
      <c r="AS14" s="204">
        <v>210</v>
      </c>
      <c r="AT14" s="205"/>
      <c r="AU14" s="205"/>
      <c r="AV14" s="205"/>
      <c r="AW14" s="205"/>
      <c r="AX14" s="204"/>
      <c r="AY14" s="204"/>
      <c r="AZ14" s="204"/>
      <c r="BA14" s="204"/>
      <c r="BB14" s="231">
        <v>3</v>
      </c>
      <c r="BC14" s="231">
        <v>1.1000000000000001</v>
      </c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371"/>
      <c r="CM14" s="371"/>
      <c r="CN14" s="371"/>
      <c r="CO14" s="371"/>
      <c r="CP14" s="371"/>
      <c r="CQ14" s="371"/>
      <c r="CR14" s="371"/>
      <c r="CS14" s="371"/>
      <c r="CT14" s="371"/>
      <c r="CU14" s="371"/>
    </row>
    <row r="15" spans="1:175">
      <c r="A15" s="196"/>
      <c r="B15" s="222"/>
      <c r="C15" s="712" t="s">
        <v>141</v>
      </c>
      <c r="D15" s="713"/>
      <c r="E15" s="713"/>
      <c r="F15" s="714"/>
      <c r="G15" s="235"/>
      <c r="H15" s="712" t="s">
        <v>140</v>
      </c>
      <c r="I15" s="713"/>
      <c r="J15" s="713"/>
      <c r="K15" s="714"/>
      <c r="L15" s="311"/>
      <c r="M15" s="310"/>
      <c r="N15" s="222"/>
      <c r="O15" s="439"/>
      <c r="P15" s="303" t="s">
        <v>10</v>
      </c>
      <c r="Q15" s="498">
        <f t="shared" ref="Q15:AB15" si="13">(((($H$10+$H$11)/2)+$H$12)*1)*BC7</f>
        <v>391.125</v>
      </c>
      <c r="R15" s="302">
        <f t="shared" si="13"/>
        <v>379.95</v>
      </c>
      <c r="S15" s="302">
        <f t="shared" si="13"/>
        <v>368.77499999999998</v>
      </c>
      <c r="T15" s="302">
        <f t="shared" si="13"/>
        <v>357.6</v>
      </c>
      <c r="U15" s="302">
        <f t="shared" si="13"/>
        <v>324.07499999999999</v>
      </c>
      <c r="V15" s="302">
        <f t="shared" si="13"/>
        <v>290.55</v>
      </c>
      <c r="W15" s="302">
        <f t="shared" si="13"/>
        <v>257.02499999999998</v>
      </c>
      <c r="X15" s="302">
        <f t="shared" si="13"/>
        <v>245.85000000000002</v>
      </c>
      <c r="Y15" s="302">
        <f t="shared" si="13"/>
        <v>223.5</v>
      </c>
      <c r="Z15" s="302">
        <f t="shared" si="13"/>
        <v>201.15</v>
      </c>
      <c r="AA15" s="302">
        <f t="shared" si="13"/>
        <v>189.97499999999999</v>
      </c>
      <c r="AB15" s="302">
        <f t="shared" si="13"/>
        <v>156.44999999999999</v>
      </c>
      <c r="AC15" s="302">
        <f>(((($H$10+$H$11)/2)+$H$12)*1)*0.63</f>
        <v>140.80500000000001</v>
      </c>
      <c r="AD15" s="302">
        <f>(((($H$10+$H$11)/2)+$H$12)*1)*BO7</f>
        <v>122.92500000000001</v>
      </c>
      <c r="AE15" s="302">
        <f>(((($H$10+$H$11)/2)+$H$12)*1)*0.48</f>
        <v>107.28</v>
      </c>
      <c r="AF15" s="302">
        <f>(((($H$10+$H$11)/2)+$H$12)*1)*BP7</f>
        <v>89.4</v>
      </c>
      <c r="AG15" s="302">
        <f>(((($H$10+$H$11)/2)+$H$12)*1)*0.38</f>
        <v>84.93</v>
      </c>
      <c r="AH15" s="302">
        <f t="shared" ref="AH15:AI15" si="14">(((($H$10+$H$11)/2)+$H$12)*1)*BQ7</f>
        <v>78.224999999999994</v>
      </c>
      <c r="AI15" s="302">
        <f t="shared" si="14"/>
        <v>67.05</v>
      </c>
      <c r="AJ15" s="302">
        <f>(((($H$10+$H$11)/2)+$H$12)*1)*BS7</f>
        <v>55.875</v>
      </c>
      <c r="AK15" s="293"/>
      <c r="AL15" s="197"/>
      <c r="AM15" s="490"/>
      <c r="AN15" s="202"/>
      <c r="AO15" s="202"/>
      <c r="AP15" s="202"/>
      <c r="AQ15" s="205"/>
      <c r="AR15" s="205">
        <v>13</v>
      </c>
      <c r="AS15" s="204">
        <v>220</v>
      </c>
      <c r="AT15" s="205"/>
      <c r="AU15" s="205"/>
      <c r="AV15" s="205"/>
      <c r="AW15" s="205"/>
      <c r="AX15" s="204"/>
      <c r="AY15" s="204"/>
      <c r="AZ15" s="204"/>
      <c r="BA15" s="204"/>
      <c r="BB15" s="231">
        <v>0</v>
      </c>
      <c r="BC15" s="231">
        <v>1</v>
      </c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371"/>
      <c r="CM15" s="371"/>
      <c r="CN15" s="371"/>
      <c r="CO15" s="371"/>
      <c r="CP15" s="371"/>
      <c r="CQ15" s="371"/>
      <c r="CR15" s="371"/>
      <c r="CS15" s="371"/>
      <c r="CT15" s="371"/>
      <c r="CU15" s="371"/>
    </row>
    <row r="16" spans="1:175" ht="15" customHeight="1" thickBot="1">
      <c r="A16" s="196"/>
      <c r="B16" s="222"/>
      <c r="C16" s="309" t="s">
        <v>34</v>
      </c>
      <c r="D16" s="308">
        <v>0</v>
      </c>
      <c r="E16" s="305" t="s">
        <v>139</v>
      </c>
      <c r="F16" s="304">
        <v>291</v>
      </c>
      <c r="G16" s="240"/>
      <c r="H16" s="309" t="s">
        <v>34</v>
      </c>
      <c r="I16" s="308">
        <v>0</v>
      </c>
      <c r="J16" s="305" t="s">
        <v>139</v>
      </c>
      <c r="K16" s="486">
        <f>114</f>
        <v>114</v>
      </c>
      <c r="L16" s="224"/>
      <c r="M16" s="223"/>
      <c r="N16" s="222"/>
      <c r="O16" s="440"/>
      <c r="P16" s="294" t="s">
        <v>11</v>
      </c>
      <c r="Q16" s="499">
        <f t="shared" ref="Q16:AB16" si="15">(($H$10+$H$12)*1)*BC7</f>
        <v>381.5</v>
      </c>
      <c r="R16" s="500">
        <f t="shared" si="15"/>
        <v>370.59999999999997</v>
      </c>
      <c r="S16" s="500">
        <f t="shared" si="15"/>
        <v>359.7</v>
      </c>
      <c r="T16" s="500">
        <f t="shared" si="15"/>
        <v>348.8</v>
      </c>
      <c r="U16" s="500">
        <f t="shared" si="15"/>
        <v>316.09999999999997</v>
      </c>
      <c r="V16" s="500">
        <f t="shared" si="15"/>
        <v>283.40000000000003</v>
      </c>
      <c r="W16" s="500">
        <f t="shared" si="15"/>
        <v>250.7</v>
      </c>
      <c r="X16" s="500">
        <f t="shared" si="15"/>
        <v>239.8</v>
      </c>
      <c r="Y16" s="500">
        <f t="shared" si="15"/>
        <v>218</v>
      </c>
      <c r="Z16" s="500">
        <f t="shared" si="15"/>
        <v>196.20000000000002</v>
      </c>
      <c r="AA16" s="500">
        <f t="shared" si="15"/>
        <v>185.29999999999998</v>
      </c>
      <c r="AB16" s="500">
        <f t="shared" si="15"/>
        <v>152.6</v>
      </c>
      <c r="AC16" s="500">
        <f>(($H$10+$H$12)*1)*0.63</f>
        <v>137.34</v>
      </c>
      <c r="AD16" s="500">
        <f>(($H$10+$H$12)*1)*BO7</f>
        <v>119.9</v>
      </c>
      <c r="AE16" s="500">
        <f>(($H$10+$H$12)*1)*0.48</f>
        <v>104.64</v>
      </c>
      <c r="AF16" s="500">
        <f>(($H$10+$H$12)*1)*BP7</f>
        <v>87.2</v>
      </c>
      <c r="AG16" s="500">
        <f>(($H$10+$H$12)*1)*0.38</f>
        <v>82.84</v>
      </c>
      <c r="AH16" s="500">
        <f t="shared" ref="AH16:AI16" si="16">(($H$10+$H$12)*1)*BQ7</f>
        <v>76.3</v>
      </c>
      <c r="AI16" s="500">
        <f t="shared" si="16"/>
        <v>65.399999999999991</v>
      </c>
      <c r="AJ16" s="500">
        <f>(($H$10+$H$12)*1)*BS7</f>
        <v>54.5</v>
      </c>
      <c r="AK16" s="293"/>
      <c r="AL16" s="197"/>
      <c r="AM16" s="490"/>
      <c r="AN16" s="202"/>
      <c r="AO16" s="202"/>
      <c r="AP16" s="202"/>
      <c r="AQ16" s="205"/>
      <c r="AR16" s="205">
        <v>14</v>
      </c>
      <c r="AS16" s="204">
        <v>230</v>
      </c>
      <c r="AT16" s="205"/>
      <c r="AU16" s="205"/>
      <c r="AV16" s="205"/>
      <c r="AW16" s="205"/>
      <c r="AX16" s="204"/>
      <c r="AY16" s="204"/>
      <c r="AZ16" s="204"/>
      <c r="BA16" s="204"/>
      <c r="BB16" s="231">
        <v>-3</v>
      </c>
      <c r="BC16" s="231">
        <v>0.9</v>
      </c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371"/>
      <c r="CM16" s="371"/>
      <c r="CN16" s="371"/>
      <c r="CO16" s="371"/>
      <c r="CP16" s="371"/>
      <c r="CQ16" s="371"/>
      <c r="CR16" s="371"/>
      <c r="CS16" s="371"/>
      <c r="CT16" s="371"/>
      <c r="CU16" s="371"/>
    </row>
    <row r="17" spans="1:175" ht="15.75" thickBot="1">
      <c r="A17" s="196"/>
      <c r="B17" s="222"/>
      <c r="C17" s="301"/>
      <c r="D17" s="299"/>
      <c r="E17" s="305" t="s">
        <v>138</v>
      </c>
      <c r="F17" s="304">
        <v>0</v>
      </c>
      <c r="G17" s="240"/>
      <c r="H17" s="300"/>
      <c r="I17" s="299"/>
      <c r="J17" s="305" t="s">
        <v>138</v>
      </c>
      <c r="K17" s="486">
        <v>0</v>
      </c>
      <c r="L17" s="224"/>
      <c r="M17" s="223"/>
      <c r="N17" s="222"/>
      <c r="O17" s="235"/>
      <c r="P17" s="235"/>
      <c r="Q17" s="235"/>
      <c r="R17" s="235"/>
      <c r="S17" s="235"/>
      <c r="T17" s="235"/>
      <c r="U17" s="287"/>
      <c r="V17" s="235"/>
      <c r="W17" s="235"/>
      <c r="X17" s="235"/>
      <c r="Y17" s="235"/>
      <c r="Z17" s="235"/>
      <c r="AA17" s="235"/>
      <c r="AB17" s="234"/>
      <c r="AC17" s="234"/>
      <c r="AD17" s="233"/>
      <c r="AE17" s="233"/>
      <c r="AF17" s="233"/>
      <c r="AG17" s="233"/>
      <c r="AH17" s="233"/>
      <c r="AI17" s="233"/>
      <c r="AJ17" s="233"/>
      <c r="AK17" s="293"/>
      <c r="AL17" s="197"/>
      <c r="AM17" s="490"/>
      <c r="AN17" s="202"/>
      <c r="AO17" s="202"/>
      <c r="AP17" s="202"/>
      <c r="AQ17" s="205"/>
      <c r="AR17" s="205">
        <v>15</v>
      </c>
      <c r="AS17" s="204">
        <v>240</v>
      </c>
      <c r="AT17" s="205"/>
      <c r="AU17" s="205"/>
      <c r="AV17" s="205"/>
      <c r="AW17" s="205"/>
      <c r="AX17" s="204"/>
      <c r="AY17" s="204"/>
      <c r="AZ17" s="204"/>
      <c r="BA17" s="204"/>
      <c r="BB17" s="231">
        <v>-5</v>
      </c>
      <c r="BC17" s="231">
        <v>0.85</v>
      </c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  <c r="BO17" s="204"/>
      <c r="BP17" s="204"/>
      <c r="BQ17" s="204"/>
      <c r="BR17" s="204"/>
      <c r="BS17" s="204"/>
      <c r="BT17" s="204"/>
      <c r="BU17" s="504"/>
      <c r="BV17" s="504"/>
      <c r="BW17" s="504"/>
      <c r="BX17" s="504"/>
      <c r="BY17" s="504"/>
      <c r="BZ17" s="504"/>
      <c r="CA17" s="504"/>
      <c r="CB17" s="504"/>
      <c r="CC17" s="504"/>
      <c r="CD17" s="504"/>
      <c r="CE17" s="504"/>
      <c r="CF17" s="504"/>
      <c r="CG17" s="504"/>
      <c r="CH17" s="504"/>
      <c r="CI17" s="504"/>
      <c r="CJ17" s="504"/>
      <c r="CK17" s="504"/>
      <c r="CL17" s="488"/>
      <c r="CM17" s="488"/>
      <c r="CN17" s="488"/>
      <c r="CO17" s="488"/>
      <c r="CP17" s="488"/>
      <c r="CQ17" s="488"/>
      <c r="CR17" s="488"/>
      <c r="CS17" s="488"/>
      <c r="CT17" s="488"/>
      <c r="CU17" s="488"/>
      <c r="CV17" s="195"/>
      <c r="CW17" s="195"/>
      <c r="CX17" s="195"/>
      <c r="CY17" s="195"/>
      <c r="CZ17" s="195"/>
      <c r="DA17" s="195"/>
      <c r="DB17" s="195"/>
      <c r="DC17" s="195"/>
      <c r="DD17" s="195"/>
      <c r="DE17" s="195"/>
      <c r="DF17" s="195"/>
      <c r="DG17" s="195"/>
      <c r="DH17" s="195"/>
      <c r="DI17" s="195"/>
      <c r="DJ17" s="195"/>
      <c r="DK17" s="195"/>
      <c r="DL17" s="195"/>
      <c r="DM17" s="195"/>
      <c r="DN17" s="195"/>
      <c r="DO17" s="195"/>
      <c r="DP17" s="195"/>
      <c r="DQ17" s="195"/>
      <c r="DR17" s="195"/>
      <c r="DS17" s="195"/>
      <c r="DT17" s="195"/>
      <c r="DU17" s="195"/>
      <c r="DV17" s="195"/>
      <c r="DW17" s="195"/>
      <c r="DX17" s="195"/>
      <c r="DY17" s="195"/>
      <c r="DZ17" s="195"/>
      <c r="EA17" s="195"/>
      <c r="EB17" s="195"/>
      <c r="EC17" s="195"/>
      <c r="ED17" s="195"/>
      <c r="EE17" s="195"/>
      <c r="EF17" s="195"/>
      <c r="EG17" s="195"/>
      <c r="EH17" s="195"/>
      <c r="EI17" s="195"/>
      <c r="EJ17" s="195"/>
      <c r="EK17" s="195"/>
      <c r="EL17" s="195"/>
      <c r="EM17" s="195"/>
      <c r="EN17" s="195"/>
      <c r="EO17" s="195"/>
      <c r="EP17" s="195"/>
      <c r="EQ17" s="195"/>
      <c r="ER17" s="195"/>
      <c r="ES17" s="195"/>
      <c r="ET17" s="195"/>
      <c r="EU17" s="195"/>
      <c r="EV17" s="195"/>
      <c r="EW17" s="195"/>
      <c r="EX17" s="195"/>
      <c r="EY17" s="195"/>
      <c r="EZ17" s="195"/>
      <c r="FA17" s="195"/>
      <c r="FB17" s="195"/>
      <c r="FC17" s="195"/>
      <c r="FD17" s="195"/>
      <c r="FE17" s="195"/>
      <c r="FF17" s="195"/>
      <c r="FG17" s="195"/>
      <c r="FH17" s="195"/>
      <c r="FI17" s="195"/>
      <c r="FJ17" s="195"/>
      <c r="FK17" s="195"/>
      <c r="FL17" s="195"/>
      <c r="FM17" s="195"/>
      <c r="FN17" s="195"/>
      <c r="FO17" s="195"/>
      <c r="FP17" s="195"/>
      <c r="FQ17" s="195"/>
      <c r="FR17" s="195"/>
      <c r="FS17" s="195"/>
    </row>
    <row r="18" spans="1:175" ht="15.75" thickBot="1">
      <c r="A18" s="196"/>
      <c r="B18" s="222"/>
      <c r="C18" s="301"/>
      <c r="D18" s="299"/>
      <c r="E18" s="298" t="s">
        <v>137</v>
      </c>
      <c r="F18" s="297">
        <v>0</v>
      </c>
      <c r="G18" s="240"/>
      <c r="H18" s="300"/>
      <c r="I18" s="299"/>
      <c r="J18" s="298" t="s">
        <v>137</v>
      </c>
      <c r="K18" s="485">
        <v>0</v>
      </c>
      <c r="L18" s="296"/>
      <c r="M18" s="295"/>
      <c r="N18" s="222"/>
      <c r="O18" s="442"/>
      <c r="P18" s="443"/>
      <c r="Q18" s="443"/>
      <c r="R18" s="443"/>
      <c r="S18" s="443"/>
      <c r="T18" s="443"/>
      <c r="U18" s="443"/>
      <c r="V18" s="443"/>
      <c r="W18" s="443"/>
      <c r="X18" s="443"/>
      <c r="Y18" s="443"/>
      <c r="Z18" s="447"/>
      <c r="AA18" s="449" t="s">
        <v>208</v>
      </c>
      <c r="AB18" s="450">
        <f>(5*E10+4)/7</f>
        <v>107.71428571428571</v>
      </c>
      <c r="AC18" s="450"/>
      <c r="AD18" s="445" t="s">
        <v>127</v>
      </c>
      <c r="AE18" s="445"/>
      <c r="AF18" s="448">
        <f>(7*E10+4)/5</f>
        <v>210.8</v>
      </c>
      <c r="AG18" s="448"/>
      <c r="AH18" s="448"/>
      <c r="AI18" s="446"/>
      <c r="AJ18" s="444"/>
      <c r="AK18" s="293"/>
      <c r="AL18" s="197"/>
      <c r="AM18" s="490"/>
      <c r="AN18" s="202"/>
      <c r="AO18" s="202"/>
      <c r="AP18" s="202"/>
      <c r="AQ18" s="205"/>
      <c r="AR18" s="205">
        <v>16</v>
      </c>
      <c r="AS18" s="204">
        <v>250</v>
      </c>
      <c r="AT18" s="205"/>
      <c r="AU18" s="205"/>
      <c r="AV18" s="205"/>
      <c r="AW18" s="205"/>
      <c r="AX18" s="204"/>
      <c r="AY18" s="204"/>
      <c r="AZ18" s="204"/>
      <c r="BA18" s="204"/>
      <c r="BB18" s="231">
        <v>-10</v>
      </c>
      <c r="BC18" s="231">
        <v>0.7</v>
      </c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  <c r="BO18" s="204"/>
      <c r="BP18" s="204"/>
      <c r="BQ18" s="204"/>
      <c r="BR18" s="204"/>
      <c r="BS18" s="204"/>
      <c r="BT18" s="204"/>
      <c r="BU18" s="504"/>
      <c r="BV18" s="504"/>
      <c r="BW18" s="504"/>
      <c r="BX18" s="504"/>
      <c r="BY18" s="504"/>
      <c r="BZ18" s="504"/>
      <c r="CA18" s="504"/>
      <c r="CB18" s="504"/>
      <c r="CC18" s="504"/>
      <c r="CD18" s="504"/>
      <c r="CE18" s="504"/>
      <c r="CF18" s="504"/>
      <c r="CG18" s="504"/>
      <c r="CH18" s="504"/>
      <c r="CI18" s="504"/>
      <c r="CJ18" s="504"/>
      <c r="CK18" s="504"/>
      <c r="CL18" s="195"/>
      <c r="CM18" s="195"/>
      <c r="CN18" s="195"/>
      <c r="CO18" s="195"/>
      <c r="CP18" s="195"/>
      <c r="CQ18" s="195"/>
      <c r="CR18" s="195"/>
      <c r="CS18" s="195"/>
      <c r="CT18" s="195"/>
      <c r="CU18" s="195"/>
      <c r="CV18" s="195"/>
      <c r="CW18" s="195"/>
      <c r="CX18" s="195"/>
      <c r="CY18" s="195"/>
      <c r="CZ18" s="195"/>
      <c r="DA18" s="195"/>
      <c r="DB18" s="195"/>
      <c r="DC18" s="195"/>
      <c r="DD18" s="195"/>
      <c r="DE18" s="195"/>
      <c r="DF18" s="195"/>
      <c r="DG18" s="195"/>
      <c r="DH18" s="195"/>
      <c r="DI18" s="195"/>
      <c r="DJ18" s="195"/>
      <c r="DK18" s="195"/>
      <c r="DL18" s="195"/>
      <c r="DM18" s="195"/>
      <c r="DN18" s="195"/>
      <c r="DO18" s="195"/>
      <c r="DP18" s="195"/>
      <c r="DQ18" s="195"/>
      <c r="DR18" s="195"/>
      <c r="DS18" s="195"/>
      <c r="DT18" s="195"/>
      <c r="DU18" s="195"/>
      <c r="DV18" s="195"/>
      <c r="DW18" s="195"/>
      <c r="DX18" s="195"/>
      <c r="DY18" s="195"/>
      <c r="DZ18" s="195"/>
      <c r="EA18" s="195"/>
      <c r="EB18" s="195"/>
      <c r="EC18" s="195"/>
      <c r="ED18" s="195"/>
      <c r="EE18" s="195"/>
      <c r="EF18" s="195"/>
      <c r="EG18" s="195"/>
      <c r="EH18" s="195"/>
      <c r="EI18" s="195"/>
      <c r="EJ18" s="195"/>
      <c r="EK18" s="195"/>
      <c r="EL18" s="195"/>
      <c r="EM18" s="195"/>
      <c r="EN18" s="195"/>
      <c r="EO18" s="195"/>
      <c r="EP18" s="195"/>
      <c r="EQ18" s="195"/>
      <c r="ER18" s="195"/>
      <c r="ES18" s="195"/>
      <c r="ET18" s="195"/>
      <c r="EU18" s="195"/>
      <c r="EV18" s="195"/>
      <c r="EW18" s="195"/>
      <c r="EX18" s="195"/>
      <c r="EY18" s="195"/>
      <c r="EZ18" s="195"/>
      <c r="FA18" s="195"/>
      <c r="FB18" s="195"/>
      <c r="FC18" s="195"/>
      <c r="FD18" s="195"/>
      <c r="FE18" s="195"/>
      <c r="FF18" s="195"/>
      <c r="FG18" s="195"/>
      <c r="FH18" s="195"/>
      <c r="FI18" s="195"/>
      <c r="FJ18" s="195"/>
      <c r="FK18" s="195"/>
      <c r="FL18" s="195"/>
      <c r="FM18" s="195"/>
      <c r="FN18" s="195"/>
      <c r="FO18" s="195"/>
      <c r="FP18" s="195"/>
      <c r="FQ18" s="195"/>
      <c r="FR18" s="195"/>
      <c r="FS18" s="195"/>
    </row>
    <row r="19" spans="1:175" ht="15.75" thickBot="1">
      <c r="A19" s="196"/>
      <c r="B19" s="222"/>
      <c r="C19" s="291" t="s">
        <v>136</v>
      </c>
      <c r="D19" s="290">
        <v>39</v>
      </c>
      <c r="E19" s="292" t="s">
        <v>135</v>
      </c>
      <c r="F19" s="288">
        <v>0</v>
      </c>
      <c r="G19" s="240"/>
      <c r="H19" s="291" t="s">
        <v>136</v>
      </c>
      <c r="I19" s="290">
        <v>59</v>
      </c>
      <c r="J19" s="289" t="s">
        <v>135</v>
      </c>
      <c r="K19" s="484">
        <v>0</v>
      </c>
      <c r="L19" s="224"/>
      <c r="M19" s="223"/>
      <c r="N19" s="222"/>
      <c r="O19" s="235"/>
      <c r="P19" s="235"/>
      <c r="Q19" s="235"/>
      <c r="R19" s="235"/>
      <c r="S19" s="235"/>
      <c r="T19" s="235"/>
      <c r="U19" s="287"/>
      <c r="V19" s="235"/>
      <c r="W19" s="235"/>
      <c r="X19" s="235"/>
      <c r="Y19" s="235"/>
      <c r="Z19" s="235"/>
      <c r="AA19" s="235"/>
      <c r="AB19" s="234"/>
      <c r="AC19" s="234"/>
      <c r="AD19" s="233"/>
      <c r="AE19" s="233"/>
      <c r="AF19" s="233"/>
      <c r="AG19" s="233"/>
      <c r="AH19" s="233"/>
      <c r="AI19" s="233"/>
      <c r="AJ19" s="233"/>
      <c r="AK19" s="232"/>
      <c r="AL19" s="197"/>
      <c r="AM19" s="490"/>
      <c r="AN19" s="202"/>
      <c r="AO19" s="202"/>
      <c r="AP19" s="202"/>
      <c r="AQ19" s="205"/>
      <c r="AR19" s="205">
        <v>17</v>
      </c>
      <c r="AS19" s="204">
        <v>260</v>
      </c>
      <c r="AT19" s="205"/>
      <c r="AU19" s="205"/>
      <c r="AV19" s="205"/>
      <c r="AW19" s="205"/>
      <c r="AX19" s="204"/>
      <c r="AY19" s="204"/>
      <c r="AZ19" s="204"/>
      <c r="BA19" s="204"/>
      <c r="BB19" s="231">
        <v>-20</v>
      </c>
      <c r="BC19" s="231">
        <v>0.55000000000000004</v>
      </c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4"/>
      <c r="BQ19" s="204"/>
      <c r="BR19" s="204"/>
      <c r="BS19" s="204"/>
      <c r="BT19" s="204"/>
      <c r="BU19" s="504"/>
      <c r="BV19" s="504"/>
      <c r="BW19" s="504"/>
      <c r="BX19" s="504"/>
      <c r="BY19" s="504"/>
      <c r="BZ19" s="504"/>
      <c r="CA19" s="504"/>
      <c r="CB19" s="504"/>
      <c r="CC19" s="504"/>
      <c r="CD19" s="504"/>
      <c r="CE19" s="504"/>
      <c r="CF19" s="504"/>
      <c r="CG19" s="504"/>
      <c r="CH19" s="504"/>
      <c r="CI19" s="504"/>
      <c r="CJ19" s="504"/>
      <c r="CK19" s="504"/>
      <c r="CL19" s="195"/>
      <c r="CM19" s="195"/>
      <c r="CN19" s="195"/>
      <c r="CO19" s="195"/>
      <c r="CP19" s="195"/>
      <c r="CQ19" s="195"/>
      <c r="CR19" s="195"/>
      <c r="CS19" s="195"/>
      <c r="CT19" s="195"/>
      <c r="CU19" s="195"/>
      <c r="CV19" s="195"/>
      <c r="CW19" s="195"/>
      <c r="CX19" s="195"/>
      <c r="CY19" s="195"/>
      <c r="CZ19" s="195"/>
      <c r="DA19" s="195"/>
      <c r="DB19" s="195"/>
      <c r="DC19" s="195"/>
      <c r="DD19" s="195"/>
      <c r="DE19" s="195"/>
      <c r="DF19" s="195"/>
      <c r="DG19" s="195"/>
      <c r="DH19" s="195"/>
      <c r="DI19" s="195"/>
      <c r="DJ19" s="195"/>
      <c r="DK19" s="195"/>
      <c r="DL19" s="195"/>
      <c r="DM19" s="195"/>
      <c r="DN19" s="195"/>
      <c r="DO19" s="195"/>
      <c r="DP19" s="195"/>
      <c r="DQ19" s="195"/>
      <c r="DR19" s="195"/>
      <c r="DS19" s="195"/>
      <c r="DT19" s="195"/>
      <c r="DU19" s="195"/>
      <c r="DV19" s="195"/>
      <c r="DW19" s="195"/>
      <c r="DX19" s="195"/>
      <c r="DY19" s="195"/>
      <c r="DZ19" s="195"/>
      <c r="EA19" s="195"/>
      <c r="EB19" s="195"/>
      <c r="EC19" s="195"/>
      <c r="ED19" s="195"/>
      <c r="EE19" s="195"/>
      <c r="EF19" s="195"/>
      <c r="EG19" s="195"/>
      <c r="EH19" s="195"/>
      <c r="EI19" s="195"/>
      <c r="EJ19" s="195"/>
      <c r="EK19" s="195"/>
      <c r="EL19" s="195"/>
      <c r="EM19" s="195"/>
      <c r="EN19" s="195"/>
      <c r="EO19" s="195"/>
      <c r="EP19" s="195"/>
      <c r="EQ19" s="195"/>
      <c r="ER19" s="195"/>
      <c r="ES19" s="195"/>
      <c r="ET19" s="195"/>
      <c r="EU19" s="195"/>
      <c r="EV19" s="195"/>
      <c r="EW19" s="195"/>
      <c r="EX19" s="195"/>
      <c r="EY19" s="195"/>
      <c r="EZ19" s="195"/>
      <c r="FA19" s="195"/>
      <c r="FB19" s="195"/>
      <c r="FC19" s="195"/>
      <c r="FD19" s="195"/>
      <c r="FE19" s="195"/>
      <c r="FF19" s="195"/>
      <c r="FG19" s="195"/>
      <c r="FH19" s="195"/>
      <c r="FI19" s="195"/>
      <c r="FJ19" s="195"/>
      <c r="FK19" s="195"/>
      <c r="FL19" s="195"/>
      <c r="FM19" s="195"/>
      <c r="FN19" s="195"/>
      <c r="FO19" s="195"/>
      <c r="FP19" s="195"/>
      <c r="FQ19" s="195"/>
      <c r="FR19" s="195"/>
      <c r="FS19" s="195"/>
    </row>
    <row r="20" spans="1:175">
      <c r="A20" s="196"/>
      <c r="B20" s="222"/>
      <c r="C20" s="286"/>
      <c r="D20" s="285"/>
      <c r="E20" s="284" t="s">
        <v>16</v>
      </c>
      <c r="F20" s="283">
        <v>403</v>
      </c>
      <c r="G20" s="240"/>
      <c r="H20" s="282"/>
      <c r="I20" s="281"/>
      <c r="J20" s="280" t="s">
        <v>16</v>
      </c>
      <c r="K20" s="483">
        <v>181</v>
      </c>
      <c r="L20" s="224"/>
      <c r="M20" s="223"/>
      <c r="N20" s="222"/>
      <c r="O20" s="279" t="s">
        <v>134</v>
      </c>
      <c r="P20" s="278"/>
      <c r="Q20" s="277"/>
      <c r="R20" s="277"/>
      <c r="S20" s="277"/>
      <c r="T20" s="276" t="s">
        <v>133</v>
      </c>
      <c r="U20" s="275"/>
      <c r="V20" s="274"/>
      <c r="W20" s="273"/>
      <c r="X20" s="273"/>
      <c r="Y20" s="273"/>
      <c r="Z20" s="273"/>
      <c r="AA20" s="273"/>
      <c r="AB20" s="273"/>
      <c r="AC20" s="273"/>
      <c r="AD20" s="272"/>
      <c r="AE20" s="272"/>
      <c r="AF20" s="271" t="s">
        <v>247</v>
      </c>
      <c r="AG20" s="271"/>
      <c r="AH20" s="743" t="s">
        <v>5</v>
      </c>
      <c r="AI20" s="743"/>
      <c r="AJ20" s="506"/>
      <c r="AK20" s="232"/>
      <c r="AL20" s="197"/>
      <c r="AM20" s="490"/>
      <c r="AN20" s="202"/>
      <c r="AO20" s="202"/>
      <c r="AP20" s="202"/>
      <c r="AQ20" s="205"/>
      <c r="AR20" s="205">
        <v>18</v>
      </c>
      <c r="AS20" s="204">
        <v>270</v>
      </c>
      <c r="AT20" s="205"/>
      <c r="AU20" s="205"/>
      <c r="AV20" s="205"/>
      <c r="AW20" s="205"/>
      <c r="AX20" s="204"/>
      <c r="AY20" s="204"/>
      <c r="AZ20" s="204"/>
      <c r="BA20" s="204"/>
      <c r="BB20" s="231">
        <v>-30</v>
      </c>
      <c r="BC20" s="231">
        <v>0.4</v>
      </c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4"/>
      <c r="BP20" s="204"/>
      <c r="BQ20" s="204"/>
      <c r="BR20" s="204"/>
      <c r="BS20" s="204"/>
      <c r="BT20" s="204"/>
      <c r="BU20" s="504"/>
      <c r="BV20" s="504"/>
      <c r="BW20" s="504"/>
      <c r="BX20" s="504"/>
      <c r="BY20" s="504"/>
      <c r="BZ20" s="504"/>
      <c r="CA20" s="504"/>
      <c r="CB20" s="504"/>
      <c r="CC20" s="504"/>
      <c r="CD20" s="504"/>
      <c r="CE20" s="504"/>
      <c r="CF20" s="504"/>
      <c r="CG20" s="504"/>
      <c r="CH20" s="504"/>
      <c r="CI20" s="504"/>
      <c r="CJ20" s="504"/>
      <c r="CK20" s="504"/>
      <c r="CL20" s="195"/>
      <c r="CM20" s="195"/>
      <c r="CN20" s="195"/>
      <c r="CO20" s="195"/>
      <c r="CP20" s="195"/>
      <c r="CQ20" s="195"/>
      <c r="CR20" s="195"/>
      <c r="CS20" s="195"/>
      <c r="CT20" s="195"/>
      <c r="CU20" s="195"/>
      <c r="CV20" s="195"/>
      <c r="CW20" s="195"/>
      <c r="CX20" s="195"/>
      <c r="CY20" s="195"/>
      <c r="CZ20" s="195"/>
      <c r="DA20" s="195"/>
      <c r="DB20" s="195"/>
      <c r="DC20" s="195"/>
      <c r="DD20" s="195"/>
      <c r="DE20" s="195"/>
      <c r="DF20" s="195"/>
      <c r="DG20" s="195"/>
      <c r="DH20" s="195"/>
      <c r="DI20" s="195"/>
      <c r="DJ20" s="195"/>
      <c r="DK20" s="195"/>
      <c r="DL20" s="195"/>
      <c r="DM20" s="195"/>
      <c r="DN20" s="195"/>
      <c r="DO20" s="195"/>
      <c r="DP20" s="195"/>
      <c r="DQ20" s="195"/>
      <c r="DR20" s="195"/>
      <c r="DS20" s="195"/>
      <c r="DT20" s="195"/>
      <c r="DU20" s="195"/>
      <c r="DV20" s="195"/>
      <c r="DW20" s="195"/>
      <c r="DX20" s="195"/>
      <c r="DY20" s="195"/>
      <c r="DZ20" s="195"/>
      <c r="EA20" s="195"/>
      <c r="EB20" s="195"/>
      <c r="EC20" s="195"/>
      <c r="ED20" s="195"/>
      <c r="EE20" s="195"/>
      <c r="EF20" s="195"/>
      <c r="EG20" s="195"/>
      <c r="EH20" s="195"/>
      <c r="EI20" s="195"/>
      <c r="EJ20" s="195"/>
      <c r="EK20" s="195"/>
      <c r="EL20" s="195"/>
      <c r="EM20" s="195"/>
      <c r="EN20" s="195"/>
      <c r="EO20" s="195"/>
      <c r="EP20" s="195"/>
      <c r="EQ20" s="195"/>
      <c r="ER20" s="195"/>
      <c r="ES20" s="195"/>
      <c r="ET20" s="195"/>
      <c r="EU20" s="195"/>
      <c r="EV20" s="195"/>
      <c r="EW20" s="195"/>
      <c r="EX20" s="195"/>
      <c r="EY20" s="195"/>
      <c r="EZ20" s="195"/>
      <c r="FA20" s="195"/>
      <c r="FB20" s="195"/>
      <c r="FC20" s="195"/>
      <c r="FD20" s="195"/>
      <c r="FE20" s="195"/>
      <c r="FF20" s="195"/>
      <c r="FG20" s="195"/>
      <c r="FH20" s="195"/>
      <c r="FI20" s="195"/>
      <c r="FJ20" s="195"/>
      <c r="FK20" s="195"/>
      <c r="FL20" s="195"/>
      <c r="FM20" s="195"/>
      <c r="FN20" s="195"/>
      <c r="FO20" s="195"/>
      <c r="FP20" s="195"/>
      <c r="FQ20" s="195"/>
      <c r="FR20" s="195"/>
      <c r="FS20" s="195"/>
    </row>
    <row r="21" spans="1:175">
      <c r="A21" s="196"/>
      <c r="B21" s="222"/>
      <c r="C21" s="270" t="s">
        <v>132</v>
      </c>
      <c r="D21" s="269">
        <v>117</v>
      </c>
      <c r="E21" s="256" t="s">
        <v>15</v>
      </c>
      <c r="F21" s="252">
        <v>0</v>
      </c>
      <c r="G21" s="240"/>
      <c r="H21" s="268" t="s">
        <v>132</v>
      </c>
      <c r="I21" s="267">
        <v>101</v>
      </c>
      <c r="J21" s="266" t="s">
        <v>15</v>
      </c>
      <c r="K21" s="482">
        <f>878+114</f>
        <v>992</v>
      </c>
      <c r="L21" s="224"/>
      <c r="M21" s="223"/>
      <c r="N21" s="222"/>
      <c r="O21" s="265" t="s">
        <v>131</v>
      </c>
      <c r="P21" s="372">
        <f>E6+(F6*0.375)</f>
        <v>36.75</v>
      </c>
      <c r="Q21" s="235"/>
      <c r="R21" s="235"/>
      <c r="S21" s="235"/>
      <c r="T21" s="735" t="s">
        <v>130</v>
      </c>
      <c r="U21" s="264">
        <f>(E6+F6*0.25)+100</f>
        <v>124.5</v>
      </c>
      <c r="V21" s="263" t="s">
        <v>127</v>
      </c>
      <c r="W21" s="262">
        <f>(E6+F6*0.5)+100</f>
        <v>149</v>
      </c>
      <c r="X21" s="261" t="s">
        <v>209</v>
      </c>
      <c r="Y21" s="260"/>
      <c r="Z21" s="259" t="s">
        <v>126</v>
      </c>
      <c r="AA21" s="452">
        <f>P21+100</f>
        <v>136.75</v>
      </c>
      <c r="AB21" s="258" t="s">
        <v>125</v>
      </c>
      <c r="AC21" s="258"/>
      <c r="AD21" s="257"/>
      <c r="AE21" s="744" t="str">
        <f>IF(AH20="ATTAQUE","Tactique","Prestance")</f>
        <v>Tactique</v>
      </c>
      <c r="AF21" s="744"/>
      <c r="AG21" s="745" t="s">
        <v>246</v>
      </c>
      <c r="AH21" s="745"/>
      <c r="AI21" s="745"/>
      <c r="AJ21" s="508">
        <v>600</v>
      </c>
      <c r="AK21" s="232"/>
      <c r="AL21" s="197"/>
      <c r="AM21" s="490"/>
      <c r="AN21" s="202"/>
      <c r="AO21" s="202"/>
      <c r="AP21" s="202"/>
      <c r="AQ21" s="205"/>
      <c r="AR21" s="205">
        <v>19</v>
      </c>
      <c r="AS21" s="204">
        <v>280</v>
      </c>
      <c r="AT21" s="205"/>
      <c r="AU21" s="205"/>
      <c r="AV21" s="205"/>
      <c r="AW21" s="205"/>
      <c r="AX21" s="204"/>
      <c r="AY21" s="204"/>
      <c r="AZ21" s="204"/>
      <c r="BA21" s="204"/>
      <c r="BB21" s="231">
        <v>-40</v>
      </c>
      <c r="BC21" s="231">
        <v>0.35</v>
      </c>
      <c r="BD21" s="204"/>
      <c r="BE21" s="204"/>
      <c r="BF21" s="204"/>
      <c r="BG21" s="204"/>
      <c r="BH21" s="204"/>
      <c r="BI21" s="204"/>
      <c r="BJ21" s="204"/>
      <c r="BK21" s="204"/>
      <c r="BL21" s="204"/>
      <c r="BM21" s="204"/>
      <c r="BN21" s="204"/>
      <c r="BO21" s="204"/>
      <c r="BP21" s="204"/>
      <c r="BQ21" s="204"/>
      <c r="BR21" s="204"/>
      <c r="BS21" s="204"/>
      <c r="BT21" s="204"/>
      <c r="BU21" s="504"/>
      <c r="BV21" s="504"/>
      <c r="BW21" s="504"/>
      <c r="BX21" s="504"/>
      <c r="BY21" s="504"/>
      <c r="BZ21" s="504"/>
      <c r="CA21" s="504"/>
      <c r="CB21" s="504"/>
      <c r="CC21" s="504"/>
      <c r="CD21" s="504"/>
      <c r="CE21" s="504"/>
      <c r="CF21" s="504"/>
      <c r="CG21" s="504"/>
      <c r="CH21" s="504"/>
      <c r="CI21" s="504"/>
      <c r="CJ21" s="504"/>
      <c r="CK21" s="504"/>
      <c r="CL21" s="195"/>
      <c r="CM21" s="195"/>
      <c r="CN21" s="195"/>
      <c r="CO21" s="195"/>
      <c r="CP21" s="195"/>
      <c r="CQ21" s="195"/>
      <c r="CR21" s="195"/>
      <c r="CS21" s="195"/>
      <c r="CT21" s="195"/>
      <c r="CU21" s="195"/>
      <c r="CV21" s="195"/>
      <c r="CW21" s="195"/>
      <c r="CX21" s="195"/>
      <c r="CY21" s="195"/>
      <c r="CZ21" s="195"/>
      <c r="DA21" s="195"/>
      <c r="DB21" s="195"/>
      <c r="DC21" s="195"/>
      <c r="DD21" s="195"/>
      <c r="DE21" s="195"/>
      <c r="DF21" s="195"/>
      <c r="DG21" s="195"/>
      <c r="DH21" s="195"/>
      <c r="DI21" s="195"/>
      <c r="DJ21" s="195"/>
      <c r="DK21" s="195"/>
      <c r="DL21" s="195"/>
      <c r="DM21" s="195"/>
      <c r="DN21" s="195"/>
      <c r="DO21" s="195"/>
      <c r="DP21" s="195"/>
      <c r="DQ21" s="195"/>
      <c r="DR21" s="195"/>
      <c r="DS21" s="195"/>
      <c r="DT21" s="195"/>
      <c r="DU21" s="195"/>
      <c r="DV21" s="195"/>
      <c r="DW21" s="195"/>
      <c r="DX21" s="195"/>
      <c r="DY21" s="195"/>
      <c r="DZ21" s="195"/>
      <c r="EA21" s="195"/>
      <c r="EB21" s="195"/>
      <c r="EC21" s="195"/>
      <c r="ED21" s="195"/>
      <c r="EE21" s="195"/>
      <c r="EF21" s="195"/>
      <c r="EG21" s="195"/>
      <c r="EH21" s="195"/>
      <c r="EI21" s="195"/>
      <c r="EJ21" s="195"/>
      <c r="EK21" s="195"/>
      <c r="EL21" s="195"/>
      <c r="EM21" s="195"/>
      <c r="EN21" s="195"/>
      <c r="EO21" s="195"/>
      <c r="EP21" s="195"/>
      <c r="EQ21" s="195"/>
      <c r="ER21" s="195"/>
      <c r="ES21" s="195"/>
      <c r="ET21" s="195"/>
      <c r="EU21" s="195"/>
      <c r="EV21" s="195"/>
      <c r="EW21" s="195"/>
      <c r="EX21" s="195"/>
      <c r="EY21" s="195"/>
      <c r="EZ21" s="195"/>
      <c r="FA21" s="195"/>
      <c r="FB21" s="195"/>
      <c r="FC21" s="195"/>
      <c r="FD21" s="195"/>
      <c r="FE21" s="195"/>
      <c r="FF21" s="195"/>
      <c r="FG21" s="195"/>
      <c r="FH21" s="195"/>
      <c r="FI21" s="195"/>
      <c r="FJ21" s="195"/>
      <c r="FK21" s="195"/>
      <c r="FL21" s="195"/>
      <c r="FM21" s="195"/>
      <c r="FN21" s="195"/>
      <c r="FO21" s="195"/>
      <c r="FP21" s="195"/>
      <c r="FQ21" s="195"/>
      <c r="FR21" s="195"/>
      <c r="FS21" s="195"/>
    </row>
    <row r="22" spans="1:175" ht="15.75" thickBot="1">
      <c r="A22" s="196"/>
      <c r="B22" s="222"/>
      <c r="C22" s="255"/>
      <c r="D22" s="254"/>
      <c r="E22" s="256" t="s">
        <v>129</v>
      </c>
      <c r="F22" s="252">
        <v>0</v>
      </c>
      <c r="G22" s="240"/>
      <c r="H22" s="255"/>
      <c r="I22" s="254"/>
      <c r="J22" s="253" t="s">
        <v>129</v>
      </c>
      <c r="K22" s="481">
        <f>800</f>
        <v>800</v>
      </c>
      <c r="L22" s="224"/>
      <c r="M22" s="223"/>
      <c r="N22" s="222"/>
      <c r="O22" s="251" t="s">
        <v>128</v>
      </c>
      <c r="P22" s="373">
        <f>F6+E6*0.375</f>
        <v>98</v>
      </c>
      <c r="Q22" s="250"/>
      <c r="R22" s="250"/>
      <c r="S22" s="250"/>
      <c r="T22" s="736"/>
      <c r="U22" s="249">
        <f>(F6+E6*0.25)+100</f>
        <v>198</v>
      </c>
      <c r="V22" s="248" t="s">
        <v>127</v>
      </c>
      <c r="W22" s="247">
        <f>(F6+E6*0.5)+100</f>
        <v>198</v>
      </c>
      <c r="X22" s="246" t="s">
        <v>210</v>
      </c>
      <c r="Y22" s="245"/>
      <c r="Z22" s="244" t="s">
        <v>126</v>
      </c>
      <c r="AA22" s="453">
        <f>P22+100</f>
        <v>198</v>
      </c>
      <c r="AB22" s="243" t="s">
        <v>125</v>
      </c>
      <c r="AC22" s="243"/>
      <c r="AD22" s="242"/>
      <c r="AE22" s="242"/>
      <c r="AF22" s="507" t="s">
        <v>245</v>
      </c>
      <c r="AG22" s="242"/>
      <c r="AH22" s="242"/>
      <c r="AI22" s="746">
        <f>IF(AH20="ATTAQUE",((J6/AJ21)*H6),IF(H9="OUI",((K7/AJ21)*H6),((K6/AJ21)*H6)))</f>
        <v>1282.6000000000001</v>
      </c>
      <c r="AJ22" s="747"/>
      <c r="AK22" s="232"/>
      <c r="AL22" s="197"/>
      <c r="AM22" s="490"/>
      <c r="AN22" s="202"/>
      <c r="AO22" s="202"/>
      <c r="AP22" s="202"/>
      <c r="AQ22" s="205"/>
      <c r="AR22" s="205">
        <v>20</v>
      </c>
      <c r="AS22" s="204">
        <v>290</v>
      </c>
      <c r="AT22" s="205"/>
      <c r="AU22" s="205"/>
      <c r="AV22" s="205"/>
      <c r="AW22" s="205"/>
      <c r="AX22" s="204"/>
      <c r="AY22" s="204"/>
      <c r="AZ22" s="204"/>
      <c r="BA22" s="204"/>
      <c r="BB22" s="231">
        <v>-55</v>
      </c>
      <c r="BC22" s="231">
        <v>0.3</v>
      </c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  <c r="BR22" s="204"/>
      <c r="BS22" s="204"/>
      <c r="BT22" s="204"/>
      <c r="BU22" s="504"/>
      <c r="BV22" s="504"/>
      <c r="BW22" s="504"/>
      <c r="BX22" s="504"/>
      <c r="BY22" s="504"/>
      <c r="BZ22" s="504"/>
      <c r="CA22" s="504"/>
      <c r="CB22" s="504"/>
      <c r="CC22" s="504"/>
      <c r="CD22" s="504"/>
      <c r="CE22" s="504"/>
      <c r="CF22" s="504"/>
      <c r="CG22" s="504"/>
      <c r="CH22" s="504"/>
      <c r="CI22" s="504"/>
      <c r="CJ22" s="504"/>
      <c r="CK22" s="504"/>
      <c r="CL22" s="195"/>
      <c r="CM22" s="195"/>
      <c r="CN22" s="195"/>
      <c r="CO22" s="195"/>
      <c r="CP22" s="195"/>
      <c r="CQ22" s="195"/>
      <c r="CR22" s="195"/>
      <c r="CS22" s="195"/>
      <c r="CT22" s="195"/>
      <c r="CU22" s="195"/>
      <c r="CV22" s="195"/>
      <c r="CW22" s="195"/>
      <c r="CX22" s="195"/>
      <c r="CY22" s="195"/>
      <c r="CZ22" s="195"/>
      <c r="DA22" s="195"/>
      <c r="DB22" s="195"/>
      <c r="DC22" s="195"/>
      <c r="DD22" s="195"/>
      <c r="DE22" s="195"/>
      <c r="DF22" s="195"/>
      <c r="DG22" s="195"/>
      <c r="DH22" s="195"/>
      <c r="DI22" s="195"/>
      <c r="DJ22" s="195"/>
      <c r="DK22" s="195"/>
      <c r="DL22" s="195"/>
      <c r="DM22" s="195"/>
      <c r="DN22" s="195"/>
      <c r="DO22" s="195"/>
      <c r="DP22" s="195"/>
      <c r="DQ22" s="195"/>
      <c r="DR22" s="195"/>
      <c r="DS22" s="195"/>
      <c r="DT22" s="195"/>
      <c r="DU22" s="195"/>
      <c r="DV22" s="195"/>
      <c r="DW22" s="195"/>
      <c r="DX22" s="195"/>
      <c r="DY22" s="195"/>
      <c r="DZ22" s="195"/>
      <c r="EA22" s="195"/>
      <c r="EB22" s="195"/>
      <c r="EC22" s="195"/>
      <c r="ED22" s="195"/>
      <c r="EE22" s="195"/>
      <c r="EF22" s="195"/>
      <c r="EG22" s="195"/>
      <c r="EH22" s="195"/>
      <c r="EI22" s="195"/>
      <c r="EJ22" s="195"/>
      <c r="EK22" s="195"/>
      <c r="EL22" s="195"/>
      <c r="EM22" s="195"/>
      <c r="EN22" s="195"/>
      <c r="EO22" s="195"/>
      <c r="EP22" s="195"/>
      <c r="EQ22" s="195"/>
      <c r="ER22" s="195"/>
      <c r="ES22" s="195"/>
      <c r="ET22" s="195"/>
      <c r="EU22" s="195"/>
      <c r="EV22" s="195"/>
      <c r="EW22" s="195"/>
      <c r="EX22" s="195"/>
      <c r="EY22" s="195"/>
      <c r="EZ22" s="195"/>
      <c r="FA22" s="195"/>
      <c r="FB22" s="195"/>
      <c r="FC22" s="195"/>
      <c r="FD22" s="195"/>
      <c r="FE22" s="195"/>
      <c r="FF22" s="195"/>
      <c r="FG22" s="195"/>
      <c r="FH22" s="195"/>
      <c r="FI22" s="195"/>
      <c r="FJ22" s="195"/>
      <c r="FK22" s="195"/>
      <c r="FL22" s="195"/>
      <c r="FM22" s="195"/>
      <c r="FN22" s="195"/>
      <c r="FO22" s="195"/>
      <c r="FP22" s="195"/>
      <c r="FQ22" s="195"/>
      <c r="FR22" s="195"/>
      <c r="FS22" s="195"/>
    </row>
    <row r="23" spans="1:175" ht="15.75" thickBot="1">
      <c r="A23" s="196"/>
      <c r="B23" s="222"/>
      <c r="C23" s="239" t="s">
        <v>40</v>
      </c>
      <c r="D23" s="238">
        <v>70</v>
      </c>
      <c r="E23" s="241" t="s">
        <v>124</v>
      </c>
      <c r="F23" s="236">
        <v>0</v>
      </c>
      <c r="G23" s="240"/>
      <c r="H23" s="239" t="s">
        <v>40</v>
      </c>
      <c r="I23" s="238">
        <v>77</v>
      </c>
      <c r="J23" s="237" t="s">
        <v>124</v>
      </c>
      <c r="K23" s="480">
        <f>375+114</f>
        <v>489</v>
      </c>
      <c r="L23" s="224"/>
      <c r="M23" s="223"/>
      <c r="N23" s="222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4"/>
      <c r="AC23" s="234"/>
      <c r="AD23" s="233"/>
      <c r="AE23" s="233"/>
      <c r="AF23" s="233"/>
      <c r="AG23" s="233"/>
      <c r="AH23" s="233"/>
      <c r="AI23" s="233"/>
      <c r="AJ23" s="233"/>
      <c r="AK23" s="232"/>
      <c r="AL23" s="197"/>
      <c r="AM23" s="490"/>
      <c r="AN23" s="202"/>
      <c r="AO23" s="202"/>
      <c r="AP23" s="202"/>
      <c r="AQ23" s="205"/>
      <c r="AR23" s="205">
        <v>21</v>
      </c>
      <c r="AS23" s="204">
        <v>300</v>
      </c>
      <c r="AT23" s="205"/>
      <c r="AU23" s="205"/>
      <c r="AV23" s="205"/>
      <c r="AW23" s="205"/>
      <c r="AX23" s="204"/>
      <c r="AY23" s="204"/>
      <c r="AZ23" s="204"/>
      <c r="BA23" s="204"/>
      <c r="BB23" s="231">
        <v>-100</v>
      </c>
      <c r="BC23" s="231">
        <v>0.25</v>
      </c>
      <c r="BD23" s="204"/>
      <c r="BE23" s="204"/>
      <c r="BF23" s="204"/>
      <c r="BG23" s="204"/>
      <c r="BH23" s="204"/>
      <c r="BI23" s="204"/>
      <c r="BJ23" s="204"/>
      <c r="BK23" s="204"/>
      <c r="BL23" s="204"/>
      <c r="BM23" s="204"/>
      <c r="BN23" s="204"/>
      <c r="BO23" s="204"/>
      <c r="BP23" s="204"/>
      <c r="BQ23" s="204"/>
      <c r="BR23" s="204"/>
      <c r="BS23" s="204"/>
      <c r="BT23" s="204"/>
      <c r="BU23" s="504"/>
      <c r="BV23" s="504"/>
      <c r="BW23" s="504"/>
      <c r="BX23" s="504"/>
      <c r="BY23" s="504"/>
      <c r="BZ23" s="504"/>
      <c r="CA23" s="504"/>
      <c r="CB23" s="504"/>
      <c r="CC23" s="504"/>
      <c r="CD23" s="504"/>
      <c r="CE23" s="504"/>
      <c r="CF23" s="504"/>
      <c r="CG23" s="504"/>
      <c r="CH23" s="504"/>
      <c r="CI23" s="504"/>
      <c r="CJ23" s="504"/>
      <c r="CK23" s="504"/>
      <c r="CL23" s="195"/>
      <c r="CM23" s="195"/>
      <c r="CN23" s="195"/>
      <c r="CO23" s="195"/>
      <c r="CP23" s="195"/>
      <c r="CQ23" s="195"/>
      <c r="CR23" s="195"/>
      <c r="CS23" s="195"/>
      <c r="CT23" s="195"/>
      <c r="CU23" s="195"/>
      <c r="CV23" s="195"/>
      <c r="CW23" s="195"/>
      <c r="CX23" s="195"/>
      <c r="CY23" s="195"/>
      <c r="CZ23" s="195"/>
      <c r="DA23" s="195"/>
      <c r="DB23" s="195"/>
      <c r="DC23" s="195"/>
      <c r="DD23" s="195"/>
      <c r="DE23" s="195"/>
      <c r="DF23" s="195"/>
      <c r="DG23" s="195"/>
      <c r="DH23" s="195"/>
      <c r="DI23" s="195"/>
      <c r="DJ23" s="195"/>
      <c r="DK23" s="195"/>
      <c r="DL23" s="195"/>
      <c r="DM23" s="195"/>
      <c r="DN23" s="195"/>
      <c r="DO23" s="195"/>
      <c r="DP23" s="195"/>
      <c r="DQ23" s="195"/>
      <c r="DR23" s="195"/>
      <c r="DS23" s="195"/>
      <c r="DT23" s="195"/>
      <c r="DU23" s="195"/>
      <c r="DV23" s="195"/>
      <c r="DW23" s="195"/>
      <c r="DX23" s="195"/>
      <c r="DY23" s="195"/>
      <c r="DZ23" s="195"/>
      <c r="EA23" s="195"/>
      <c r="EB23" s="195"/>
      <c r="EC23" s="195"/>
      <c r="ED23" s="195"/>
      <c r="EE23" s="195"/>
      <c r="EF23" s="195"/>
      <c r="EG23" s="195"/>
      <c r="EH23" s="195"/>
      <c r="EI23" s="195"/>
      <c r="EJ23" s="195"/>
      <c r="EK23" s="195"/>
      <c r="EL23" s="195"/>
      <c r="EM23" s="195"/>
      <c r="EN23" s="195"/>
      <c r="EO23" s="195"/>
      <c r="EP23" s="195"/>
      <c r="EQ23" s="195"/>
      <c r="ER23" s="195"/>
      <c r="ES23" s="195"/>
      <c r="ET23" s="195"/>
      <c r="EU23" s="195"/>
      <c r="EV23" s="195"/>
      <c r="EW23" s="195"/>
      <c r="EX23" s="195"/>
      <c r="EY23" s="195"/>
      <c r="EZ23" s="195"/>
      <c r="FA23" s="195"/>
      <c r="FB23" s="195"/>
      <c r="FC23" s="195"/>
      <c r="FD23" s="195"/>
      <c r="FE23" s="195"/>
      <c r="FF23" s="195"/>
      <c r="FG23" s="195"/>
      <c r="FH23" s="195"/>
      <c r="FI23" s="195"/>
      <c r="FJ23" s="195"/>
      <c r="FK23" s="195"/>
      <c r="FL23" s="195"/>
      <c r="FM23" s="195"/>
      <c r="FN23" s="195"/>
      <c r="FO23" s="195"/>
      <c r="FP23" s="195"/>
      <c r="FQ23" s="195"/>
      <c r="FR23" s="195"/>
      <c r="FS23" s="195"/>
    </row>
    <row r="24" spans="1:175" ht="15.75" thickBot="1">
      <c r="A24" s="196"/>
      <c r="B24" s="222"/>
      <c r="C24" s="228"/>
      <c r="D24" s="227"/>
      <c r="E24" s="230" t="s">
        <v>123</v>
      </c>
      <c r="F24" s="225">
        <v>0</v>
      </c>
      <c r="G24" s="229"/>
      <c r="H24" s="228"/>
      <c r="I24" s="227"/>
      <c r="J24" s="226" t="s">
        <v>123</v>
      </c>
      <c r="K24" s="479">
        <v>114</v>
      </c>
      <c r="L24" s="224"/>
      <c r="M24" s="223"/>
      <c r="N24" s="222"/>
      <c r="O24" s="733" t="s">
        <v>122</v>
      </c>
      <c r="P24" s="734"/>
      <c r="Q24" s="734"/>
      <c r="R24" s="734"/>
      <c r="S24" s="734"/>
      <c r="T24" s="734"/>
      <c r="U24" s="734"/>
      <c r="V24" s="734"/>
      <c r="W24" s="734"/>
      <c r="X24" s="734"/>
      <c r="Y24" s="734"/>
      <c r="Z24" s="734"/>
      <c r="AA24" s="734"/>
      <c r="AB24" s="734"/>
      <c r="AC24" s="734"/>
      <c r="AD24" s="734"/>
      <c r="AE24" s="505"/>
      <c r="AF24" s="731">
        <f>IF(D11="Feu",I6-100,C6-100)</f>
        <v>918</v>
      </c>
      <c r="AG24" s="731"/>
      <c r="AH24" s="731"/>
      <c r="AI24" s="731"/>
      <c r="AJ24" s="732"/>
      <c r="AK24" s="221"/>
      <c r="AL24" s="197"/>
      <c r="AM24" s="490"/>
      <c r="AN24" s="202"/>
      <c r="AO24" s="202"/>
      <c r="AP24" s="202"/>
      <c r="AQ24" s="205"/>
      <c r="AR24" s="205">
        <v>22</v>
      </c>
      <c r="AS24" s="204">
        <v>310</v>
      </c>
      <c r="AT24" s="205"/>
      <c r="AU24" s="205"/>
      <c r="AV24" s="205"/>
      <c r="AW24" s="205"/>
      <c r="AX24" s="204"/>
      <c r="AY24" s="204"/>
      <c r="AZ24" s="204"/>
      <c r="BA24" s="204"/>
      <c r="BB24" s="204"/>
      <c r="BC24" s="204"/>
      <c r="BD24" s="204"/>
      <c r="BE24" s="204"/>
      <c r="BF24" s="204"/>
      <c r="BG24" s="204"/>
      <c r="BH24" s="204"/>
      <c r="BI24" s="204"/>
      <c r="BJ24" s="204"/>
      <c r="BK24" s="204"/>
      <c r="BL24" s="204"/>
      <c r="BM24" s="204"/>
      <c r="BN24" s="204"/>
      <c r="BO24" s="204"/>
      <c r="BP24" s="204"/>
      <c r="BQ24" s="204"/>
      <c r="BR24" s="204"/>
      <c r="BS24" s="204"/>
      <c r="BT24" s="204"/>
      <c r="BU24" s="504"/>
      <c r="BV24" s="504"/>
      <c r="BW24" s="504"/>
      <c r="BX24" s="504"/>
      <c r="BY24" s="504"/>
      <c r="BZ24" s="504"/>
      <c r="CA24" s="504"/>
      <c r="CB24" s="504"/>
      <c r="CC24" s="504"/>
      <c r="CD24" s="504"/>
      <c r="CE24" s="504"/>
      <c r="CF24" s="504"/>
      <c r="CG24" s="504"/>
      <c r="CH24" s="504"/>
      <c r="CI24" s="504"/>
      <c r="CJ24" s="504"/>
      <c r="CK24" s="504"/>
      <c r="CL24" s="195"/>
      <c r="CM24" s="195"/>
      <c r="CN24" s="195"/>
      <c r="CO24" s="195"/>
      <c r="CP24" s="195"/>
      <c r="CQ24" s="195"/>
      <c r="CR24" s="195"/>
      <c r="CS24" s="195"/>
      <c r="CT24" s="195"/>
      <c r="CU24" s="195"/>
      <c r="CV24" s="195"/>
      <c r="CW24" s="195"/>
      <c r="CX24" s="195"/>
      <c r="CY24" s="195"/>
      <c r="CZ24" s="195"/>
      <c r="DA24" s="195"/>
      <c r="DB24" s="195"/>
      <c r="DC24" s="195"/>
      <c r="DD24" s="195"/>
      <c r="DE24" s="195"/>
      <c r="DF24" s="195"/>
      <c r="DG24" s="195"/>
      <c r="DH24" s="195"/>
      <c r="DI24" s="195"/>
      <c r="DJ24" s="195"/>
      <c r="DK24" s="195"/>
      <c r="DL24" s="195"/>
      <c r="DM24" s="195"/>
      <c r="DN24" s="195"/>
      <c r="DO24" s="195"/>
      <c r="DP24" s="195"/>
      <c r="DQ24" s="195"/>
      <c r="DR24" s="195"/>
      <c r="DS24" s="195"/>
      <c r="DT24" s="195"/>
      <c r="DU24" s="195"/>
      <c r="DV24" s="195"/>
      <c r="DW24" s="195"/>
      <c r="DX24" s="195"/>
      <c r="DY24" s="195"/>
      <c r="DZ24" s="195"/>
      <c r="EA24" s="195"/>
      <c r="EB24" s="195"/>
      <c r="EC24" s="195"/>
      <c r="ED24" s="195"/>
      <c r="EE24" s="195"/>
      <c r="EF24" s="195"/>
      <c r="EG24" s="195"/>
      <c r="EH24" s="195"/>
      <c r="EI24" s="195"/>
      <c r="EJ24" s="195"/>
      <c r="EK24" s="195"/>
      <c r="EL24" s="195"/>
      <c r="EM24" s="195"/>
      <c r="EN24" s="195"/>
      <c r="EO24" s="195"/>
      <c r="EP24" s="195"/>
      <c r="EQ24" s="195"/>
      <c r="ER24" s="195"/>
      <c r="ES24" s="195"/>
      <c r="ET24" s="195"/>
      <c r="EU24" s="195"/>
      <c r="EV24" s="195"/>
      <c r="EW24" s="195"/>
      <c r="EX24" s="195"/>
      <c r="EY24" s="195"/>
      <c r="EZ24" s="195"/>
      <c r="FA24" s="195"/>
      <c r="FB24" s="195"/>
      <c r="FC24" s="195"/>
      <c r="FD24" s="195"/>
      <c r="FE24" s="195"/>
      <c r="FF24" s="195"/>
      <c r="FG24" s="195"/>
      <c r="FH24" s="195"/>
      <c r="FI24" s="195"/>
      <c r="FJ24" s="195"/>
      <c r="FK24" s="195"/>
      <c r="FL24" s="195"/>
      <c r="FM24" s="195"/>
      <c r="FN24" s="195"/>
      <c r="FO24" s="195"/>
      <c r="FP24" s="195"/>
      <c r="FQ24" s="195"/>
      <c r="FR24" s="195"/>
      <c r="FS24" s="195"/>
    </row>
    <row r="25" spans="1:175" ht="12" customHeight="1" thickBot="1">
      <c r="A25" s="196"/>
      <c r="B25" s="218"/>
      <c r="C25" s="220"/>
      <c r="D25" s="217"/>
      <c r="E25" s="217"/>
      <c r="F25" s="217"/>
      <c r="G25" s="217"/>
      <c r="H25" s="217"/>
      <c r="I25" s="217"/>
      <c r="J25" s="217"/>
      <c r="K25" s="217"/>
      <c r="L25" s="219"/>
      <c r="M25" s="196"/>
      <c r="N25" s="218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6"/>
      <c r="AC25" s="216"/>
      <c r="AD25" s="215"/>
      <c r="AE25" s="215"/>
      <c r="AF25" s="215"/>
      <c r="AG25" s="215"/>
      <c r="AH25" s="215"/>
      <c r="AI25" s="215"/>
      <c r="AJ25" s="215"/>
      <c r="AK25" s="214"/>
      <c r="AL25" s="197"/>
      <c r="AM25" s="490"/>
      <c r="AN25" s="202"/>
      <c r="AO25" s="202"/>
      <c r="AP25" s="202"/>
      <c r="AQ25" s="205"/>
      <c r="AR25" s="205">
        <v>23</v>
      </c>
      <c r="AS25" s="204">
        <v>320</v>
      </c>
      <c r="AT25" s="205"/>
      <c r="AU25" s="205"/>
      <c r="AV25" s="205"/>
      <c r="AW25" s="205"/>
      <c r="AX25" s="204"/>
      <c r="AY25" s="204"/>
      <c r="AZ25" s="204"/>
      <c r="BA25" s="204"/>
      <c r="BB25" s="204"/>
      <c r="BC25" s="204"/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4"/>
      <c r="BP25" s="204"/>
      <c r="BQ25" s="204"/>
      <c r="BR25" s="204"/>
      <c r="BS25" s="204"/>
      <c r="BT25" s="204"/>
      <c r="BU25" s="504"/>
      <c r="BV25" s="504"/>
      <c r="BW25" s="504"/>
      <c r="BX25" s="504"/>
      <c r="BY25" s="504"/>
      <c r="BZ25" s="504"/>
      <c r="CA25" s="504"/>
      <c r="CB25" s="504"/>
      <c r="CC25" s="504"/>
      <c r="CD25" s="504"/>
      <c r="CE25" s="504"/>
      <c r="CF25" s="504"/>
      <c r="CG25" s="504"/>
      <c r="CH25" s="504"/>
      <c r="CI25" s="504"/>
      <c r="CJ25" s="504"/>
      <c r="CK25" s="504"/>
      <c r="CL25" s="195"/>
      <c r="CM25" s="195"/>
      <c r="CN25" s="195"/>
      <c r="CO25" s="195"/>
      <c r="CP25" s="195"/>
      <c r="CQ25" s="195"/>
      <c r="CR25" s="195"/>
      <c r="CS25" s="195"/>
      <c r="CT25" s="195"/>
      <c r="CU25" s="195"/>
      <c r="CV25" s="195"/>
      <c r="CW25" s="195"/>
      <c r="CX25" s="195"/>
      <c r="CY25" s="195"/>
      <c r="CZ25" s="195"/>
      <c r="DA25" s="195"/>
      <c r="DB25" s="195"/>
      <c r="DC25" s="195"/>
      <c r="DD25" s="195"/>
      <c r="DE25" s="195"/>
      <c r="DF25" s="195"/>
      <c r="DG25" s="195"/>
      <c r="DH25" s="195"/>
      <c r="DI25" s="195"/>
      <c r="DJ25" s="195"/>
      <c r="DK25" s="195"/>
      <c r="DL25" s="195"/>
      <c r="DM25" s="195"/>
      <c r="DN25" s="195"/>
      <c r="DO25" s="195"/>
      <c r="DP25" s="195"/>
      <c r="DQ25" s="195"/>
      <c r="DR25" s="195"/>
      <c r="DS25" s="195"/>
      <c r="DT25" s="195"/>
      <c r="DU25" s="195"/>
      <c r="DV25" s="195"/>
      <c r="DW25" s="195"/>
      <c r="DX25" s="195"/>
      <c r="DY25" s="195"/>
      <c r="DZ25" s="195"/>
      <c r="EA25" s="195"/>
      <c r="EB25" s="195"/>
      <c r="EC25" s="195"/>
      <c r="ED25" s="195"/>
      <c r="EE25" s="195"/>
      <c r="EF25" s="195"/>
      <c r="EG25" s="195"/>
      <c r="EH25" s="195"/>
      <c r="EI25" s="195"/>
      <c r="EJ25" s="195"/>
      <c r="EK25" s="195"/>
      <c r="EL25" s="195"/>
      <c r="EM25" s="195"/>
      <c r="EN25" s="195"/>
      <c r="EO25" s="195"/>
      <c r="EP25" s="195"/>
      <c r="EQ25" s="195"/>
      <c r="ER25" s="195"/>
      <c r="ES25" s="195"/>
      <c r="ET25" s="195"/>
      <c r="EU25" s="195"/>
      <c r="EV25" s="195"/>
      <c r="EW25" s="195"/>
      <c r="EX25" s="195"/>
      <c r="EY25" s="195"/>
      <c r="EZ25" s="195"/>
      <c r="FA25" s="195"/>
      <c r="FB25" s="195"/>
      <c r="FC25" s="195"/>
      <c r="FD25" s="195"/>
      <c r="FE25" s="195"/>
      <c r="FF25" s="195"/>
      <c r="FG25" s="195"/>
      <c r="FH25" s="195"/>
      <c r="FI25" s="195"/>
      <c r="FJ25" s="195"/>
      <c r="FK25" s="195"/>
      <c r="FL25" s="195"/>
      <c r="FM25" s="195"/>
      <c r="FN25" s="195"/>
      <c r="FO25" s="195"/>
      <c r="FP25" s="195"/>
      <c r="FQ25" s="195"/>
      <c r="FR25" s="195"/>
      <c r="FS25" s="195"/>
    </row>
    <row r="26" spans="1:175" s="196" customFormat="1" ht="15.75" thickTop="1">
      <c r="AB26" s="201"/>
      <c r="AC26" s="201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202"/>
      <c r="AO26" s="202"/>
      <c r="AP26" s="202"/>
      <c r="AQ26" s="205"/>
      <c r="AR26" s="205">
        <v>24</v>
      </c>
      <c r="AS26" s="204">
        <v>330</v>
      </c>
      <c r="AT26" s="205"/>
      <c r="AU26" s="205"/>
      <c r="AV26" s="205"/>
      <c r="AW26" s="205"/>
      <c r="AX26" s="204"/>
      <c r="AY26" s="204"/>
      <c r="AZ26" s="204"/>
      <c r="BA26" s="204"/>
      <c r="BB26" s="204"/>
      <c r="BC26" s="204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</row>
    <row r="27" spans="1:175" s="196" customFormat="1"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509"/>
      <c r="AC27" s="509"/>
      <c r="AD27" s="202"/>
      <c r="AE27" s="202"/>
      <c r="AF27" s="202"/>
      <c r="AG27" s="197"/>
      <c r="AH27" s="197"/>
      <c r="AI27" s="197"/>
      <c r="AJ27" s="197"/>
      <c r="AK27" s="197"/>
      <c r="AL27" s="197"/>
      <c r="AM27" s="197"/>
      <c r="AN27" s="202"/>
      <c r="AO27" s="202"/>
      <c r="AP27" s="202"/>
      <c r="AQ27" s="205"/>
      <c r="AR27" s="205">
        <v>25</v>
      </c>
      <c r="AS27" s="204">
        <v>340</v>
      </c>
      <c r="AT27" s="205"/>
      <c r="AU27" s="205"/>
      <c r="AV27" s="205"/>
      <c r="AW27" s="205"/>
      <c r="AX27" s="204"/>
      <c r="AY27" s="204"/>
      <c r="AZ27" s="204"/>
      <c r="BA27" s="204"/>
      <c r="BB27" s="204"/>
      <c r="BC27" s="204"/>
      <c r="BD27" s="204"/>
      <c r="BE27" s="204"/>
      <c r="BF27" s="204"/>
      <c r="BG27" s="204"/>
      <c r="BH27" s="204"/>
      <c r="BI27" s="204"/>
      <c r="BJ27" s="204"/>
      <c r="BK27" s="204"/>
      <c r="BL27" s="204"/>
      <c r="BM27" s="204"/>
      <c r="BN27" s="204"/>
      <c r="BO27" s="204"/>
      <c r="BP27" s="204"/>
      <c r="BQ27" s="204"/>
      <c r="BR27" s="204"/>
      <c r="BS27" s="204"/>
      <c r="BT27" s="204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</row>
    <row r="28" spans="1:175" s="196" customFormat="1">
      <c r="K28" s="203"/>
      <c r="L28" s="203"/>
      <c r="M28" s="203">
        <v>0</v>
      </c>
      <c r="N28" s="203">
        <v>1.5</v>
      </c>
      <c r="O28" s="203">
        <v>3</v>
      </c>
      <c r="P28" s="203">
        <v>4</v>
      </c>
      <c r="Q28" s="203">
        <v>5</v>
      </c>
      <c r="R28" s="203">
        <f>15/2+0.5</f>
        <v>8</v>
      </c>
      <c r="S28" s="203">
        <v>9</v>
      </c>
      <c r="T28" s="203">
        <v>10</v>
      </c>
      <c r="U28" s="203">
        <v>15</v>
      </c>
      <c r="V28" s="202">
        <v>20</v>
      </c>
      <c r="W28" s="202">
        <v>25</v>
      </c>
      <c r="X28" s="202">
        <v>30</v>
      </c>
      <c r="Y28" s="203">
        <v>35</v>
      </c>
      <c r="Z28" s="203">
        <v>40</v>
      </c>
      <c r="AA28" s="203">
        <f>(Z28+55)/2</f>
        <v>47.5</v>
      </c>
      <c r="AB28" s="203">
        <v>55</v>
      </c>
      <c r="AC28" s="203"/>
      <c r="AD28" s="509">
        <f>(55+100)/2</f>
        <v>77.5</v>
      </c>
      <c r="AE28" s="509"/>
      <c r="AF28" s="202">
        <v>100</v>
      </c>
      <c r="AG28" s="197"/>
      <c r="AJ28" s="197"/>
      <c r="AK28" s="197"/>
      <c r="AL28" s="197"/>
      <c r="AQ28" s="205"/>
      <c r="AR28" s="205">
        <v>26</v>
      </c>
      <c r="AS28" s="204">
        <v>350</v>
      </c>
      <c r="AT28" s="205"/>
      <c r="AU28" s="205"/>
      <c r="AV28" s="205"/>
      <c r="AW28" s="205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4"/>
      <c r="BJ28" s="204"/>
      <c r="BK28" s="204"/>
      <c r="BL28" s="204"/>
      <c r="BM28" s="204"/>
      <c r="BN28" s="204"/>
      <c r="BO28" s="204"/>
      <c r="BP28" s="204"/>
      <c r="BQ28" s="204"/>
      <c r="BR28" s="204"/>
      <c r="BS28" s="204"/>
      <c r="BT28" s="204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</row>
    <row r="29" spans="1:175" s="196" customFormat="1">
      <c r="K29" s="203"/>
      <c r="L29" s="203"/>
      <c r="M29" s="203">
        <v>1</v>
      </c>
      <c r="N29" s="203">
        <f>(1+0.9)/2</f>
        <v>0.95</v>
      </c>
      <c r="O29" s="203">
        <v>0.9</v>
      </c>
      <c r="P29" s="203">
        <f>(0.9+0.85)/2</f>
        <v>0.875</v>
      </c>
      <c r="Q29" s="203">
        <v>0.85</v>
      </c>
      <c r="R29" s="203">
        <f>((0.85+0.7)/2)+0.05</f>
        <v>0.82499999999999996</v>
      </c>
      <c r="S29" s="203">
        <f>(0.83+0.7)/2</f>
        <v>0.7649999999999999</v>
      </c>
      <c r="T29" s="204">
        <v>0.7</v>
      </c>
      <c r="U29" s="203">
        <f>(0.7+0.55)/2</f>
        <v>0.625</v>
      </c>
      <c r="V29" s="202">
        <v>0.55000000000000004</v>
      </c>
      <c r="W29" s="202">
        <f>(0.55+0.4)/2</f>
        <v>0.47500000000000003</v>
      </c>
      <c r="X29" s="202">
        <v>0.4</v>
      </c>
      <c r="Y29" s="203">
        <f>(0.4+0.35)/2</f>
        <v>0.375</v>
      </c>
      <c r="Z29" s="203">
        <v>0.35</v>
      </c>
      <c r="AA29" s="203">
        <f>(0.35+0.3)/2</f>
        <v>0.32499999999999996</v>
      </c>
      <c r="AB29" s="203">
        <v>0.3</v>
      </c>
      <c r="AC29" s="203"/>
      <c r="AD29" s="509">
        <f>(0.3+0.25)/2</f>
        <v>0.27500000000000002</v>
      </c>
      <c r="AE29" s="509"/>
      <c r="AF29" s="202">
        <v>0.25</v>
      </c>
      <c r="AG29" s="197"/>
      <c r="AJ29" s="197"/>
      <c r="AK29" s="197"/>
      <c r="AL29" s="197"/>
      <c r="AM29" s="211"/>
      <c r="AQ29" s="205"/>
      <c r="AR29" s="205">
        <v>27</v>
      </c>
      <c r="AS29" s="204">
        <v>360</v>
      </c>
      <c r="AT29" s="205"/>
      <c r="AU29" s="205"/>
      <c r="AV29" s="205"/>
      <c r="AW29" s="205"/>
      <c r="AX29" s="204"/>
      <c r="AY29" s="204"/>
      <c r="AZ29" s="204"/>
      <c r="BA29" s="204"/>
      <c r="BB29" s="204"/>
      <c r="BC29" s="204"/>
      <c r="BD29" s="204"/>
      <c r="BE29" s="204"/>
      <c r="BF29" s="204"/>
      <c r="BG29" s="204"/>
      <c r="BH29" s="204"/>
      <c r="BI29" s="204"/>
      <c r="BJ29" s="204"/>
      <c r="BK29" s="204"/>
      <c r="BL29" s="204"/>
      <c r="BM29" s="204"/>
      <c r="BN29" s="204"/>
      <c r="BO29" s="204"/>
      <c r="BP29" s="204"/>
      <c r="BQ29" s="204"/>
      <c r="BR29" s="204"/>
      <c r="BS29" s="204"/>
      <c r="BT29" s="204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</row>
    <row r="30" spans="1:175" s="196" customFormat="1">
      <c r="F30" s="204"/>
      <c r="G30" s="204"/>
      <c r="H30" s="204"/>
      <c r="I30" s="210"/>
      <c r="J30" s="210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3"/>
      <c r="V30" s="204"/>
      <c r="W30" s="204">
        <f>(($H$11+$H$12)*1.5)*W29</f>
        <v>163.16250000000002</v>
      </c>
      <c r="X30" s="203"/>
      <c r="Y30" s="203">
        <f>(($H$11+$H$12)*1.5)*Y29</f>
        <v>128.8125</v>
      </c>
      <c r="Z30" s="203"/>
      <c r="AA30" s="203"/>
      <c r="AB30" s="203"/>
      <c r="AC30" s="203"/>
      <c r="AD30" s="509"/>
      <c r="AE30" s="509"/>
      <c r="AF30" s="202"/>
      <c r="AG30" s="197"/>
      <c r="AH30" s="197"/>
      <c r="AI30" s="197"/>
      <c r="AJ30" s="197"/>
      <c r="AK30" s="197"/>
      <c r="AL30" s="197"/>
      <c r="AM30" s="197"/>
      <c r="AN30" s="202"/>
      <c r="AO30" s="202"/>
      <c r="AP30" s="202"/>
      <c r="AQ30" s="205"/>
      <c r="AR30" s="205">
        <v>28</v>
      </c>
      <c r="AS30" s="204">
        <v>370</v>
      </c>
      <c r="AT30" s="205"/>
      <c r="AU30" s="205"/>
      <c r="AV30" s="205"/>
      <c r="AW30" s="205"/>
      <c r="AX30" s="204"/>
      <c r="AY30" s="204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4"/>
      <c r="BN30" s="204"/>
      <c r="BO30" s="204"/>
      <c r="BP30" s="204"/>
      <c r="BQ30" s="204"/>
      <c r="BR30" s="204"/>
      <c r="BS30" s="204"/>
      <c r="BT30" s="204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</row>
    <row r="31" spans="1:175" s="196" customFormat="1">
      <c r="F31" s="213" t="s">
        <v>121</v>
      </c>
      <c r="G31" s="204"/>
      <c r="H31" s="204"/>
      <c r="I31" s="204"/>
      <c r="J31" s="209"/>
      <c r="K31" s="205"/>
      <c r="L31" s="205"/>
      <c r="M31" s="205"/>
      <c r="N31" s="204"/>
      <c r="O31" s="708" t="s">
        <v>120</v>
      </c>
      <c r="P31" s="708"/>
      <c r="Q31" s="708"/>
      <c r="R31" s="708"/>
      <c r="S31" s="204"/>
      <c r="T31" s="204"/>
      <c r="U31" s="510"/>
      <c r="V31" s="511"/>
      <c r="W31" s="203"/>
      <c r="X31" s="203"/>
      <c r="Y31" s="203"/>
      <c r="Z31" s="203"/>
      <c r="AA31" s="203"/>
      <c r="AB31" s="509"/>
      <c r="AC31" s="509"/>
      <c r="AD31" s="202"/>
      <c r="AE31" s="202"/>
      <c r="AF31" s="202"/>
      <c r="AG31" s="197"/>
      <c r="AH31" s="197"/>
      <c r="AI31" s="197"/>
      <c r="AJ31" s="197"/>
      <c r="AK31" s="197"/>
      <c r="AL31" s="197"/>
      <c r="AM31" s="197"/>
      <c r="AN31" s="202"/>
      <c r="AO31" s="202"/>
      <c r="AP31" s="202"/>
      <c r="AQ31" s="205"/>
      <c r="AR31" s="205">
        <v>29</v>
      </c>
      <c r="AS31" s="204">
        <v>380</v>
      </c>
      <c r="AT31" s="205"/>
      <c r="AU31" s="205"/>
      <c r="AV31" s="205"/>
      <c r="AW31" s="205"/>
      <c r="AX31" s="204"/>
      <c r="AY31" s="204"/>
      <c r="AZ31" s="204"/>
      <c r="BA31" s="204"/>
      <c r="BB31" s="204"/>
      <c r="BC31" s="204"/>
      <c r="BD31" s="204"/>
      <c r="BE31" s="204"/>
      <c r="BF31" s="204"/>
      <c r="BG31" s="204"/>
      <c r="BH31" s="204"/>
      <c r="BI31" s="204"/>
      <c r="BJ31" s="204"/>
      <c r="BK31" s="204"/>
      <c r="BL31" s="204"/>
      <c r="BM31" s="204"/>
      <c r="BN31" s="204"/>
      <c r="BO31" s="204"/>
      <c r="BP31" s="204"/>
      <c r="BQ31" s="204"/>
      <c r="BR31" s="204"/>
      <c r="BS31" s="204"/>
      <c r="BT31" s="204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</row>
    <row r="32" spans="1:175" s="196" customFormat="1" ht="16.5">
      <c r="F32" s="204" t="s">
        <v>119</v>
      </c>
      <c r="G32" s="204"/>
      <c r="H32" s="204"/>
      <c r="I32" s="204"/>
      <c r="J32" s="209"/>
      <c r="K32" s="205"/>
      <c r="L32" s="205"/>
      <c r="M32" s="205"/>
      <c r="N32" s="204"/>
      <c r="O32" s="709" t="s">
        <v>118</v>
      </c>
      <c r="P32" s="709"/>
      <c r="Q32" s="709"/>
      <c r="R32" s="709"/>
      <c r="S32" s="204"/>
      <c r="T32" s="211"/>
      <c r="U32" s="212"/>
      <c r="V32" s="211"/>
      <c r="AB32" s="201"/>
      <c r="AC32" s="201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202"/>
      <c r="AO32" s="202"/>
      <c r="AP32" s="202"/>
      <c r="AQ32" s="205"/>
      <c r="AR32" s="205">
        <v>30</v>
      </c>
      <c r="AS32" s="204">
        <v>390</v>
      </c>
      <c r="AT32" s="205"/>
      <c r="AU32" s="205"/>
      <c r="AV32" s="205"/>
      <c r="AW32" s="205"/>
      <c r="AX32" s="204"/>
      <c r="AY32" s="204"/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4"/>
      <c r="BO32" s="204"/>
      <c r="BP32" s="204"/>
      <c r="BQ32" s="204"/>
      <c r="BR32" s="204"/>
      <c r="BS32" s="204"/>
      <c r="BT32" s="204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</row>
    <row r="33" spans="6:89" s="196" customFormat="1">
      <c r="F33" s="204" t="s">
        <v>117</v>
      </c>
      <c r="G33" s="204"/>
      <c r="H33" s="204"/>
      <c r="I33" s="204"/>
      <c r="J33" s="209"/>
      <c r="K33" s="205"/>
      <c r="L33" s="205"/>
      <c r="M33" s="205"/>
      <c r="N33" s="204"/>
      <c r="O33" s="204"/>
      <c r="P33" s="208" t="s">
        <v>110</v>
      </c>
      <c r="Q33" s="208" t="s">
        <v>109</v>
      </c>
      <c r="R33" s="208" t="s">
        <v>108</v>
      </c>
      <c r="S33" s="204"/>
      <c r="T33" s="211"/>
      <c r="U33" s="212"/>
      <c r="V33" s="211"/>
      <c r="AB33" s="201"/>
      <c r="AC33" s="201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202"/>
      <c r="AO33" s="202"/>
      <c r="AP33" s="202"/>
      <c r="AQ33" s="205"/>
      <c r="AR33" s="205">
        <v>31</v>
      </c>
      <c r="AS33" s="204">
        <v>400</v>
      </c>
      <c r="AT33" s="205"/>
      <c r="AU33" s="205"/>
      <c r="AV33" s="205"/>
      <c r="AW33" s="205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4"/>
      <c r="BO33" s="204"/>
      <c r="BP33" s="204"/>
      <c r="BQ33" s="204"/>
      <c r="BR33" s="204"/>
      <c r="BS33" s="204"/>
      <c r="BT33" s="204"/>
      <c r="BU33" s="203"/>
      <c r="BV33" s="203"/>
      <c r="BW33" s="203"/>
      <c r="BX33" s="203"/>
      <c r="BY33" s="203"/>
      <c r="BZ33" s="203"/>
      <c r="CA33" s="203"/>
      <c r="CB33" s="203"/>
      <c r="CC33" s="203"/>
      <c r="CD33" s="203"/>
      <c r="CE33" s="203"/>
      <c r="CF33" s="203"/>
      <c r="CG33" s="203"/>
      <c r="CH33" s="203"/>
      <c r="CI33" s="203"/>
      <c r="CJ33" s="203"/>
      <c r="CK33" s="203"/>
    </row>
    <row r="34" spans="6:89" s="196" customFormat="1">
      <c r="F34" s="204" t="s">
        <v>116</v>
      </c>
      <c r="G34" s="204"/>
      <c r="H34" s="204"/>
      <c r="I34" s="204"/>
      <c r="J34" s="209"/>
      <c r="K34" s="205"/>
      <c r="L34" s="205"/>
      <c r="M34" s="205"/>
      <c r="N34" s="204"/>
      <c r="O34" s="207" t="s">
        <v>107</v>
      </c>
      <c r="P34" s="206">
        <f>((H10+H11)/2)*1.75</f>
        <v>391.125</v>
      </c>
      <c r="Q34" s="206">
        <f>((H10+H11)/2)*(1.75+(1.75*0.15))</f>
        <v>449.79375000000005</v>
      </c>
      <c r="R34" s="206">
        <f>((H10+H11)/2)*1.75*1.5</f>
        <v>586.6875</v>
      </c>
      <c r="S34" s="204"/>
      <c r="T34" s="211"/>
      <c r="U34" s="211"/>
      <c r="V34" s="210"/>
      <c r="AB34" s="201"/>
      <c r="AC34" s="201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202"/>
      <c r="AO34" s="202"/>
      <c r="AP34" s="202"/>
      <c r="AQ34" s="205"/>
      <c r="AR34" s="205">
        <v>32</v>
      </c>
      <c r="AS34" s="204">
        <v>410</v>
      </c>
      <c r="AT34" s="205"/>
      <c r="AU34" s="205"/>
      <c r="AV34" s="205"/>
      <c r="AW34" s="205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3"/>
      <c r="BV34" s="203"/>
      <c r="BW34" s="203"/>
      <c r="BX34" s="203"/>
      <c r="BY34" s="203"/>
      <c r="BZ34" s="203"/>
      <c r="CA34" s="203"/>
      <c r="CB34" s="203"/>
      <c r="CC34" s="203"/>
      <c r="CD34" s="203"/>
      <c r="CE34" s="203"/>
      <c r="CF34" s="203"/>
      <c r="CG34" s="203"/>
      <c r="CH34" s="203"/>
      <c r="CI34" s="203"/>
      <c r="CJ34" s="203"/>
      <c r="CK34" s="203"/>
    </row>
    <row r="35" spans="6:89" s="196" customFormat="1">
      <c r="F35" s="204" t="s">
        <v>115</v>
      </c>
      <c r="G35" s="204"/>
      <c r="H35" s="204"/>
      <c r="I35" s="204"/>
      <c r="J35" s="209"/>
      <c r="K35" s="205"/>
      <c r="L35" s="205"/>
      <c r="M35" s="205"/>
      <c r="N35" s="204"/>
      <c r="O35" s="207" t="s">
        <v>106</v>
      </c>
      <c r="P35" s="206">
        <f>(H10*1.75)</f>
        <v>381.5</v>
      </c>
      <c r="Q35" s="206">
        <f>H10*(1.75+(1.75*0.15))</f>
        <v>438.72500000000002</v>
      </c>
      <c r="R35" s="206">
        <f>H10*(1.75+(1.75*0.5))</f>
        <v>572.25</v>
      </c>
      <c r="S35" s="204"/>
      <c r="AB35" s="201"/>
      <c r="AC35" s="201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202"/>
      <c r="AO35" s="202"/>
      <c r="AP35" s="202"/>
      <c r="AQ35" s="205"/>
      <c r="AR35" s="205">
        <v>33</v>
      </c>
      <c r="AS35" s="204">
        <v>420</v>
      </c>
      <c r="AT35" s="205"/>
      <c r="AU35" s="205"/>
      <c r="AV35" s="205"/>
      <c r="AW35" s="205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4"/>
      <c r="BT35" s="204"/>
      <c r="BU35" s="203"/>
      <c r="BV35" s="203"/>
      <c r="BW35" s="203"/>
      <c r="BX35" s="203"/>
      <c r="BY35" s="203"/>
      <c r="BZ35" s="203"/>
      <c r="CA35" s="203"/>
      <c r="CB35" s="203"/>
      <c r="CC35" s="203"/>
      <c r="CD35" s="203"/>
      <c r="CE35" s="203"/>
      <c r="CF35" s="203"/>
      <c r="CG35" s="203"/>
      <c r="CH35" s="203"/>
      <c r="CI35" s="203"/>
      <c r="CJ35" s="203"/>
      <c r="CK35" s="203"/>
    </row>
    <row r="36" spans="6:89" s="196" customFormat="1">
      <c r="F36" s="204" t="s">
        <v>114</v>
      </c>
      <c r="G36" s="204"/>
      <c r="H36" s="204"/>
      <c r="I36" s="204"/>
      <c r="J36" s="209"/>
      <c r="K36" s="205"/>
      <c r="L36" s="205"/>
      <c r="M36" s="205"/>
      <c r="N36" s="204"/>
      <c r="O36" s="207" t="s">
        <v>105</v>
      </c>
      <c r="P36" s="206">
        <f>H11*1.75</f>
        <v>400.75</v>
      </c>
      <c r="Q36" s="206">
        <f>H11*(1.75+(1.75*0.15))</f>
        <v>460.86250000000007</v>
      </c>
      <c r="R36" s="206">
        <f>H11*(1.75+(1.75*0.5))</f>
        <v>601.125</v>
      </c>
      <c r="S36" s="204"/>
      <c r="AB36" s="201"/>
      <c r="AC36" s="201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202"/>
      <c r="AO36" s="202"/>
      <c r="AP36" s="202"/>
      <c r="AQ36" s="205"/>
      <c r="AR36" s="205">
        <v>34</v>
      </c>
      <c r="AS36" s="204">
        <v>430</v>
      </c>
      <c r="AT36" s="205"/>
      <c r="AU36" s="205"/>
      <c r="AV36" s="205"/>
      <c r="AW36" s="205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204"/>
      <c r="BR36" s="204"/>
      <c r="BS36" s="204"/>
      <c r="BT36" s="204"/>
      <c r="BU36" s="203"/>
      <c r="BV36" s="203"/>
      <c r="BW36" s="203"/>
      <c r="BX36" s="203"/>
      <c r="BY36" s="203"/>
      <c r="BZ36" s="203"/>
      <c r="CA36" s="203"/>
      <c r="CB36" s="203"/>
      <c r="CC36" s="203"/>
      <c r="CD36" s="203"/>
      <c r="CE36" s="203"/>
      <c r="CF36" s="203"/>
      <c r="CG36" s="203"/>
      <c r="CH36" s="203"/>
      <c r="CI36" s="203"/>
      <c r="CJ36" s="203"/>
      <c r="CK36" s="203"/>
    </row>
    <row r="37" spans="6:89" s="196" customFormat="1">
      <c r="F37" s="204" t="s">
        <v>113</v>
      </c>
      <c r="G37" s="204"/>
      <c r="H37" s="204"/>
      <c r="I37" s="204"/>
      <c r="J37" s="209"/>
      <c r="K37" s="205"/>
      <c r="L37" s="205"/>
      <c r="M37" s="205"/>
      <c r="N37" s="204"/>
      <c r="O37" s="707" t="s">
        <v>112</v>
      </c>
      <c r="P37" s="707"/>
      <c r="Q37" s="707"/>
      <c r="R37" s="707"/>
      <c r="S37" s="204"/>
      <c r="AB37" s="201"/>
      <c r="AC37" s="201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202"/>
      <c r="AO37" s="202"/>
      <c r="AP37" s="202"/>
      <c r="AQ37" s="205"/>
      <c r="AR37" s="205">
        <v>35</v>
      </c>
      <c r="AS37" s="204">
        <v>440</v>
      </c>
      <c r="AT37" s="205"/>
      <c r="AU37" s="205"/>
      <c r="AV37" s="205"/>
      <c r="AW37" s="205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  <c r="BI37" s="204"/>
      <c r="BJ37" s="204"/>
      <c r="BK37" s="204"/>
      <c r="BL37" s="204"/>
      <c r="BM37" s="204"/>
      <c r="BN37" s="204"/>
      <c r="BO37" s="204"/>
      <c r="BP37" s="204"/>
      <c r="BQ37" s="204"/>
      <c r="BR37" s="204"/>
      <c r="BS37" s="204"/>
      <c r="BT37" s="204"/>
      <c r="BU37" s="203"/>
      <c r="BV37" s="203"/>
      <c r="BW37" s="203"/>
      <c r="BX37" s="203"/>
      <c r="BY37" s="203"/>
      <c r="BZ37" s="203"/>
      <c r="CA37" s="203"/>
      <c r="CB37" s="203"/>
      <c r="CC37" s="203"/>
      <c r="CD37" s="203"/>
      <c r="CE37" s="203"/>
      <c r="CF37" s="203"/>
      <c r="CG37" s="203"/>
      <c r="CH37" s="203"/>
      <c r="CI37" s="203"/>
      <c r="CJ37" s="203"/>
      <c r="CK37" s="203"/>
    </row>
    <row r="38" spans="6:89" s="196" customFormat="1"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8" t="s">
        <v>110</v>
      </c>
      <c r="Q38" s="208" t="s">
        <v>109</v>
      </c>
      <c r="R38" s="208" t="s">
        <v>108</v>
      </c>
      <c r="S38" s="204"/>
      <c r="AB38" s="201"/>
      <c r="AC38" s="201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202"/>
      <c r="AO38" s="202"/>
      <c r="AP38" s="202"/>
      <c r="AQ38" s="205"/>
      <c r="AR38" s="205">
        <v>36</v>
      </c>
      <c r="AS38" s="204">
        <v>450</v>
      </c>
      <c r="AT38" s="205"/>
      <c r="AU38" s="205"/>
      <c r="AV38" s="205"/>
      <c r="AW38" s="205"/>
      <c r="AX38" s="204"/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  <c r="BI38" s="204"/>
      <c r="BJ38" s="204"/>
      <c r="BK38" s="204"/>
      <c r="BL38" s="204"/>
      <c r="BM38" s="204"/>
      <c r="BN38" s="204"/>
      <c r="BO38" s="204"/>
      <c r="BP38" s="204"/>
      <c r="BQ38" s="204"/>
      <c r="BR38" s="204"/>
      <c r="BS38" s="204"/>
      <c r="BT38" s="204"/>
      <c r="BU38" s="203"/>
      <c r="BV38" s="203"/>
      <c r="BW38" s="203"/>
      <c r="BX38" s="203"/>
      <c r="BY38" s="203"/>
      <c r="BZ38" s="203"/>
      <c r="CA38" s="203"/>
      <c r="CB38" s="203"/>
      <c r="CC38" s="203"/>
      <c r="CD38" s="203"/>
      <c r="CE38" s="203"/>
      <c r="CF38" s="203"/>
      <c r="CG38" s="203"/>
      <c r="CH38" s="203"/>
      <c r="CI38" s="203"/>
      <c r="CJ38" s="203"/>
      <c r="CK38" s="203"/>
    </row>
    <row r="39" spans="6:89" s="196" customFormat="1">
      <c r="F39" s="204"/>
      <c r="G39" s="204"/>
      <c r="H39" s="204"/>
      <c r="I39" s="204"/>
      <c r="J39" s="204"/>
      <c r="K39" s="204"/>
      <c r="L39" s="204"/>
      <c r="M39" s="204"/>
      <c r="N39" s="204"/>
      <c r="O39" s="207" t="s">
        <v>107</v>
      </c>
      <c r="P39" s="206">
        <f>((H10+H11)/2)*1</f>
        <v>223.5</v>
      </c>
      <c r="Q39" s="206">
        <f>((H10+H11)/2)*(1+(1*0.15))</f>
        <v>257.02499999999998</v>
      </c>
      <c r="R39" s="206">
        <f>((H10+H11)/2)*(1+(1*0.5))</f>
        <v>335.25</v>
      </c>
      <c r="S39" s="204"/>
      <c r="AB39" s="201"/>
      <c r="AC39" s="201"/>
      <c r="AD39" s="197"/>
      <c r="AE39" s="197"/>
      <c r="AF39" s="197"/>
      <c r="AG39" s="197"/>
      <c r="AH39" s="197"/>
      <c r="AI39" s="197"/>
      <c r="AJ39" s="197"/>
      <c r="AK39" s="197"/>
      <c r="AL39" s="197"/>
      <c r="AM39" s="197"/>
      <c r="AN39" s="202"/>
      <c r="AO39" s="202"/>
      <c r="AP39" s="202"/>
      <c r="AQ39" s="205"/>
      <c r="AR39" s="205">
        <v>37</v>
      </c>
      <c r="AS39" s="204">
        <v>460</v>
      </c>
      <c r="AT39" s="205"/>
      <c r="AU39" s="205"/>
      <c r="AV39" s="205"/>
      <c r="AW39" s="205"/>
      <c r="AX39" s="204"/>
      <c r="AY39" s="204"/>
      <c r="AZ39" s="204"/>
      <c r="BA39" s="204"/>
      <c r="BB39" s="204"/>
      <c r="BC39" s="204"/>
      <c r="BD39" s="204"/>
      <c r="BE39" s="204"/>
      <c r="BF39" s="204"/>
      <c r="BG39" s="204"/>
      <c r="BH39" s="204"/>
      <c r="BI39" s="204"/>
      <c r="BJ39" s="204"/>
      <c r="BK39" s="204"/>
      <c r="BL39" s="204"/>
      <c r="BM39" s="204"/>
      <c r="BN39" s="204"/>
      <c r="BO39" s="204"/>
      <c r="BP39" s="204"/>
      <c r="BQ39" s="204"/>
      <c r="BR39" s="204"/>
      <c r="BS39" s="204"/>
      <c r="BT39" s="204"/>
      <c r="BU39" s="203"/>
      <c r="BV39" s="203"/>
      <c r="BW39" s="203"/>
      <c r="BX39" s="203"/>
      <c r="BY39" s="203"/>
      <c r="BZ39" s="203"/>
      <c r="CA39" s="203"/>
      <c r="CB39" s="203"/>
      <c r="CC39" s="203"/>
      <c r="CD39" s="203"/>
      <c r="CE39" s="203"/>
      <c r="CF39" s="203"/>
      <c r="CG39" s="203"/>
      <c r="CH39" s="203"/>
      <c r="CI39" s="203"/>
      <c r="CJ39" s="203"/>
      <c r="CK39" s="203"/>
    </row>
    <row r="40" spans="6:89" s="196" customFormat="1">
      <c r="F40" s="204"/>
      <c r="G40" s="204"/>
      <c r="H40" s="204"/>
      <c r="I40" s="204"/>
      <c r="J40" s="204"/>
      <c r="K40" s="204"/>
      <c r="L40" s="204"/>
      <c r="M40" s="204"/>
      <c r="N40" s="204"/>
      <c r="O40" s="207" t="s">
        <v>106</v>
      </c>
      <c r="P40" s="206">
        <f>(H10*1)</f>
        <v>218</v>
      </c>
      <c r="Q40" s="206">
        <f>H10*(1+(1*0.15))</f>
        <v>250.7</v>
      </c>
      <c r="R40" s="206">
        <f>H10*(1+(1*0.5))</f>
        <v>327</v>
      </c>
      <c r="S40" s="204"/>
      <c r="AB40" s="201"/>
      <c r="AC40" s="201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202"/>
      <c r="AO40" s="202"/>
      <c r="AP40" s="202"/>
      <c r="AQ40" s="205"/>
      <c r="AR40" s="205">
        <v>38</v>
      </c>
      <c r="AS40" s="204">
        <v>470</v>
      </c>
      <c r="AT40" s="205"/>
      <c r="AU40" s="205"/>
      <c r="AV40" s="205"/>
      <c r="AW40" s="205"/>
      <c r="AX40" s="204"/>
      <c r="AY40" s="204"/>
      <c r="AZ40" s="204"/>
      <c r="BA40" s="204"/>
      <c r="BB40" s="204"/>
      <c r="BC40" s="204"/>
      <c r="BD40" s="204"/>
      <c r="BE40" s="204"/>
      <c r="BF40" s="204"/>
      <c r="BG40" s="204"/>
      <c r="BH40" s="204"/>
      <c r="BI40" s="204"/>
      <c r="BJ40" s="204"/>
      <c r="BK40" s="204"/>
      <c r="BL40" s="204"/>
      <c r="BM40" s="204"/>
      <c r="BN40" s="204"/>
      <c r="BO40" s="204"/>
      <c r="BP40" s="204"/>
      <c r="BQ40" s="204"/>
      <c r="BR40" s="204"/>
      <c r="BS40" s="204"/>
      <c r="BT40" s="204"/>
      <c r="BU40" s="203"/>
      <c r="BV40" s="203"/>
      <c r="BW40" s="203"/>
      <c r="BX40" s="203"/>
      <c r="BY40" s="203"/>
      <c r="BZ40" s="203"/>
      <c r="CA40" s="203"/>
      <c r="CB40" s="203"/>
      <c r="CC40" s="203"/>
      <c r="CD40" s="203"/>
      <c r="CE40" s="203"/>
      <c r="CF40" s="203"/>
      <c r="CG40" s="203"/>
      <c r="CH40" s="203"/>
      <c r="CI40" s="203"/>
      <c r="CJ40" s="203"/>
      <c r="CK40" s="203"/>
    </row>
    <row r="41" spans="6:89" s="196" customFormat="1">
      <c r="F41" s="204"/>
      <c r="G41" s="204"/>
      <c r="H41" s="204"/>
      <c r="I41" s="204"/>
      <c r="J41" s="204"/>
      <c r="K41" s="204"/>
      <c r="L41" s="204"/>
      <c r="M41" s="204"/>
      <c r="N41" s="204"/>
      <c r="O41" s="207" t="s">
        <v>105</v>
      </c>
      <c r="P41" s="206">
        <f>H11*1</f>
        <v>229</v>
      </c>
      <c r="Q41" s="206">
        <f>H11*(1+(1*0.15))</f>
        <v>263.34999999999997</v>
      </c>
      <c r="R41" s="206">
        <f>H11*(1+(1*0.5))</f>
        <v>343.5</v>
      </c>
      <c r="S41" s="204"/>
      <c r="AB41" s="201"/>
      <c r="AC41" s="201"/>
      <c r="AD41" s="197"/>
      <c r="AE41" s="197"/>
      <c r="AF41" s="197"/>
      <c r="AG41" s="197"/>
      <c r="AH41" s="197"/>
      <c r="AI41" s="197"/>
      <c r="AJ41" s="197"/>
      <c r="AK41" s="197"/>
      <c r="AL41" s="197"/>
      <c r="AM41" s="197"/>
      <c r="AN41" s="202"/>
      <c r="AO41" s="202"/>
      <c r="AP41" s="202"/>
      <c r="AQ41" s="205"/>
      <c r="AR41" s="205">
        <v>39</v>
      </c>
      <c r="AS41" s="204">
        <v>480</v>
      </c>
      <c r="AT41" s="205"/>
      <c r="AU41" s="205"/>
      <c r="AV41" s="205"/>
      <c r="AW41" s="205"/>
      <c r="AX41" s="204"/>
      <c r="AY41" s="204"/>
      <c r="AZ41" s="204"/>
      <c r="BA41" s="204"/>
      <c r="BB41" s="204"/>
      <c r="BC41" s="204"/>
      <c r="BD41" s="204"/>
      <c r="BE41" s="204"/>
      <c r="BF41" s="204"/>
      <c r="BG41" s="204"/>
      <c r="BH41" s="204"/>
      <c r="BI41" s="204"/>
      <c r="BJ41" s="204"/>
      <c r="BK41" s="204"/>
      <c r="BL41" s="204"/>
      <c r="BM41" s="204"/>
      <c r="BN41" s="204"/>
      <c r="BO41" s="204"/>
      <c r="BP41" s="204"/>
      <c r="BQ41" s="204"/>
      <c r="BR41" s="204"/>
      <c r="BS41" s="204"/>
      <c r="BT41" s="204"/>
      <c r="BU41" s="203"/>
      <c r="BV41" s="203"/>
      <c r="BW41" s="203"/>
      <c r="BX41" s="203"/>
      <c r="BY41" s="203"/>
      <c r="BZ41" s="203"/>
      <c r="CA41" s="203"/>
      <c r="CB41" s="203"/>
      <c r="CC41" s="203"/>
      <c r="CD41" s="203"/>
      <c r="CE41" s="203"/>
      <c r="CF41" s="203"/>
      <c r="CG41" s="203"/>
      <c r="CH41" s="203"/>
      <c r="CI41" s="203"/>
      <c r="CJ41" s="203"/>
      <c r="CK41" s="203"/>
    </row>
    <row r="42" spans="6:89" s="196" customFormat="1">
      <c r="F42" s="204"/>
      <c r="G42" s="204"/>
      <c r="H42" s="204"/>
      <c r="I42" s="204"/>
      <c r="J42" s="204"/>
      <c r="K42" s="204"/>
      <c r="L42" s="204"/>
      <c r="M42" s="204"/>
      <c r="N42" s="204"/>
      <c r="O42" s="706" t="s">
        <v>111</v>
      </c>
      <c r="P42" s="706"/>
      <c r="Q42" s="706"/>
      <c r="R42" s="706"/>
      <c r="S42" s="204"/>
      <c r="AB42" s="201"/>
      <c r="AC42" s="201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202"/>
      <c r="AO42" s="202"/>
      <c r="AP42" s="202"/>
      <c r="AQ42" s="205"/>
      <c r="AR42" s="205">
        <v>40</v>
      </c>
      <c r="AS42" s="204">
        <v>490</v>
      </c>
      <c r="AT42" s="205"/>
      <c r="AU42" s="205"/>
      <c r="AV42" s="205"/>
      <c r="AW42" s="205"/>
      <c r="AX42" s="204"/>
      <c r="AY42" s="204"/>
      <c r="AZ42" s="204"/>
      <c r="BA42" s="204"/>
      <c r="BB42" s="204"/>
      <c r="BC42" s="204"/>
      <c r="BD42" s="204"/>
      <c r="BE42" s="204"/>
      <c r="BF42" s="204"/>
      <c r="BG42" s="204"/>
      <c r="BH42" s="204"/>
      <c r="BI42" s="204"/>
      <c r="BJ42" s="204"/>
      <c r="BK42" s="204"/>
      <c r="BL42" s="204"/>
      <c r="BM42" s="204"/>
      <c r="BN42" s="204"/>
      <c r="BO42" s="204"/>
      <c r="BP42" s="204"/>
      <c r="BQ42" s="204"/>
      <c r="BR42" s="204"/>
      <c r="BS42" s="204"/>
      <c r="BT42" s="204"/>
      <c r="BU42" s="203"/>
      <c r="BV42" s="203"/>
      <c r="BW42" s="203"/>
      <c r="BX42" s="203"/>
      <c r="BY42" s="203"/>
      <c r="BZ42" s="203"/>
      <c r="CA42" s="203"/>
      <c r="CB42" s="203"/>
      <c r="CC42" s="203"/>
      <c r="CD42" s="203"/>
      <c r="CE42" s="203"/>
      <c r="CF42" s="203"/>
      <c r="CG42" s="203"/>
      <c r="CH42" s="203"/>
      <c r="CI42" s="203"/>
      <c r="CJ42" s="203"/>
      <c r="CK42" s="203"/>
    </row>
    <row r="43" spans="6:89" s="196" customFormat="1"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8" t="s">
        <v>110</v>
      </c>
      <c r="Q43" s="208" t="s">
        <v>109</v>
      </c>
      <c r="R43" s="208" t="s">
        <v>108</v>
      </c>
      <c r="S43" s="204"/>
      <c r="AB43" s="201"/>
      <c r="AC43" s="201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202"/>
      <c r="AO43" s="202"/>
      <c r="AP43" s="202"/>
      <c r="AQ43" s="205"/>
      <c r="AR43" s="205">
        <v>41</v>
      </c>
      <c r="AS43" s="204">
        <v>500</v>
      </c>
      <c r="AT43" s="205"/>
      <c r="AU43" s="205"/>
      <c r="AV43" s="205"/>
      <c r="AW43" s="205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  <c r="BI43" s="204"/>
      <c r="BJ43" s="204"/>
      <c r="BK43" s="204"/>
      <c r="BL43" s="204"/>
      <c r="BM43" s="204"/>
      <c r="BN43" s="204"/>
      <c r="BO43" s="204"/>
      <c r="BP43" s="204"/>
      <c r="BQ43" s="204"/>
      <c r="BR43" s="204"/>
      <c r="BS43" s="204"/>
      <c r="BT43" s="204"/>
      <c r="BU43" s="203"/>
      <c r="BV43" s="203"/>
      <c r="BW43" s="203"/>
      <c r="BX43" s="203"/>
      <c r="BY43" s="203"/>
      <c r="BZ43" s="203"/>
      <c r="CA43" s="203"/>
      <c r="CB43" s="203"/>
      <c r="CC43" s="203"/>
      <c r="CD43" s="203"/>
      <c r="CE43" s="203"/>
      <c r="CF43" s="203"/>
      <c r="CG43" s="203"/>
      <c r="CH43" s="203"/>
      <c r="CI43" s="203"/>
      <c r="CJ43" s="203"/>
      <c r="CK43" s="203"/>
    </row>
    <row r="44" spans="6:89" s="196" customFormat="1">
      <c r="F44" s="204"/>
      <c r="G44" s="204"/>
      <c r="H44" s="204"/>
      <c r="I44" s="204"/>
      <c r="J44" s="204"/>
      <c r="K44" s="204"/>
      <c r="L44" s="204"/>
      <c r="M44" s="204"/>
      <c r="N44" s="204"/>
      <c r="O44" s="207" t="s">
        <v>107</v>
      </c>
      <c r="P44" s="206">
        <f>((H10+H11)/2)*0.25</f>
        <v>55.875</v>
      </c>
      <c r="Q44" s="206">
        <f>((H10+H11)/2)*(0.25+(0.25*0.15))</f>
        <v>64.256249999999994</v>
      </c>
      <c r="R44" s="206">
        <f>((H10+H11)/2)*(0.25+(0.25*0.5))</f>
        <v>83.8125</v>
      </c>
      <c r="S44" s="204"/>
      <c r="AB44" s="201"/>
      <c r="AC44" s="201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202"/>
      <c r="AO44" s="202"/>
      <c r="AP44" s="202"/>
      <c r="AQ44" s="205"/>
      <c r="AR44" s="205">
        <v>42</v>
      </c>
      <c r="AS44" s="204">
        <v>510</v>
      </c>
      <c r="AT44" s="205"/>
      <c r="AU44" s="205"/>
      <c r="AV44" s="205"/>
      <c r="AW44" s="205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  <c r="BI44" s="204"/>
      <c r="BJ44" s="204"/>
      <c r="BK44" s="204"/>
      <c r="BL44" s="204"/>
      <c r="BM44" s="204"/>
      <c r="BN44" s="204"/>
      <c r="BO44" s="204"/>
      <c r="BP44" s="204"/>
      <c r="BQ44" s="204"/>
      <c r="BR44" s="204"/>
      <c r="BS44" s="204"/>
      <c r="BT44" s="204"/>
      <c r="BU44" s="203"/>
      <c r="BV44" s="203"/>
      <c r="BW44" s="203"/>
      <c r="BX44" s="203"/>
      <c r="BY44" s="203"/>
      <c r="BZ44" s="203"/>
      <c r="CA44" s="203"/>
      <c r="CB44" s="203"/>
      <c r="CC44" s="203"/>
      <c r="CD44" s="203"/>
      <c r="CE44" s="203"/>
      <c r="CF44" s="203"/>
      <c r="CG44" s="203"/>
      <c r="CH44" s="203"/>
      <c r="CI44" s="203"/>
      <c r="CJ44" s="203"/>
      <c r="CK44" s="203"/>
    </row>
    <row r="45" spans="6:89" s="196" customFormat="1">
      <c r="F45" s="204"/>
      <c r="G45" s="204"/>
      <c r="H45" s="204"/>
      <c r="I45" s="204"/>
      <c r="J45" s="204"/>
      <c r="K45" s="204"/>
      <c r="L45" s="204"/>
      <c r="M45" s="204"/>
      <c r="N45" s="204"/>
      <c r="O45" s="207" t="s">
        <v>106</v>
      </c>
      <c r="P45" s="206">
        <f>(H10*0.25)</f>
        <v>54.5</v>
      </c>
      <c r="Q45" s="206">
        <f>H10*(0.25+(0.25*0.15))</f>
        <v>62.674999999999997</v>
      </c>
      <c r="R45" s="206">
        <f>H10*(0.25+(0.25*0.5))</f>
        <v>81.75</v>
      </c>
      <c r="S45" s="204"/>
      <c r="AB45" s="201"/>
      <c r="AC45" s="201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202"/>
      <c r="AO45" s="202"/>
      <c r="AP45" s="202"/>
      <c r="AQ45" s="205"/>
      <c r="AR45" s="205">
        <v>43</v>
      </c>
      <c r="AS45" s="204">
        <v>520</v>
      </c>
      <c r="AT45" s="205"/>
      <c r="AU45" s="205"/>
      <c r="AV45" s="205"/>
      <c r="AW45" s="205"/>
      <c r="AX45" s="204"/>
      <c r="AY45" s="204"/>
      <c r="AZ45" s="204"/>
      <c r="BA45" s="204"/>
      <c r="BB45" s="204"/>
      <c r="BC45" s="204"/>
      <c r="BD45" s="204"/>
      <c r="BE45" s="204"/>
      <c r="BF45" s="204"/>
      <c r="BG45" s="204"/>
      <c r="BH45" s="204"/>
      <c r="BI45" s="204"/>
      <c r="BJ45" s="204"/>
      <c r="BK45" s="204"/>
      <c r="BL45" s="204"/>
      <c r="BM45" s="204"/>
      <c r="BN45" s="204"/>
      <c r="BO45" s="204"/>
      <c r="BP45" s="204"/>
      <c r="BQ45" s="204"/>
      <c r="BR45" s="204"/>
      <c r="BS45" s="204"/>
      <c r="BT45" s="204"/>
      <c r="BU45" s="203"/>
      <c r="BV45" s="203"/>
      <c r="BW45" s="203"/>
      <c r="BX45" s="203"/>
      <c r="BY45" s="203"/>
      <c r="BZ45" s="203"/>
      <c r="CA45" s="203"/>
      <c r="CB45" s="203"/>
      <c r="CC45" s="203"/>
      <c r="CD45" s="203"/>
      <c r="CE45" s="203"/>
      <c r="CF45" s="203"/>
      <c r="CG45" s="203"/>
      <c r="CH45" s="203"/>
      <c r="CI45" s="203"/>
      <c r="CJ45" s="203"/>
      <c r="CK45" s="203"/>
    </row>
    <row r="46" spans="6:89" s="196" customFormat="1">
      <c r="F46" s="204"/>
      <c r="G46" s="204"/>
      <c r="H46" s="204"/>
      <c r="I46" s="204"/>
      <c r="J46" s="204"/>
      <c r="K46" s="204"/>
      <c r="L46" s="204"/>
      <c r="M46" s="204"/>
      <c r="N46" s="204"/>
      <c r="O46" s="207" t="s">
        <v>105</v>
      </c>
      <c r="P46" s="206">
        <f>H11*0.25</f>
        <v>57.25</v>
      </c>
      <c r="Q46" s="206">
        <f>H11*(0.25+(0.25*0.15))</f>
        <v>65.837499999999991</v>
      </c>
      <c r="R46" s="206">
        <f>H11*(0.25+(0.25*0.5))</f>
        <v>85.875</v>
      </c>
      <c r="S46" s="204"/>
      <c r="AB46" s="201"/>
      <c r="AC46" s="201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202"/>
      <c r="AO46" s="202"/>
      <c r="AP46" s="202"/>
      <c r="AQ46" s="205"/>
      <c r="AR46" s="205">
        <v>44</v>
      </c>
      <c r="AS46" s="204">
        <v>530</v>
      </c>
      <c r="AT46" s="205"/>
      <c r="AU46" s="205"/>
      <c r="AV46" s="205"/>
      <c r="AW46" s="205"/>
      <c r="AX46" s="204"/>
      <c r="AY46" s="204"/>
      <c r="AZ46" s="204"/>
      <c r="BA46" s="204"/>
      <c r="BB46" s="204"/>
      <c r="BC46" s="204"/>
      <c r="BD46" s="204"/>
      <c r="BE46" s="204"/>
      <c r="BF46" s="204"/>
      <c r="BG46" s="204"/>
      <c r="BH46" s="204"/>
      <c r="BI46" s="204"/>
      <c r="BJ46" s="204"/>
      <c r="BK46" s="204"/>
      <c r="BL46" s="204"/>
      <c r="BM46" s="204"/>
      <c r="BN46" s="204"/>
      <c r="BO46" s="204"/>
      <c r="BP46" s="204"/>
      <c r="BQ46" s="204"/>
      <c r="BR46" s="204"/>
      <c r="BS46" s="204"/>
      <c r="BT46" s="204"/>
      <c r="BU46" s="203"/>
      <c r="BV46" s="203"/>
      <c r="BW46" s="203"/>
      <c r="BX46" s="203"/>
      <c r="BY46" s="203"/>
      <c r="BZ46" s="203"/>
      <c r="CA46" s="203"/>
      <c r="CB46" s="203"/>
      <c r="CC46" s="203"/>
      <c r="CD46" s="203"/>
      <c r="CE46" s="203"/>
      <c r="CF46" s="203"/>
      <c r="CG46" s="203"/>
      <c r="CH46" s="203"/>
      <c r="CI46" s="203"/>
      <c r="CJ46" s="203"/>
      <c r="CK46" s="203"/>
    </row>
    <row r="47" spans="6:89" s="196" customFormat="1"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AB47" s="201"/>
      <c r="AC47" s="201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202"/>
      <c r="AO47" s="202"/>
      <c r="AP47" s="202"/>
      <c r="AQ47" s="205"/>
      <c r="AR47" s="205">
        <v>45</v>
      </c>
      <c r="AS47" s="204">
        <v>540</v>
      </c>
      <c r="AT47" s="205"/>
      <c r="AU47" s="205"/>
      <c r="AV47" s="205"/>
      <c r="AW47" s="205"/>
      <c r="AX47" s="204"/>
      <c r="AY47" s="204"/>
      <c r="AZ47" s="204"/>
      <c r="BA47" s="204"/>
      <c r="BB47" s="204"/>
      <c r="BC47" s="204"/>
      <c r="BD47" s="204"/>
      <c r="BE47" s="204"/>
      <c r="BF47" s="204"/>
      <c r="BG47" s="204"/>
      <c r="BH47" s="204"/>
      <c r="BI47" s="204"/>
      <c r="BJ47" s="204"/>
      <c r="BK47" s="204"/>
      <c r="BL47" s="204"/>
      <c r="BM47" s="204"/>
      <c r="BN47" s="204"/>
      <c r="BO47" s="204"/>
      <c r="BP47" s="204"/>
      <c r="BQ47" s="204"/>
      <c r="BR47" s="204"/>
      <c r="BS47" s="204"/>
      <c r="BT47" s="204"/>
      <c r="BU47" s="203"/>
      <c r="BV47" s="203"/>
      <c r="BW47" s="203"/>
      <c r="BX47" s="203"/>
      <c r="BY47" s="203"/>
      <c r="BZ47" s="203"/>
      <c r="CA47" s="203"/>
      <c r="CB47" s="203"/>
      <c r="CC47" s="203"/>
      <c r="CD47" s="203"/>
      <c r="CE47" s="203"/>
      <c r="CF47" s="203"/>
      <c r="CG47" s="203"/>
      <c r="CH47" s="203"/>
      <c r="CI47" s="203"/>
      <c r="CJ47" s="203"/>
      <c r="CK47" s="203"/>
    </row>
    <row r="48" spans="6:89" s="196" customFormat="1">
      <c r="AB48" s="201"/>
      <c r="AC48" s="201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202"/>
      <c r="AO48" s="202"/>
      <c r="AP48" s="202"/>
      <c r="AQ48" s="205"/>
      <c r="AR48" s="205">
        <v>46</v>
      </c>
      <c r="AS48" s="204">
        <v>550</v>
      </c>
      <c r="AT48" s="205"/>
      <c r="AU48" s="205"/>
      <c r="AV48" s="205"/>
      <c r="AW48" s="205"/>
      <c r="AX48" s="204"/>
      <c r="AY48" s="204"/>
      <c r="AZ48" s="204"/>
      <c r="BA48" s="204"/>
      <c r="BB48" s="204"/>
      <c r="BC48" s="204"/>
      <c r="BD48" s="204"/>
      <c r="BE48" s="204"/>
      <c r="BF48" s="204"/>
      <c r="BG48" s="204"/>
      <c r="BH48" s="204"/>
      <c r="BI48" s="204"/>
      <c r="BJ48" s="204"/>
      <c r="BK48" s="204"/>
      <c r="BL48" s="204"/>
      <c r="BM48" s="204"/>
      <c r="BN48" s="204"/>
      <c r="BO48" s="204"/>
      <c r="BP48" s="204"/>
      <c r="BQ48" s="204"/>
      <c r="BR48" s="204"/>
      <c r="BS48" s="204"/>
      <c r="BT48" s="204"/>
      <c r="BU48" s="203"/>
      <c r="BV48" s="203"/>
      <c r="BW48" s="203"/>
      <c r="BX48" s="203"/>
      <c r="BY48" s="203"/>
      <c r="BZ48" s="203"/>
      <c r="CA48" s="203"/>
      <c r="CB48" s="203"/>
      <c r="CC48" s="203"/>
      <c r="CD48" s="203"/>
      <c r="CE48" s="203"/>
      <c r="CF48" s="203"/>
      <c r="CG48" s="203"/>
      <c r="CH48" s="203"/>
      <c r="CI48" s="203"/>
      <c r="CJ48" s="203"/>
      <c r="CK48" s="203"/>
    </row>
    <row r="49" spans="28:89" s="196" customFormat="1">
      <c r="AB49" s="201"/>
      <c r="AC49" s="201"/>
      <c r="AD49" s="197"/>
      <c r="AE49" s="197"/>
      <c r="AF49" s="197"/>
      <c r="AG49" s="197"/>
      <c r="AH49" s="197"/>
      <c r="AI49" s="197"/>
      <c r="AJ49" s="197"/>
      <c r="AK49" s="197"/>
      <c r="AL49" s="197"/>
      <c r="AM49" s="197"/>
      <c r="AN49" s="202"/>
      <c r="AO49" s="202"/>
      <c r="AP49" s="202"/>
      <c r="AQ49" s="205"/>
      <c r="AR49" s="205">
        <v>47</v>
      </c>
      <c r="AS49" s="204">
        <v>560</v>
      </c>
      <c r="AT49" s="205"/>
      <c r="AU49" s="205"/>
      <c r="AV49" s="205"/>
      <c r="AW49" s="205"/>
      <c r="AX49" s="204"/>
      <c r="AY49" s="204"/>
      <c r="AZ49" s="204"/>
      <c r="BA49" s="204"/>
      <c r="BB49" s="204"/>
      <c r="BC49" s="204"/>
      <c r="BD49" s="204"/>
      <c r="BE49" s="204"/>
      <c r="BF49" s="204"/>
      <c r="BG49" s="204"/>
      <c r="BH49" s="204"/>
      <c r="BI49" s="204"/>
      <c r="BJ49" s="204"/>
      <c r="BK49" s="204"/>
      <c r="BL49" s="204"/>
      <c r="BM49" s="204"/>
      <c r="BN49" s="204"/>
      <c r="BO49" s="204"/>
      <c r="BP49" s="204"/>
      <c r="BQ49" s="204"/>
      <c r="BR49" s="204"/>
      <c r="BS49" s="204"/>
      <c r="BT49" s="204"/>
      <c r="BU49" s="203"/>
      <c r="BV49" s="203"/>
      <c r="BW49" s="203"/>
      <c r="BX49" s="203"/>
      <c r="BY49" s="203"/>
      <c r="BZ49" s="203"/>
      <c r="CA49" s="203"/>
      <c r="CB49" s="203"/>
      <c r="CC49" s="203"/>
      <c r="CD49" s="203"/>
      <c r="CE49" s="203"/>
      <c r="CF49" s="203"/>
      <c r="CG49" s="203"/>
      <c r="CH49" s="203"/>
      <c r="CI49" s="203"/>
      <c r="CJ49" s="203"/>
      <c r="CK49" s="203"/>
    </row>
    <row r="50" spans="28:89" s="196" customFormat="1">
      <c r="AB50" s="201"/>
      <c r="AC50" s="201"/>
      <c r="AD50" s="197"/>
      <c r="AE50" s="197"/>
      <c r="AF50" s="197"/>
      <c r="AG50" s="197"/>
      <c r="AH50" s="197"/>
      <c r="AI50" s="197"/>
      <c r="AJ50" s="197"/>
      <c r="AK50" s="197"/>
      <c r="AL50" s="197"/>
      <c r="AM50" s="197"/>
      <c r="AN50" s="202"/>
      <c r="AO50" s="202"/>
      <c r="AP50" s="202"/>
      <c r="AQ50" s="205"/>
      <c r="AR50" s="205">
        <v>48</v>
      </c>
      <c r="AS50" s="204">
        <v>570</v>
      </c>
      <c r="AT50" s="205"/>
      <c r="AU50" s="205"/>
      <c r="AV50" s="205"/>
      <c r="AW50" s="205"/>
      <c r="AX50" s="204"/>
      <c r="AY50" s="204"/>
      <c r="AZ50" s="204"/>
      <c r="BA50" s="204"/>
      <c r="BB50" s="204"/>
      <c r="BC50" s="204"/>
      <c r="BD50" s="204"/>
      <c r="BE50" s="204"/>
      <c r="BF50" s="204"/>
      <c r="BG50" s="204"/>
      <c r="BH50" s="204"/>
      <c r="BI50" s="204"/>
      <c r="BJ50" s="204"/>
      <c r="BK50" s="204"/>
      <c r="BL50" s="204"/>
      <c r="BM50" s="204"/>
      <c r="BN50" s="204"/>
      <c r="BO50" s="204"/>
      <c r="BP50" s="204"/>
      <c r="BQ50" s="204"/>
      <c r="BR50" s="204"/>
      <c r="BS50" s="204"/>
      <c r="BT50" s="204"/>
      <c r="BU50" s="203"/>
      <c r="BV50" s="203"/>
      <c r="BW50" s="203"/>
      <c r="BX50" s="203"/>
      <c r="BY50" s="203"/>
      <c r="BZ50" s="203"/>
      <c r="CA50" s="203"/>
      <c r="CB50" s="203"/>
      <c r="CC50" s="203"/>
      <c r="CD50" s="203"/>
      <c r="CE50" s="203"/>
      <c r="CF50" s="203"/>
      <c r="CG50" s="203"/>
      <c r="CH50" s="203"/>
      <c r="CI50" s="203"/>
      <c r="CJ50" s="203"/>
      <c r="CK50" s="203"/>
    </row>
    <row r="51" spans="28:89" s="196" customFormat="1">
      <c r="AB51" s="201"/>
      <c r="AC51" s="201"/>
      <c r="AD51" s="197"/>
      <c r="AE51" s="197"/>
      <c r="AF51" s="197"/>
      <c r="AG51" s="197"/>
      <c r="AH51" s="197"/>
      <c r="AI51" s="197"/>
      <c r="AJ51" s="197"/>
      <c r="AK51" s="197"/>
      <c r="AL51" s="197"/>
      <c r="AM51" s="197"/>
      <c r="AN51" s="202"/>
      <c r="AO51" s="202"/>
      <c r="AP51" s="202"/>
      <c r="AQ51" s="205"/>
      <c r="AR51" s="205">
        <v>49</v>
      </c>
      <c r="AS51" s="204">
        <v>580</v>
      </c>
      <c r="AT51" s="205"/>
      <c r="AU51" s="205"/>
      <c r="AV51" s="205"/>
      <c r="AW51" s="205"/>
      <c r="AX51" s="204"/>
      <c r="AY51" s="204"/>
      <c r="AZ51" s="204"/>
      <c r="BA51" s="204"/>
      <c r="BB51" s="204"/>
      <c r="BC51" s="204"/>
      <c r="BD51" s="204"/>
      <c r="BE51" s="204"/>
      <c r="BF51" s="204"/>
      <c r="BG51" s="204"/>
      <c r="BH51" s="204"/>
      <c r="BI51" s="204"/>
      <c r="BJ51" s="204"/>
      <c r="BK51" s="204"/>
      <c r="BL51" s="204"/>
      <c r="BM51" s="204"/>
      <c r="BN51" s="204"/>
      <c r="BO51" s="204"/>
      <c r="BP51" s="204"/>
      <c r="BQ51" s="204"/>
      <c r="BR51" s="204"/>
      <c r="BS51" s="204"/>
      <c r="BT51" s="204"/>
      <c r="BU51" s="203"/>
      <c r="BV51" s="203"/>
      <c r="BW51" s="203"/>
      <c r="BX51" s="203"/>
      <c r="BY51" s="203"/>
      <c r="BZ51" s="203"/>
      <c r="CA51" s="203"/>
      <c r="CB51" s="203"/>
      <c r="CC51" s="203"/>
      <c r="CD51" s="203"/>
      <c r="CE51" s="203"/>
      <c r="CF51" s="203"/>
      <c r="CG51" s="203"/>
      <c r="CH51" s="203"/>
      <c r="CI51" s="203"/>
      <c r="CJ51" s="203"/>
      <c r="CK51" s="203"/>
    </row>
    <row r="52" spans="28:89" s="196" customFormat="1">
      <c r="AB52" s="201"/>
      <c r="AC52" s="201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202"/>
      <c r="AO52" s="202"/>
      <c r="AP52" s="202"/>
      <c r="AQ52" s="205"/>
      <c r="AR52" s="205">
        <v>50</v>
      </c>
      <c r="AS52" s="204">
        <v>590</v>
      </c>
      <c r="AT52" s="205"/>
      <c r="AU52" s="205"/>
      <c r="AV52" s="205"/>
      <c r="AW52" s="205"/>
      <c r="AX52" s="204"/>
      <c r="AY52" s="204"/>
      <c r="AZ52" s="204"/>
      <c r="BA52" s="204"/>
      <c r="BB52" s="204"/>
      <c r="BC52" s="204"/>
      <c r="BD52" s="204"/>
      <c r="BE52" s="204"/>
      <c r="BF52" s="204"/>
      <c r="BG52" s="204"/>
      <c r="BH52" s="204"/>
      <c r="BI52" s="204"/>
      <c r="BJ52" s="204"/>
      <c r="BK52" s="204"/>
      <c r="BL52" s="204"/>
      <c r="BM52" s="204"/>
      <c r="BN52" s="204"/>
      <c r="BO52" s="204"/>
      <c r="BP52" s="204"/>
      <c r="BQ52" s="204"/>
      <c r="BR52" s="204"/>
      <c r="BS52" s="204"/>
      <c r="BT52" s="204"/>
      <c r="BU52" s="203"/>
      <c r="BV52" s="203"/>
      <c r="BW52" s="203"/>
      <c r="BX52" s="203"/>
      <c r="BY52" s="203"/>
      <c r="BZ52" s="203"/>
      <c r="CA52" s="203"/>
      <c r="CB52" s="203"/>
      <c r="CC52" s="203"/>
      <c r="CD52" s="203"/>
      <c r="CE52" s="203"/>
      <c r="CF52" s="203"/>
      <c r="CG52" s="203"/>
      <c r="CH52" s="203"/>
      <c r="CI52" s="203"/>
      <c r="CJ52" s="203"/>
      <c r="CK52" s="203"/>
    </row>
    <row r="53" spans="28:89" s="196" customFormat="1">
      <c r="AB53" s="201"/>
      <c r="AC53" s="201"/>
      <c r="AD53" s="197"/>
      <c r="AE53" s="197"/>
      <c r="AF53" s="197"/>
      <c r="AG53" s="197"/>
      <c r="AH53" s="197"/>
      <c r="AI53" s="197"/>
      <c r="AJ53" s="197"/>
      <c r="AK53" s="197"/>
      <c r="AL53" s="197"/>
      <c r="AM53" s="197"/>
      <c r="AN53" s="202"/>
      <c r="AO53" s="202"/>
      <c r="AP53" s="202"/>
      <c r="AQ53" s="205"/>
      <c r="AR53" s="205">
        <v>51</v>
      </c>
      <c r="AS53" s="204">
        <v>600</v>
      </c>
      <c r="AT53" s="205"/>
      <c r="AU53" s="205"/>
      <c r="AV53" s="205"/>
      <c r="AW53" s="205"/>
      <c r="AX53" s="204"/>
      <c r="AY53" s="204"/>
      <c r="AZ53" s="204"/>
      <c r="BA53" s="204"/>
      <c r="BB53" s="204"/>
      <c r="BC53" s="204"/>
      <c r="BD53" s="204"/>
      <c r="BE53" s="204"/>
      <c r="BF53" s="204"/>
      <c r="BG53" s="204"/>
      <c r="BH53" s="204"/>
      <c r="BI53" s="204"/>
      <c r="BJ53" s="204"/>
      <c r="BK53" s="204"/>
      <c r="BL53" s="204"/>
      <c r="BM53" s="204"/>
      <c r="BN53" s="204"/>
      <c r="BO53" s="204"/>
      <c r="BP53" s="204"/>
      <c r="BQ53" s="204"/>
      <c r="BR53" s="204"/>
      <c r="BS53" s="204"/>
      <c r="BT53" s="204"/>
      <c r="BU53" s="203"/>
      <c r="BV53" s="203"/>
      <c r="BW53" s="203"/>
      <c r="BX53" s="203"/>
      <c r="BY53" s="203"/>
      <c r="BZ53" s="203"/>
      <c r="CA53" s="203"/>
      <c r="CB53" s="203"/>
      <c r="CC53" s="203"/>
      <c r="CD53" s="203"/>
      <c r="CE53" s="203"/>
      <c r="CF53" s="203"/>
      <c r="CG53" s="203"/>
      <c r="CH53" s="203"/>
      <c r="CI53" s="203"/>
      <c r="CJ53" s="203"/>
      <c r="CK53" s="203"/>
    </row>
    <row r="54" spans="28:89" s="196" customFormat="1">
      <c r="AB54" s="201"/>
      <c r="AC54" s="201"/>
      <c r="AD54" s="197"/>
      <c r="AE54" s="197"/>
      <c r="AF54" s="197"/>
      <c r="AG54" s="197"/>
      <c r="AH54" s="197"/>
      <c r="AI54" s="197"/>
      <c r="AJ54" s="197"/>
      <c r="AK54" s="197"/>
      <c r="AL54" s="197"/>
      <c r="AM54" s="197"/>
      <c r="AN54" s="202"/>
      <c r="AO54" s="202"/>
      <c r="AP54" s="202"/>
      <c r="AQ54" s="205"/>
      <c r="AR54" s="205">
        <v>52</v>
      </c>
      <c r="AS54" s="204">
        <v>610</v>
      </c>
      <c r="AT54" s="205"/>
      <c r="AU54" s="205"/>
      <c r="AV54" s="205"/>
      <c r="AW54" s="205"/>
      <c r="AX54" s="204"/>
      <c r="AY54" s="204"/>
      <c r="AZ54" s="204"/>
      <c r="BA54" s="204"/>
      <c r="BB54" s="204"/>
      <c r="BC54" s="204"/>
      <c r="BD54" s="204"/>
      <c r="BE54" s="204"/>
      <c r="BF54" s="204"/>
      <c r="BG54" s="204"/>
      <c r="BH54" s="204"/>
      <c r="BI54" s="204"/>
      <c r="BJ54" s="204"/>
      <c r="BK54" s="204"/>
      <c r="BL54" s="204"/>
      <c r="BM54" s="204"/>
      <c r="BN54" s="204"/>
      <c r="BO54" s="204"/>
      <c r="BP54" s="204"/>
      <c r="BQ54" s="204"/>
      <c r="BR54" s="204"/>
      <c r="BS54" s="204"/>
      <c r="BT54" s="204"/>
      <c r="BU54" s="203"/>
      <c r="BV54" s="203"/>
      <c r="BW54" s="203"/>
      <c r="BX54" s="203"/>
      <c r="BY54" s="203"/>
      <c r="BZ54" s="203"/>
      <c r="CA54" s="203"/>
      <c r="CB54" s="203"/>
      <c r="CC54" s="203"/>
      <c r="CD54" s="203"/>
      <c r="CE54" s="203"/>
      <c r="CF54" s="203"/>
      <c r="CG54" s="203"/>
      <c r="CH54" s="203"/>
      <c r="CI54" s="203"/>
      <c r="CJ54" s="203"/>
      <c r="CK54" s="203"/>
    </row>
    <row r="55" spans="28:89" s="196" customFormat="1">
      <c r="AB55" s="201"/>
      <c r="AC55" s="201"/>
      <c r="AD55" s="197"/>
      <c r="AE55" s="197"/>
      <c r="AF55" s="197"/>
      <c r="AG55" s="197"/>
      <c r="AH55" s="197"/>
      <c r="AI55" s="197"/>
      <c r="AJ55" s="197"/>
      <c r="AK55" s="197"/>
      <c r="AL55" s="197"/>
      <c r="AM55" s="197"/>
      <c r="AN55" s="202"/>
      <c r="AO55" s="202"/>
      <c r="AP55" s="202"/>
      <c r="AQ55" s="205"/>
      <c r="AR55" s="205">
        <v>53</v>
      </c>
      <c r="AS55" s="204">
        <v>620</v>
      </c>
      <c r="AT55" s="205"/>
      <c r="AU55" s="205"/>
      <c r="AV55" s="205"/>
      <c r="AW55" s="205"/>
      <c r="AX55" s="204"/>
      <c r="AY55" s="204"/>
      <c r="AZ55" s="204"/>
      <c r="BA55" s="204"/>
      <c r="BB55" s="204"/>
      <c r="BC55" s="204"/>
      <c r="BD55" s="204"/>
      <c r="BE55" s="204"/>
      <c r="BF55" s="204"/>
      <c r="BG55" s="204"/>
      <c r="BH55" s="204"/>
      <c r="BI55" s="204"/>
      <c r="BJ55" s="204"/>
      <c r="BK55" s="204"/>
      <c r="BL55" s="204"/>
      <c r="BM55" s="204"/>
      <c r="BN55" s="204"/>
      <c r="BO55" s="204"/>
      <c r="BP55" s="204"/>
      <c r="BQ55" s="204"/>
      <c r="BR55" s="204"/>
      <c r="BS55" s="204"/>
      <c r="BT55" s="204"/>
      <c r="BU55" s="203"/>
      <c r="BV55" s="203"/>
      <c r="BW55" s="203"/>
      <c r="BX55" s="203"/>
      <c r="BY55" s="203"/>
      <c r="BZ55" s="203"/>
      <c r="CA55" s="203"/>
      <c r="CB55" s="203"/>
      <c r="CC55" s="203"/>
      <c r="CD55" s="203"/>
      <c r="CE55" s="203"/>
      <c r="CF55" s="203"/>
      <c r="CG55" s="203"/>
      <c r="CH55" s="203"/>
      <c r="CI55" s="203"/>
      <c r="CJ55" s="203"/>
      <c r="CK55" s="203"/>
    </row>
    <row r="56" spans="28:89" s="196" customFormat="1">
      <c r="AB56" s="201"/>
      <c r="AC56" s="201"/>
      <c r="AD56" s="197"/>
      <c r="AE56" s="197"/>
      <c r="AF56" s="197"/>
      <c r="AG56" s="197"/>
      <c r="AH56" s="197"/>
      <c r="AI56" s="197"/>
      <c r="AJ56" s="197"/>
      <c r="AK56" s="197"/>
      <c r="AL56" s="197"/>
      <c r="AM56" s="197"/>
      <c r="AN56" s="202"/>
      <c r="AO56" s="202"/>
      <c r="AP56" s="202"/>
      <c r="AQ56" s="205"/>
      <c r="AR56" s="205">
        <v>54</v>
      </c>
      <c r="AS56" s="204">
        <v>630</v>
      </c>
      <c r="AT56" s="205"/>
      <c r="AU56" s="205"/>
      <c r="AV56" s="205"/>
      <c r="AW56" s="205"/>
      <c r="AX56" s="204"/>
      <c r="AY56" s="204"/>
      <c r="AZ56" s="204"/>
      <c r="BA56" s="204"/>
      <c r="BB56" s="204"/>
      <c r="BC56" s="204"/>
      <c r="BD56" s="204"/>
      <c r="BE56" s="204"/>
      <c r="BF56" s="204"/>
      <c r="BG56" s="204"/>
      <c r="BH56" s="204"/>
      <c r="BI56" s="204"/>
      <c r="BJ56" s="204"/>
      <c r="BK56" s="204"/>
      <c r="BL56" s="204"/>
      <c r="BM56" s="204"/>
      <c r="BN56" s="204"/>
      <c r="BO56" s="204"/>
      <c r="BP56" s="204"/>
      <c r="BQ56" s="204"/>
      <c r="BR56" s="204"/>
      <c r="BS56" s="204"/>
      <c r="BT56" s="204"/>
      <c r="BU56" s="203"/>
      <c r="BV56" s="203"/>
      <c r="BW56" s="203"/>
      <c r="BX56" s="203"/>
      <c r="BY56" s="203"/>
      <c r="BZ56" s="203"/>
      <c r="CA56" s="203"/>
      <c r="CB56" s="203"/>
      <c r="CC56" s="203"/>
      <c r="CD56" s="203"/>
      <c r="CE56" s="203"/>
      <c r="CF56" s="203"/>
      <c r="CG56" s="203"/>
      <c r="CH56" s="203"/>
      <c r="CI56" s="203"/>
      <c r="CJ56" s="203"/>
      <c r="CK56" s="203"/>
    </row>
    <row r="57" spans="28:89" s="196" customFormat="1">
      <c r="AB57" s="201"/>
      <c r="AC57" s="201"/>
      <c r="AD57" s="197"/>
      <c r="AE57" s="197"/>
      <c r="AF57" s="197"/>
      <c r="AG57" s="197"/>
      <c r="AH57" s="197"/>
      <c r="AI57" s="197"/>
      <c r="AJ57" s="197"/>
      <c r="AK57" s="197"/>
      <c r="AL57" s="197"/>
      <c r="AM57" s="197"/>
      <c r="AN57" s="202"/>
      <c r="AO57" s="202"/>
      <c r="AP57" s="202"/>
      <c r="AQ57" s="205"/>
      <c r="AR57" s="205">
        <v>55</v>
      </c>
      <c r="AS57" s="204">
        <v>640</v>
      </c>
      <c r="AT57" s="205"/>
      <c r="AU57" s="205"/>
      <c r="AV57" s="205"/>
      <c r="AW57" s="205"/>
      <c r="AX57" s="204"/>
      <c r="AY57" s="204"/>
      <c r="AZ57" s="204"/>
      <c r="BA57" s="204"/>
      <c r="BB57" s="204"/>
      <c r="BC57" s="204"/>
      <c r="BD57" s="204"/>
      <c r="BE57" s="204"/>
      <c r="BF57" s="204"/>
      <c r="BG57" s="204"/>
      <c r="BH57" s="204"/>
      <c r="BI57" s="204"/>
      <c r="BJ57" s="204"/>
      <c r="BK57" s="204"/>
      <c r="BL57" s="204"/>
      <c r="BM57" s="204"/>
      <c r="BN57" s="204"/>
      <c r="BO57" s="204"/>
      <c r="BP57" s="204"/>
      <c r="BQ57" s="204"/>
      <c r="BR57" s="204"/>
      <c r="BS57" s="204"/>
      <c r="BT57" s="204"/>
      <c r="BU57" s="203"/>
      <c r="BV57" s="203"/>
      <c r="BW57" s="203"/>
      <c r="BX57" s="203"/>
      <c r="BY57" s="203"/>
      <c r="BZ57" s="203"/>
      <c r="CA57" s="203"/>
      <c r="CB57" s="203"/>
      <c r="CC57" s="203"/>
      <c r="CD57" s="203"/>
      <c r="CE57" s="203"/>
      <c r="CF57" s="203"/>
      <c r="CG57" s="203"/>
      <c r="CH57" s="203"/>
      <c r="CI57" s="203"/>
      <c r="CJ57" s="203"/>
      <c r="CK57" s="203"/>
    </row>
    <row r="58" spans="28:89" s="196" customFormat="1">
      <c r="AB58" s="201"/>
      <c r="AC58" s="201"/>
      <c r="AD58" s="197"/>
      <c r="AE58" s="197"/>
      <c r="AF58" s="197"/>
      <c r="AG58" s="197"/>
      <c r="AH58" s="197"/>
      <c r="AI58" s="197"/>
      <c r="AJ58" s="197"/>
      <c r="AK58" s="197"/>
      <c r="AL58" s="197"/>
      <c r="AM58" s="197"/>
      <c r="AN58" s="202"/>
      <c r="AO58" s="202"/>
      <c r="AP58" s="202"/>
      <c r="AQ58" s="205"/>
      <c r="AR58" s="205">
        <v>56</v>
      </c>
      <c r="AS58" s="204">
        <v>650</v>
      </c>
      <c r="AT58" s="205"/>
      <c r="AU58" s="205"/>
      <c r="AV58" s="205"/>
      <c r="AW58" s="205"/>
      <c r="AX58" s="204"/>
      <c r="AY58" s="204"/>
      <c r="AZ58" s="204"/>
      <c r="BA58" s="204"/>
      <c r="BB58" s="204"/>
      <c r="BC58" s="204"/>
      <c r="BD58" s="204"/>
      <c r="BE58" s="204"/>
      <c r="BF58" s="204"/>
      <c r="BG58" s="204"/>
      <c r="BH58" s="204"/>
      <c r="BI58" s="204"/>
      <c r="BJ58" s="204"/>
      <c r="BK58" s="204"/>
      <c r="BL58" s="204"/>
      <c r="BM58" s="204"/>
      <c r="BN58" s="204"/>
      <c r="BO58" s="204"/>
      <c r="BP58" s="204"/>
      <c r="BQ58" s="204"/>
      <c r="BR58" s="204"/>
      <c r="BS58" s="204"/>
      <c r="BT58" s="204"/>
      <c r="BU58" s="203"/>
      <c r="BV58" s="203"/>
      <c r="BW58" s="203"/>
      <c r="BX58" s="203"/>
      <c r="BY58" s="203"/>
      <c r="BZ58" s="203"/>
      <c r="CA58" s="203"/>
      <c r="CB58" s="203"/>
      <c r="CC58" s="203"/>
      <c r="CD58" s="203"/>
      <c r="CE58" s="203"/>
      <c r="CF58" s="203"/>
      <c r="CG58" s="203"/>
      <c r="CH58" s="203"/>
      <c r="CI58" s="203"/>
      <c r="CJ58" s="203"/>
      <c r="CK58" s="203"/>
    </row>
    <row r="59" spans="28:89" s="196" customFormat="1">
      <c r="AB59" s="201"/>
      <c r="AC59" s="201"/>
      <c r="AD59" s="197"/>
      <c r="AE59" s="197"/>
      <c r="AF59" s="197"/>
      <c r="AG59" s="197"/>
      <c r="AH59" s="197"/>
      <c r="AI59" s="197"/>
      <c r="AJ59" s="197"/>
      <c r="AK59" s="197"/>
      <c r="AL59" s="197"/>
      <c r="AM59" s="197"/>
      <c r="AN59" s="202"/>
      <c r="AO59" s="202"/>
      <c r="AP59" s="202"/>
      <c r="AQ59" s="205"/>
      <c r="AR59" s="205">
        <v>57</v>
      </c>
      <c r="AS59" s="204">
        <v>660</v>
      </c>
      <c r="AT59" s="205"/>
      <c r="AU59" s="205"/>
      <c r="AV59" s="205"/>
      <c r="AW59" s="205"/>
      <c r="AX59" s="204"/>
      <c r="AY59" s="204"/>
      <c r="AZ59" s="204"/>
      <c r="BA59" s="204"/>
      <c r="BB59" s="204"/>
      <c r="BC59" s="204"/>
      <c r="BD59" s="204"/>
      <c r="BE59" s="204"/>
      <c r="BF59" s="204"/>
      <c r="BG59" s="204"/>
      <c r="BH59" s="204"/>
      <c r="BI59" s="204"/>
      <c r="BJ59" s="204"/>
      <c r="BK59" s="204"/>
      <c r="BL59" s="204"/>
      <c r="BM59" s="204"/>
      <c r="BN59" s="204"/>
      <c r="BO59" s="204"/>
      <c r="BP59" s="204"/>
      <c r="BQ59" s="204"/>
      <c r="BR59" s="204"/>
      <c r="BS59" s="204"/>
      <c r="BT59" s="204"/>
      <c r="BU59" s="203"/>
      <c r="BV59" s="203"/>
      <c r="BW59" s="203"/>
      <c r="BX59" s="203"/>
      <c r="BY59" s="203"/>
      <c r="BZ59" s="203"/>
      <c r="CA59" s="203"/>
      <c r="CB59" s="203"/>
      <c r="CC59" s="203"/>
      <c r="CD59" s="203"/>
      <c r="CE59" s="203"/>
      <c r="CF59" s="203"/>
      <c r="CG59" s="203"/>
      <c r="CH59" s="203"/>
      <c r="CI59" s="203"/>
      <c r="CJ59" s="203"/>
      <c r="CK59" s="203"/>
    </row>
    <row r="60" spans="28:89" s="196" customFormat="1">
      <c r="AB60" s="201"/>
      <c r="AC60" s="201"/>
      <c r="AD60" s="197"/>
      <c r="AE60" s="197"/>
      <c r="AF60" s="197"/>
      <c r="AG60" s="197"/>
      <c r="AH60" s="197"/>
      <c r="AI60" s="197"/>
      <c r="AJ60" s="197"/>
      <c r="AK60" s="197"/>
      <c r="AL60" s="197"/>
      <c r="AM60" s="197"/>
      <c r="AN60" s="202"/>
      <c r="AO60" s="202"/>
      <c r="AP60" s="202"/>
      <c r="AQ60" s="205"/>
      <c r="AR60" s="205">
        <v>58</v>
      </c>
      <c r="AS60" s="204">
        <v>670</v>
      </c>
      <c r="AT60" s="205"/>
      <c r="AU60" s="205"/>
      <c r="AV60" s="205"/>
      <c r="AW60" s="205"/>
      <c r="AX60" s="204"/>
      <c r="AY60" s="204"/>
      <c r="AZ60" s="204"/>
      <c r="BA60" s="204"/>
      <c r="BB60" s="204"/>
      <c r="BC60" s="204"/>
      <c r="BD60" s="204"/>
      <c r="BE60" s="204"/>
      <c r="BF60" s="204"/>
      <c r="BG60" s="204"/>
      <c r="BH60" s="204"/>
      <c r="BI60" s="204"/>
      <c r="BJ60" s="204"/>
      <c r="BK60" s="204"/>
      <c r="BL60" s="204"/>
      <c r="BM60" s="204"/>
      <c r="BN60" s="204"/>
      <c r="BO60" s="204"/>
      <c r="BP60" s="204"/>
      <c r="BQ60" s="204"/>
      <c r="BR60" s="204"/>
      <c r="BS60" s="204"/>
      <c r="BT60" s="204"/>
      <c r="BU60" s="203"/>
      <c r="BV60" s="203"/>
      <c r="BW60" s="203"/>
      <c r="BX60" s="203"/>
      <c r="BY60" s="203"/>
      <c r="BZ60" s="203"/>
      <c r="CA60" s="203"/>
      <c r="CB60" s="203"/>
      <c r="CC60" s="203"/>
      <c r="CD60" s="203"/>
      <c r="CE60" s="203"/>
      <c r="CF60" s="203"/>
      <c r="CG60" s="203"/>
      <c r="CH60" s="203"/>
      <c r="CI60" s="203"/>
      <c r="CJ60" s="203"/>
      <c r="CK60" s="203"/>
    </row>
    <row r="61" spans="28:89" s="196" customFormat="1">
      <c r="AB61" s="201"/>
      <c r="AC61" s="201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/>
      <c r="AN61" s="202"/>
      <c r="AO61" s="202"/>
      <c r="AP61" s="202"/>
      <c r="AQ61" s="205"/>
      <c r="AR61" s="205">
        <v>59</v>
      </c>
      <c r="AS61" s="204">
        <v>680</v>
      </c>
      <c r="AT61" s="205"/>
      <c r="AU61" s="205"/>
      <c r="AV61" s="205"/>
      <c r="AW61" s="205"/>
      <c r="AX61" s="204"/>
      <c r="AY61" s="204"/>
      <c r="AZ61" s="204"/>
      <c r="BA61" s="204"/>
      <c r="BB61" s="204"/>
      <c r="BC61" s="204"/>
      <c r="BD61" s="204"/>
      <c r="BE61" s="204"/>
      <c r="BF61" s="204"/>
      <c r="BG61" s="204"/>
      <c r="BH61" s="204"/>
      <c r="BI61" s="204"/>
      <c r="BJ61" s="204"/>
      <c r="BK61" s="204"/>
      <c r="BL61" s="204"/>
      <c r="BM61" s="204"/>
      <c r="BN61" s="204"/>
      <c r="BO61" s="204"/>
      <c r="BP61" s="204"/>
      <c r="BQ61" s="204"/>
      <c r="BR61" s="204"/>
      <c r="BS61" s="204"/>
      <c r="BT61" s="204"/>
      <c r="BU61" s="203"/>
      <c r="BV61" s="203"/>
      <c r="BW61" s="203"/>
      <c r="BX61" s="203"/>
      <c r="BY61" s="203"/>
      <c r="BZ61" s="203"/>
      <c r="CA61" s="203"/>
      <c r="CB61" s="203"/>
      <c r="CC61" s="203"/>
      <c r="CD61" s="203"/>
      <c r="CE61" s="203"/>
      <c r="CF61" s="203"/>
      <c r="CG61" s="203"/>
      <c r="CH61" s="203"/>
      <c r="CI61" s="203"/>
      <c r="CJ61" s="203"/>
      <c r="CK61" s="203"/>
    </row>
    <row r="62" spans="28:89" s="196" customFormat="1">
      <c r="AB62" s="201"/>
      <c r="AC62" s="201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202"/>
      <c r="AO62" s="202"/>
      <c r="AP62" s="202"/>
      <c r="AQ62" s="205"/>
      <c r="AR62" s="205">
        <v>60</v>
      </c>
      <c r="AS62" s="204">
        <v>690</v>
      </c>
      <c r="AT62" s="205"/>
      <c r="AU62" s="205"/>
      <c r="AV62" s="205"/>
      <c r="AW62" s="205"/>
      <c r="AX62" s="204"/>
      <c r="AY62" s="204"/>
      <c r="AZ62" s="204"/>
      <c r="BA62" s="204"/>
      <c r="BB62" s="204"/>
      <c r="BC62" s="204"/>
      <c r="BD62" s="204"/>
      <c r="BE62" s="204"/>
      <c r="BF62" s="204"/>
      <c r="BG62" s="204"/>
      <c r="BH62" s="204"/>
      <c r="BI62" s="204"/>
      <c r="BJ62" s="204"/>
      <c r="BK62" s="204"/>
      <c r="BL62" s="204"/>
      <c r="BM62" s="204"/>
      <c r="BN62" s="204"/>
      <c r="BO62" s="204"/>
      <c r="BP62" s="204"/>
      <c r="BQ62" s="204"/>
      <c r="BR62" s="204"/>
      <c r="BS62" s="204"/>
      <c r="BT62" s="204"/>
      <c r="BU62" s="203"/>
      <c r="BV62" s="203"/>
      <c r="BW62" s="203"/>
      <c r="BX62" s="203"/>
      <c r="BY62" s="203"/>
      <c r="BZ62" s="203"/>
      <c r="CA62" s="203"/>
      <c r="CB62" s="203"/>
      <c r="CC62" s="203"/>
      <c r="CD62" s="203"/>
      <c r="CE62" s="203"/>
      <c r="CF62" s="203"/>
      <c r="CG62" s="203"/>
      <c r="CH62" s="203"/>
      <c r="CI62" s="203"/>
      <c r="CJ62" s="203"/>
      <c r="CK62" s="203"/>
    </row>
    <row r="63" spans="28:89" s="196" customFormat="1">
      <c r="AB63" s="201"/>
      <c r="AC63" s="201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202"/>
      <c r="AO63" s="202"/>
      <c r="AP63" s="202"/>
      <c r="AQ63" s="205"/>
      <c r="AR63" s="205">
        <v>61</v>
      </c>
      <c r="AS63" s="204">
        <v>700</v>
      </c>
      <c r="AT63" s="205"/>
      <c r="AU63" s="205"/>
      <c r="AV63" s="205"/>
      <c r="AW63" s="205"/>
      <c r="AX63" s="204"/>
      <c r="AY63" s="204"/>
      <c r="AZ63" s="204"/>
      <c r="BA63" s="204"/>
      <c r="BB63" s="204"/>
      <c r="BC63" s="204"/>
      <c r="BD63" s="204"/>
      <c r="BE63" s="204"/>
      <c r="BF63" s="204"/>
      <c r="BG63" s="204"/>
      <c r="BH63" s="204"/>
      <c r="BI63" s="204"/>
      <c r="BJ63" s="204"/>
      <c r="BK63" s="204"/>
      <c r="BL63" s="204"/>
      <c r="BM63" s="204"/>
      <c r="BN63" s="204"/>
      <c r="BO63" s="204"/>
      <c r="BP63" s="204"/>
      <c r="BQ63" s="204"/>
      <c r="BR63" s="204"/>
      <c r="BS63" s="204"/>
      <c r="BT63" s="204"/>
      <c r="BU63" s="203"/>
      <c r="BV63" s="203"/>
      <c r="BW63" s="203"/>
      <c r="BX63" s="203"/>
      <c r="BY63" s="203"/>
      <c r="BZ63" s="203"/>
      <c r="CA63" s="203"/>
      <c r="CB63" s="203"/>
      <c r="CC63" s="203"/>
      <c r="CD63" s="203"/>
      <c r="CE63" s="203"/>
      <c r="CF63" s="203"/>
      <c r="CG63" s="203"/>
      <c r="CH63" s="203"/>
      <c r="CI63" s="203"/>
      <c r="CJ63" s="203"/>
      <c r="CK63" s="203"/>
    </row>
    <row r="64" spans="28:89" s="196" customFormat="1">
      <c r="AB64" s="201"/>
      <c r="AC64" s="201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202"/>
      <c r="AO64" s="202"/>
      <c r="AP64" s="202"/>
      <c r="AQ64" s="205"/>
      <c r="AR64" s="205">
        <v>62</v>
      </c>
      <c r="AS64" s="204">
        <v>710</v>
      </c>
      <c r="AT64" s="205"/>
      <c r="AU64" s="205"/>
      <c r="AV64" s="205"/>
      <c r="AW64" s="205"/>
      <c r="AX64" s="204"/>
      <c r="AY64" s="204"/>
      <c r="AZ64" s="204"/>
      <c r="BA64" s="204"/>
      <c r="BB64" s="204"/>
      <c r="BC64" s="204"/>
      <c r="BD64" s="204"/>
      <c r="BE64" s="204"/>
      <c r="BF64" s="204"/>
      <c r="BG64" s="204"/>
      <c r="BH64" s="204"/>
      <c r="BI64" s="204"/>
      <c r="BJ64" s="204"/>
      <c r="BK64" s="204"/>
      <c r="BL64" s="204"/>
      <c r="BM64" s="204"/>
      <c r="BN64" s="204"/>
      <c r="BO64" s="204"/>
      <c r="BP64" s="204"/>
      <c r="BQ64" s="204"/>
      <c r="BR64" s="204"/>
      <c r="BS64" s="204"/>
      <c r="BT64" s="204"/>
      <c r="BU64" s="203"/>
      <c r="BV64" s="203"/>
      <c r="BW64" s="203"/>
      <c r="BX64" s="203"/>
      <c r="BY64" s="203"/>
      <c r="BZ64" s="203"/>
      <c r="CA64" s="203"/>
      <c r="CB64" s="203"/>
      <c r="CC64" s="203"/>
      <c r="CD64" s="203"/>
      <c r="CE64" s="203"/>
      <c r="CF64" s="203"/>
      <c r="CG64" s="203"/>
      <c r="CH64" s="203"/>
      <c r="CI64" s="203"/>
      <c r="CJ64" s="203"/>
      <c r="CK64" s="203"/>
    </row>
    <row r="65" spans="28:89" s="196" customFormat="1">
      <c r="AB65" s="201"/>
      <c r="AC65" s="201"/>
      <c r="AD65" s="197"/>
      <c r="AE65" s="197"/>
      <c r="AF65" s="197"/>
      <c r="AG65" s="197"/>
      <c r="AH65" s="197"/>
      <c r="AI65" s="197"/>
      <c r="AJ65" s="197"/>
      <c r="AK65" s="197"/>
      <c r="AL65" s="197"/>
      <c r="AM65" s="197"/>
      <c r="AN65" s="202"/>
      <c r="AO65" s="202"/>
      <c r="AP65" s="202"/>
      <c r="AQ65" s="205"/>
      <c r="AR65" s="205">
        <v>63</v>
      </c>
      <c r="AS65" s="204">
        <v>720</v>
      </c>
      <c r="AT65" s="205"/>
      <c r="AU65" s="205"/>
      <c r="AV65" s="205"/>
      <c r="AW65" s="205"/>
      <c r="AX65" s="204"/>
      <c r="AY65" s="204"/>
      <c r="AZ65" s="204"/>
      <c r="BA65" s="204"/>
      <c r="BB65" s="204"/>
      <c r="BC65" s="204"/>
      <c r="BD65" s="204"/>
      <c r="BE65" s="204"/>
      <c r="BF65" s="204"/>
      <c r="BG65" s="204"/>
      <c r="BH65" s="204"/>
      <c r="BI65" s="204"/>
      <c r="BJ65" s="204"/>
      <c r="BK65" s="204"/>
      <c r="BL65" s="204"/>
      <c r="BM65" s="204"/>
      <c r="BN65" s="204"/>
      <c r="BO65" s="204"/>
      <c r="BP65" s="204"/>
      <c r="BQ65" s="204"/>
      <c r="BR65" s="204"/>
      <c r="BS65" s="204"/>
      <c r="BT65" s="204"/>
      <c r="BU65" s="203"/>
      <c r="BV65" s="203"/>
      <c r="BW65" s="203"/>
      <c r="BX65" s="203"/>
      <c r="BY65" s="203"/>
      <c r="BZ65" s="203"/>
      <c r="CA65" s="203"/>
      <c r="CB65" s="203"/>
      <c r="CC65" s="203"/>
      <c r="CD65" s="203"/>
      <c r="CE65" s="203"/>
      <c r="CF65" s="203"/>
      <c r="CG65" s="203"/>
      <c r="CH65" s="203"/>
      <c r="CI65" s="203"/>
      <c r="CJ65" s="203"/>
      <c r="CK65" s="203"/>
    </row>
    <row r="66" spans="28:89" s="196" customFormat="1">
      <c r="AB66" s="201"/>
      <c r="AC66" s="201"/>
      <c r="AD66" s="197"/>
      <c r="AE66" s="197"/>
      <c r="AF66" s="197"/>
      <c r="AG66" s="197"/>
      <c r="AH66" s="197"/>
      <c r="AI66" s="197"/>
      <c r="AJ66" s="197"/>
      <c r="AK66" s="197"/>
      <c r="AL66" s="197"/>
      <c r="AM66" s="197"/>
      <c r="AN66" s="202"/>
      <c r="AO66" s="202"/>
      <c r="AP66" s="202"/>
      <c r="AQ66" s="205"/>
      <c r="AR66" s="205">
        <v>64</v>
      </c>
      <c r="AS66" s="204">
        <v>730</v>
      </c>
      <c r="AT66" s="205"/>
      <c r="AU66" s="205"/>
      <c r="AV66" s="205"/>
      <c r="AW66" s="205"/>
      <c r="AX66" s="204"/>
      <c r="AY66" s="204"/>
      <c r="AZ66" s="204"/>
      <c r="BA66" s="204"/>
      <c r="BB66" s="204"/>
      <c r="BC66" s="204"/>
      <c r="BD66" s="204"/>
      <c r="BE66" s="204"/>
      <c r="BF66" s="204"/>
      <c r="BG66" s="204"/>
      <c r="BH66" s="204"/>
      <c r="BI66" s="204"/>
      <c r="BJ66" s="204"/>
      <c r="BK66" s="204"/>
      <c r="BL66" s="204"/>
      <c r="BM66" s="204"/>
      <c r="BN66" s="204"/>
      <c r="BO66" s="204"/>
      <c r="BP66" s="204"/>
      <c r="BQ66" s="204"/>
      <c r="BR66" s="204"/>
      <c r="BS66" s="204"/>
      <c r="BT66" s="204"/>
      <c r="BU66" s="203"/>
      <c r="BV66" s="203"/>
      <c r="BW66" s="203"/>
      <c r="BX66" s="203"/>
      <c r="BY66" s="203"/>
      <c r="BZ66" s="203"/>
      <c r="CA66" s="203"/>
      <c r="CB66" s="203"/>
      <c r="CC66" s="203"/>
      <c r="CD66" s="203"/>
      <c r="CE66" s="203"/>
      <c r="CF66" s="203"/>
      <c r="CG66" s="203"/>
      <c r="CH66" s="203"/>
      <c r="CI66" s="203"/>
      <c r="CJ66" s="203"/>
      <c r="CK66" s="203"/>
    </row>
    <row r="67" spans="28:89" s="196" customFormat="1">
      <c r="AB67" s="201"/>
      <c r="AC67" s="201"/>
      <c r="AD67" s="197"/>
      <c r="AE67" s="197"/>
      <c r="AF67" s="197"/>
      <c r="AG67" s="197"/>
      <c r="AH67" s="197"/>
      <c r="AI67" s="197"/>
      <c r="AJ67" s="197"/>
      <c r="AK67" s="197"/>
      <c r="AL67" s="197"/>
      <c r="AM67" s="197"/>
      <c r="AN67" s="202"/>
      <c r="AO67" s="202"/>
      <c r="AP67" s="202"/>
      <c r="AQ67" s="205"/>
      <c r="AR67" s="205">
        <v>65</v>
      </c>
      <c r="AS67" s="204">
        <v>740</v>
      </c>
      <c r="AT67" s="205"/>
      <c r="AU67" s="205"/>
      <c r="AV67" s="205"/>
      <c r="AW67" s="205"/>
      <c r="AX67" s="204"/>
      <c r="AY67" s="204"/>
      <c r="AZ67" s="204"/>
      <c r="BA67" s="204"/>
      <c r="BB67" s="204"/>
      <c r="BC67" s="204"/>
      <c r="BD67" s="204"/>
      <c r="BE67" s="204"/>
      <c r="BF67" s="204"/>
      <c r="BG67" s="204"/>
      <c r="BH67" s="204"/>
      <c r="BI67" s="204"/>
      <c r="BJ67" s="204"/>
      <c r="BK67" s="204"/>
      <c r="BL67" s="204"/>
      <c r="BM67" s="204"/>
      <c r="BN67" s="204"/>
      <c r="BO67" s="204"/>
      <c r="BP67" s="204"/>
      <c r="BQ67" s="204"/>
      <c r="BR67" s="204"/>
      <c r="BS67" s="204"/>
      <c r="BT67" s="204"/>
      <c r="BU67" s="203"/>
      <c r="BV67" s="203"/>
      <c r="BW67" s="203"/>
      <c r="BX67" s="203"/>
      <c r="BY67" s="203"/>
      <c r="BZ67" s="203"/>
      <c r="CA67" s="203"/>
      <c r="CB67" s="203"/>
      <c r="CC67" s="203"/>
      <c r="CD67" s="203"/>
      <c r="CE67" s="203"/>
      <c r="CF67" s="203"/>
      <c r="CG67" s="203"/>
      <c r="CH67" s="203"/>
      <c r="CI67" s="203"/>
      <c r="CJ67" s="203"/>
      <c r="CK67" s="203"/>
    </row>
    <row r="68" spans="28:89" s="196" customFormat="1">
      <c r="AB68" s="201"/>
      <c r="AC68" s="201"/>
      <c r="AD68" s="197"/>
      <c r="AE68" s="197"/>
      <c r="AF68" s="197"/>
      <c r="AG68" s="197"/>
      <c r="AH68" s="197"/>
      <c r="AI68" s="197"/>
      <c r="AJ68" s="197"/>
      <c r="AK68" s="197"/>
      <c r="AL68" s="197"/>
      <c r="AM68" s="197"/>
      <c r="AN68" s="202"/>
      <c r="AO68" s="202"/>
      <c r="AP68" s="202"/>
      <c r="AQ68" s="205"/>
      <c r="AR68" s="205">
        <v>66</v>
      </c>
      <c r="AS68" s="204">
        <v>750</v>
      </c>
      <c r="AT68" s="205"/>
      <c r="AU68" s="205"/>
      <c r="AV68" s="205"/>
      <c r="AW68" s="205"/>
      <c r="AX68" s="204"/>
      <c r="AY68" s="204"/>
      <c r="AZ68" s="204"/>
      <c r="BA68" s="204"/>
      <c r="BB68" s="204"/>
      <c r="BC68" s="204"/>
      <c r="BD68" s="204"/>
      <c r="BE68" s="204"/>
      <c r="BF68" s="204"/>
      <c r="BG68" s="204"/>
      <c r="BH68" s="204"/>
      <c r="BI68" s="204"/>
      <c r="BJ68" s="204"/>
      <c r="BK68" s="204"/>
      <c r="BL68" s="204"/>
      <c r="BM68" s="204"/>
      <c r="BN68" s="204"/>
      <c r="BO68" s="204"/>
      <c r="BP68" s="204"/>
      <c r="BQ68" s="204"/>
      <c r="BR68" s="204"/>
      <c r="BS68" s="204"/>
      <c r="BT68" s="204"/>
      <c r="BU68" s="203"/>
      <c r="BV68" s="203"/>
      <c r="BW68" s="203"/>
      <c r="BX68" s="203"/>
      <c r="BY68" s="203"/>
      <c r="BZ68" s="203"/>
      <c r="CA68" s="203"/>
      <c r="CB68" s="203"/>
      <c r="CC68" s="203"/>
      <c r="CD68" s="203"/>
      <c r="CE68" s="203"/>
      <c r="CF68" s="203"/>
      <c r="CG68" s="203"/>
      <c r="CH68" s="203"/>
      <c r="CI68" s="203"/>
      <c r="CJ68" s="203"/>
      <c r="CK68" s="203"/>
    </row>
    <row r="69" spans="28:89" s="196" customFormat="1">
      <c r="AB69" s="201"/>
      <c r="AC69" s="201"/>
      <c r="AD69" s="197"/>
      <c r="AE69" s="197"/>
      <c r="AF69" s="197"/>
      <c r="AG69" s="197"/>
      <c r="AH69" s="197"/>
      <c r="AI69" s="197"/>
      <c r="AJ69" s="197"/>
      <c r="AK69" s="197"/>
      <c r="AL69" s="197"/>
      <c r="AM69" s="197"/>
      <c r="AN69" s="202"/>
      <c r="AO69" s="202"/>
      <c r="AP69" s="202"/>
      <c r="AQ69" s="205"/>
      <c r="AR69" s="205">
        <v>67</v>
      </c>
      <c r="AS69" s="204">
        <v>760</v>
      </c>
      <c r="AT69" s="205"/>
      <c r="AU69" s="205"/>
      <c r="AV69" s="205"/>
      <c r="AW69" s="205"/>
      <c r="AX69" s="204"/>
      <c r="AY69" s="204"/>
      <c r="AZ69" s="204"/>
      <c r="BA69" s="204"/>
      <c r="BB69" s="204"/>
      <c r="BC69" s="204"/>
      <c r="BD69" s="204"/>
      <c r="BE69" s="204"/>
      <c r="BF69" s="204"/>
      <c r="BG69" s="204"/>
      <c r="BH69" s="204"/>
      <c r="BI69" s="204"/>
      <c r="BJ69" s="204"/>
      <c r="BK69" s="204"/>
      <c r="BL69" s="204"/>
      <c r="BM69" s="204"/>
      <c r="BN69" s="204"/>
      <c r="BO69" s="204"/>
      <c r="BP69" s="204"/>
      <c r="BQ69" s="204"/>
      <c r="BR69" s="204"/>
      <c r="BS69" s="204"/>
      <c r="BT69" s="204"/>
      <c r="BU69" s="203"/>
      <c r="BV69" s="203"/>
      <c r="BW69" s="203"/>
      <c r="BX69" s="203"/>
      <c r="BY69" s="203"/>
      <c r="BZ69" s="203"/>
      <c r="CA69" s="203"/>
      <c r="CB69" s="203"/>
      <c r="CC69" s="203"/>
      <c r="CD69" s="203"/>
      <c r="CE69" s="203"/>
      <c r="CF69" s="203"/>
      <c r="CG69" s="203"/>
      <c r="CH69" s="203"/>
      <c r="CI69" s="203"/>
      <c r="CJ69" s="203"/>
      <c r="CK69" s="203"/>
    </row>
    <row r="70" spans="28:89" s="196" customFormat="1">
      <c r="AB70" s="201"/>
      <c r="AC70" s="201"/>
      <c r="AD70" s="197"/>
      <c r="AE70" s="197"/>
      <c r="AF70" s="197"/>
      <c r="AG70" s="197"/>
      <c r="AH70" s="197"/>
      <c r="AI70" s="197"/>
      <c r="AJ70" s="197"/>
      <c r="AK70" s="197"/>
      <c r="AL70" s="197"/>
      <c r="AM70" s="197"/>
      <c r="AN70" s="202"/>
      <c r="AO70" s="202"/>
      <c r="AP70" s="202"/>
      <c r="AQ70" s="205"/>
      <c r="AR70" s="205">
        <v>68</v>
      </c>
      <c r="AS70" s="204">
        <v>770</v>
      </c>
      <c r="AT70" s="205"/>
      <c r="AU70" s="205"/>
      <c r="AV70" s="205"/>
      <c r="AW70" s="205"/>
      <c r="AX70" s="204"/>
      <c r="AY70" s="204"/>
      <c r="AZ70" s="204"/>
      <c r="BA70" s="204"/>
      <c r="BB70" s="204"/>
      <c r="BC70" s="204"/>
      <c r="BD70" s="204"/>
      <c r="BE70" s="204"/>
      <c r="BF70" s="204"/>
      <c r="BG70" s="204"/>
      <c r="BH70" s="204"/>
      <c r="BI70" s="204"/>
      <c r="BJ70" s="204"/>
      <c r="BK70" s="204"/>
      <c r="BL70" s="204"/>
      <c r="BM70" s="204"/>
      <c r="BN70" s="204"/>
      <c r="BO70" s="204"/>
      <c r="BP70" s="204"/>
      <c r="BQ70" s="204"/>
      <c r="BR70" s="204"/>
      <c r="BS70" s="204"/>
      <c r="BT70" s="204"/>
      <c r="BU70" s="203"/>
      <c r="BV70" s="203"/>
      <c r="BW70" s="203"/>
      <c r="BX70" s="203"/>
      <c r="BY70" s="203"/>
      <c r="BZ70" s="203"/>
      <c r="CA70" s="203"/>
      <c r="CB70" s="203"/>
      <c r="CC70" s="203"/>
      <c r="CD70" s="203"/>
      <c r="CE70" s="203"/>
      <c r="CF70" s="203"/>
      <c r="CG70" s="203"/>
      <c r="CH70" s="203"/>
      <c r="CI70" s="203"/>
      <c r="CJ70" s="203"/>
      <c r="CK70" s="203"/>
    </row>
    <row r="71" spans="28:89" s="196" customFormat="1">
      <c r="AB71" s="201"/>
      <c r="AC71" s="201"/>
      <c r="AD71" s="197"/>
      <c r="AE71" s="197"/>
      <c r="AF71" s="197"/>
      <c r="AG71" s="197"/>
      <c r="AH71" s="197"/>
      <c r="AI71" s="197"/>
      <c r="AJ71" s="197"/>
      <c r="AK71" s="197"/>
      <c r="AL71" s="197"/>
      <c r="AM71" s="197"/>
      <c r="AN71" s="202"/>
      <c r="AO71" s="202"/>
      <c r="AP71" s="202"/>
      <c r="AQ71" s="205"/>
      <c r="AR71" s="205">
        <v>69</v>
      </c>
      <c r="AS71" s="204">
        <v>780</v>
      </c>
      <c r="AT71" s="205"/>
      <c r="AU71" s="205"/>
      <c r="AV71" s="205"/>
      <c r="AW71" s="205"/>
      <c r="AX71" s="204"/>
      <c r="AY71" s="204"/>
      <c r="AZ71" s="204"/>
      <c r="BA71" s="204"/>
      <c r="BB71" s="204"/>
      <c r="BC71" s="204"/>
      <c r="BD71" s="204"/>
      <c r="BE71" s="204"/>
      <c r="BF71" s="204"/>
      <c r="BG71" s="204"/>
      <c r="BH71" s="204"/>
      <c r="BI71" s="204"/>
      <c r="BJ71" s="204"/>
      <c r="BK71" s="204"/>
      <c r="BL71" s="204"/>
      <c r="BM71" s="204"/>
      <c r="BN71" s="204"/>
      <c r="BO71" s="204"/>
      <c r="BP71" s="204"/>
      <c r="BQ71" s="204"/>
      <c r="BR71" s="204"/>
      <c r="BS71" s="204"/>
      <c r="BT71" s="204"/>
      <c r="BU71" s="203"/>
      <c r="BV71" s="203"/>
      <c r="BW71" s="203"/>
      <c r="BX71" s="203"/>
      <c r="BY71" s="203"/>
      <c r="BZ71" s="203"/>
      <c r="CA71" s="203"/>
      <c r="CB71" s="203"/>
      <c r="CC71" s="203"/>
      <c r="CD71" s="203"/>
      <c r="CE71" s="203"/>
      <c r="CF71" s="203"/>
      <c r="CG71" s="203"/>
      <c r="CH71" s="203"/>
      <c r="CI71" s="203"/>
      <c r="CJ71" s="203"/>
      <c r="CK71" s="203"/>
    </row>
    <row r="72" spans="28:89" s="196" customFormat="1">
      <c r="AB72" s="201"/>
      <c r="AC72" s="201"/>
      <c r="AD72" s="197"/>
      <c r="AE72" s="197"/>
      <c r="AF72" s="197"/>
      <c r="AG72" s="197"/>
      <c r="AH72" s="197"/>
      <c r="AI72" s="197"/>
      <c r="AJ72" s="197"/>
      <c r="AK72" s="197"/>
      <c r="AL72" s="197"/>
      <c r="AM72" s="197"/>
      <c r="AN72" s="202"/>
      <c r="AO72" s="202"/>
      <c r="AP72" s="202"/>
      <c r="AQ72" s="205"/>
      <c r="AR72" s="205">
        <v>70</v>
      </c>
      <c r="AS72" s="204">
        <v>790</v>
      </c>
      <c r="AT72" s="205"/>
      <c r="AU72" s="205"/>
      <c r="AV72" s="205"/>
      <c r="AW72" s="205"/>
      <c r="AX72" s="204"/>
      <c r="AY72" s="204"/>
      <c r="AZ72" s="204"/>
      <c r="BA72" s="204"/>
      <c r="BB72" s="204"/>
      <c r="BC72" s="204"/>
      <c r="BD72" s="204"/>
      <c r="BE72" s="204"/>
      <c r="BF72" s="204"/>
      <c r="BG72" s="204"/>
      <c r="BH72" s="204"/>
      <c r="BI72" s="204"/>
      <c r="BJ72" s="204"/>
      <c r="BK72" s="204"/>
      <c r="BL72" s="204"/>
      <c r="BM72" s="204"/>
      <c r="BN72" s="204"/>
      <c r="BO72" s="204"/>
      <c r="BP72" s="204"/>
      <c r="BQ72" s="204"/>
      <c r="BR72" s="204"/>
      <c r="BS72" s="204"/>
      <c r="BT72" s="204"/>
      <c r="BU72" s="203"/>
      <c r="BV72" s="203"/>
      <c r="BW72" s="203"/>
      <c r="BX72" s="203"/>
      <c r="BY72" s="203"/>
      <c r="BZ72" s="203"/>
      <c r="CA72" s="203"/>
      <c r="CB72" s="203"/>
      <c r="CC72" s="203"/>
      <c r="CD72" s="203"/>
      <c r="CE72" s="203"/>
      <c r="CF72" s="203"/>
      <c r="CG72" s="203"/>
      <c r="CH72" s="203"/>
      <c r="CI72" s="203"/>
      <c r="CJ72" s="203"/>
      <c r="CK72" s="203"/>
    </row>
    <row r="73" spans="28:89" s="196" customFormat="1">
      <c r="AB73" s="201"/>
      <c r="AC73" s="201"/>
      <c r="AD73" s="197"/>
      <c r="AE73" s="197"/>
      <c r="AF73" s="197"/>
      <c r="AG73" s="197"/>
      <c r="AH73" s="197"/>
      <c r="AI73" s="197"/>
      <c r="AJ73" s="197"/>
      <c r="AK73" s="197"/>
      <c r="AL73" s="197"/>
      <c r="AM73" s="197"/>
      <c r="AN73" s="202"/>
      <c r="AO73" s="202"/>
      <c r="AP73" s="202"/>
      <c r="AQ73" s="205"/>
      <c r="AR73" s="205">
        <v>71</v>
      </c>
      <c r="AS73" s="204">
        <v>800</v>
      </c>
      <c r="AT73" s="205"/>
      <c r="AU73" s="205"/>
      <c r="AV73" s="205"/>
      <c r="AW73" s="205"/>
      <c r="AX73" s="204"/>
      <c r="AY73" s="204"/>
      <c r="AZ73" s="204"/>
      <c r="BA73" s="204"/>
      <c r="BB73" s="204"/>
      <c r="BC73" s="204"/>
      <c r="BD73" s="204"/>
      <c r="BE73" s="204"/>
      <c r="BF73" s="204"/>
      <c r="BG73" s="204"/>
      <c r="BH73" s="204"/>
      <c r="BI73" s="204"/>
      <c r="BJ73" s="204"/>
      <c r="BK73" s="204"/>
      <c r="BL73" s="204"/>
      <c r="BM73" s="204"/>
      <c r="BN73" s="204"/>
      <c r="BO73" s="204"/>
      <c r="BP73" s="204"/>
      <c r="BQ73" s="204"/>
      <c r="BR73" s="204"/>
      <c r="BS73" s="204"/>
      <c r="BT73" s="204"/>
      <c r="BU73" s="203"/>
      <c r="BV73" s="203"/>
      <c r="BW73" s="203"/>
      <c r="BX73" s="203"/>
      <c r="BY73" s="203"/>
      <c r="BZ73" s="203"/>
      <c r="CA73" s="203"/>
      <c r="CB73" s="203"/>
      <c r="CC73" s="203"/>
      <c r="CD73" s="203"/>
      <c r="CE73" s="203"/>
      <c r="CF73" s="203"/>
      <c r="CG73" s="203"/>
      <c r="CH73" s="203"/>
      <c r="CI73" s="203"/>
      <c r="CJ73" s="203"/>
      <c r="CK73" s="203"/>
    </row>
    <row r="74" spans="28:89" s="196" customFormat="1">
      <c r="AB74" s="201"/>
      <c r="AC74" s="201"/>
      <c r="AD74" s="197"/>
      <c r="AE74" s="197"/>
      <c r="AF74" s="197"/>
      <c r="AG74" s="197"/>
      <c r="AH74" s="197"/>
      <c r="AI74" s="197"/>
      <c r="AJ74" s="197"/>
      <c r="AK74" s="197"/>
      <c r="AL74" s="197"/>
      <c r="AM74" s="197"/>
      <c r="AN74" s="202"/>
      <c r="AO74" s="202"/>
      <c r="AP74" s="202"/>
      <c r="AQ74" s="205"/>
      <c r="AR74" s="205">
        <v>72</v>
      </c>
      <c r="AS74" s="204">
        <v>810</v>
      </c>
      <c r="AT74" s="205"/>
      <c r="AU74" s="205"/>
      <c r="AV74" s="205"/>
      <c r="AW74" s="205"/>
      <c r="AX74" s="204"/>
      <c r="AY74" s="204"/>
      <c r="AZ74" s="204"/>
      <c r="BA74" s="204"/>
      <c r="BB74" s="204"/>
      <c r="BC74" s="204"/>
      <c r="BD74" s="204"/>
      <c r="BE74" s="204"/>
      <c r="BF74" s="204"/>
      <c r="BG74" s="204"/>
      <c r="BH74" s="204"/>
      <c r="BI74" s="204"/>
      <c r="BJ74" s="204"/>
      <c r="BK74" s="204"/>
      <c r="BL74" s="204"/>
      <c r="BM74" s="204"/>
      <c r="BN74" s="204"/>
      <c r="BO74" s="204"/>
      <c r="BP74" s="204"/>
      <c r="BQ74" s="204"/>
      <c r="BR74" s="204"/>
      <c r="BS74" s="204"/>
      <c r="BT74" s="204"/>
      <c r="BU74" s="203"/>
      <c r="BV74" s="203"/>
      <c r="BW74" s="203"/>
      <c r="BX74" s="203"/>
      <c r="BY74" s="203"/>
      <c r="BZ74" s="203"/>
      <c r="CA74" s="203"/>
      <c r="CB74" s="203"/>
      <c r="CC74" s="203"/>
      <c r="CD74" s="203"/>
      <c r="CE74" s="203"/>
      <c r="CF74" s="203"/>
      <c r="CG74" s="203"/>
      <c r="CH74" s="203"/>
      <c r="CI74" s="203"/>
      <c r="CJ74" s="203"/>
      <c r="CK74" s="203"/>
    </row>
    <row r="75" spans="28:89" s="196" customFormat="1">
      <c r="AB75" s="201"/>
      <c r="AC75" s="201"/>
      <c r="AD75" s="197"/>
      <c r="AE75" s="197"/>
      <c r="AF75" s="197"/>
      <c r="AG75" s="197"/>
      <c r="AH75" s="197"/>
      <c r="AI75" s="197"/>
      <c r="AJ75" s="197"/>
      <c r="AK75" s="197"/>
      <c r="AL75" s="197"/>
      <c r="AM75" s="197"/>
      <c r="AN75" s="202"/>
      <c r="AO75" s="202"/>
      <c r="AP75" s="202"/>
      <c r="AQ75" s="205"/>
      <c r="AR75" s="205">
        <v>73</v>
      </c>
      <c r="AS75" s="204">
        <v>820</v>
      </c>
      <c r="AT75" s="205"/>
      <c r="AU75" s="205"/>
      <c r="AV75" s="205"/>
      <c r="AW75" s="205"/>
      <c r="AX75" s="204"/>
      <c r="AY75" s="204"/>
      <c r="AZ75" s="204"/>
      <c r="BA75" s="204"/>
      <c r="BB75" s="204"/>
      <c r="BC75" s="204"/>
      <c r="BD75" s="204"/>
      <c r="BE75" s="204"/>
      <c r="BF75" s="204"/>
      <c r="BG75" s="204"/>
      <c r="BH75" s="204"/>
      <c r="BI75" s="204"/>
      <c r="BJ75" s="204"/>
      <c r="BK75" s="204"/>
      <c r="BL75" s="204"/>
      <c r="BM75" s="204"/>
      <c r="BN75" s="204"/>
      <c r="BO75" s="204"/>
      <c r="BP75" s="204"/>
      <c r="BQ75" s="204"/>
      <c r="BR75" s="204"/>
      <c r="BS75" s="204"/>
      <c r="BT75" s="204"/>
      <c r="BU75" s="203"/>
      <c r="BV75" s="203"/>
      <c r="BW75" s="203"/>
      <c r="BX75" s="203"/>
      <c r="BY75" s="203"/>
      <c r="BZ75" s="203"/>
      <c r="CA75" s="203"/>
      <c r="CB75" s="203"/>
      <c r="CC75" s="203"/>
      <c r="CD75" s="203"/>
      <c r="CE75" s="203"/>
      <c r="CF75" s="203"/>
      <c r="CG75" s="203"/>
      <c r="CH75" s="203"/>
      <c r="CI75" s="203"/>
      <c r="CJ75" s="203"/>
      <c r="CK75" s="203"/>
    </row>
    <row r="76" spans="28:89" s="196" customFormat="1">
      <c r="AB76" s="201"/>
      <c r="AC76" s="201"/>
      <c r="AD76" s="197"/>
      <c r="AE76" s="197"/>
      <c r="AF76" s="197"/>
      <c r="AG76" s="197"/>
      <c r="AH76" s="197"/>
      <c r="AI76" s="197"/>
      <c r="AJ76" s="197"/>
      <c r="AK76" s="197"/>
      <c r="AL76" s="197"/>
      <c r="AM76" s="197"/>
      <c r="AN76" s="202"/>
      <c r="AO76" s="202"/>
      <c r="AP76" s="202"/>
      <c r="AQ76" s="205"/>
      <c r="AR76" s="205">
        <v>74</v>
      </c>
      <c r="AS76" s="204">
        <v>830</v>
      </c>
      <c r="AT76" s="205"/>
      <c r="AU76" s="205"/>
      <c r="AV76" s="205"/>
      <c r="AW76" s="205"/>
      <c r="AX76" s="204"/>
      <c r="AY76" s="204"/>
      <c r="AZ76" s="204"/>
      <c r="BA76" s="204"/>
      <c r="BB76" s="204"/>
      <c r="BC76" s="204"/>
      <c r="BD76" s="204"/>
      <c r="BE76" s="204"/>
      <c r="BF76" s="204"/>
      <c r="BG76" s="204"/>
      <c r="BH76" s="204"/>
      <c r="BI76" s="204"/>
      <c r="BJ76" s="204"/>
      <c r="BK76" s="204"/>
      <c r="BL76" s="204"/>
      <c r="BM76" s="204"/>
      <c r="BN76" s="204"/>
      <c r="BO76" s="204"/>
      <c r="BP76" s="204"/>
      <c r="BQ76" s="204"/>
      <c r="BR76" s="204"/>
      <c r="BS76" s="204"/>
      <c r="BT76" s="204"/>
      <c r="BU76" s="203"/>
      <c r="BV76" s="203"/>
      <c r="BW76" s="203"/>
      <c r="BX76" s="203"/>
      <c r="BY76" s="203"/>
      <c r="BZ76" s="203"/>
      <c r="CA76" s="203"/>
      <c r="CB76" s="203"/>
      <c r="CC76" s="203"/>
      <c r="CD76" s="203"/>
      <c r="CE76" s="203"/>
      <c r="CF76" s="203"/>
      <c r="CG76" s="203"/>
      <c r="CH76" s="203"/>
      <c r="CI76" s="203"/>
      <c r="CJ76" s="203"/>
      <c r="CK76" s="203"/>
    </row>
    <row r="77" spans="28:89" s="196" customFormat="1">
      <c r="AB77" s="201"/>
      <c r="AC77" s="201"/>
      <c r="AD77" s="197"/>
      <c r="AE77" s="197"/>
      <c r="AF77" s="197"/>
      <c r="AG77" s="197"/>
      <c r="AH77" s="197"/>
      <c r="AI77" s="197"/>
      <c r="AJ77" s="197"/>
      <c r="AK77" s="197"/>
      <c r="AL77" s="197"/>
      <c r="AM77" s="197"/>
      <c r="AN77" s="202"/>
      <c r="AO77" s="202"/>
      <c r="AP77" s="202"/>
      <c r="AQ77" s="205"/>
      <c r="AR77" s="205">
        <v>75</v>
      </c>
      <c r="AS77" s="204">
        <v>840</v>
      </c>
      <c r="AT77" s="205"/>
      <c r="AU77" s="205"/>
      <c r="AV77" s="205"/>
      <c r="AW77" s="205"/>
      <c r="AX77" s="204"/>
      <c r="AY77" s="204"/>
      <c r="AZ77" s="204"/>
      <c r="BA77" s="204"/>
      <c r="BB77" s="204"/>
      <c r="BC77" s="204"/>
      <c r="BD77" s="204"/>
      <c r="BE77" s="204"/>
      <c r="BF77" s="204"/>
      <c r="BG77" s="204"/>
      <c r="BH77" s="204"/>
      <c r="BI77" s="204"/>
      <c r="BJ77" s="204"/>
      <c r="BK77" s="204"/>
      <c r="BL77" s="204"/>
      <c r="BM77" s="204"/>
      <c r="BN77" s="204"/>
      <c r="BO77" s="204"/>
      <c r="BP77" s="204"/>
      <c r="BQ77" s="204"/>
      <c r="BR77" s="204"/>
      <c r="BS77" s="204"/>
      <c r="BT77" s="204"/>
      <c r="BU77" s="203"/>
      <c r="BV77" s="203"/>
      <c r="BW77" s="203"/>
      <c r="BX77" s="203"/>
      <c r="BY77" s="203"/>
      <c r="BZ77" s="203"/>
      <c r="CA77" s="203"/>
      <c r="CB77" s="203"/>
      <c r="CC77" s="203"/>
      <c r="CD77" s="203"/>
      <c r="CE77" s="203"/>
      <c r="CF77" s="203"/>
      <c r="CG77" s="203"/>
      <c r="CH77" s="203"/>
      <c r="CI77" s="203"/>
      <c r="CJ77" s="203"/>
      <c r="CK77" s="203"/>
    </row>
    <row r="78" spans="28:89" s="196" customFormat="1">
      <c r="AB78" s="201"/>
      <c r="AC78" s="201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202"/>
      <c r="AO78" s="202"/>
      <c r="AP78" s="202"/>
      <c r="AQ78" s="205"/>
      <c r="AR78" s="205">
        <v>76</v>
      </c>
      <c r="AS78" s="204">
        <v>850</v>
      </c>
      <c r="AT78" s="205"/>
      <c r="AU78" s="205"/>
      <c r="AV78" s="205"/>
      <c r="AW78" s="205"/>
      <c r="AX78" s="204"/>
      <c r="AY78" s="204"/>
      <c r="AZ78" s="204"/>
      <c r="BA78" s="204"/>
      <c r="BB78" s="204"/>
      <c r="BC78" s="204"/>
      <c r="BD78" s="204"/>
      <c r="BE78" s="204"/>
      <c r="BF78" s="204"/>
      <c r="BG78" s="204"/>
      <c r="BH78" s="204"/>
      <c r="BI78" s="204"/>
      <c r="BJ78" s="204"/>
      <c r="BK78" s="204"/>
      <c r="BL78" s="204"/>
      <c r="BM78" s="204"/>
      <c r="BN78" s="204"/>
      <c r="BO78" s="204"/>
      <c r="BP78" s="204"/>
      <c r="BQ78" s="204"/>
      <c r="BR78" s="204"/>
      <c r="BS78" s="204"/>
      <c r="BT78" s="204"/>
      <c r="BU78" s="203"/>
      <c r="BV78" s="203"/>
      <c r="BW78" s="203"/>
      <c r="BX78" s="203"/>
      <c r="BY78" s="203"/>
      <c r="BZ78" s="203"/>
      <c r="CA78" s="203"/>
      <c r="CB78" s="203"/>
      <c r="CC78" s="203"/>
      <c r="CD78" s="203"/>
      <c r="CE78" s="203"/>
      <c r="CF78" s="203"/>
      <c r="CG78" s="203"/>
      <c r="CH78" s="203"/>
      <c r="CI78" s="203"/>
      <c r="CJ78" s="203"/>
      <c r="CK78" s="203"/>
    </row>
    <row r="79" spans="28:89" s="196" customFormat="1">
      <c r="AB79" s="201"/>
      <c r="AC79" s="201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202"/>
      <c r="AO79" s="202"/>
      <c r="AP79" s="202"/>
      <c r="AQ79" s="205"/>
      <c r="AR79" s="205">
        <v>77</v>
      </c>
      <c r="AS79" s="204">
        <v>860</v>
      </c>
      <c r="AT79" s="205"/>
      <c r="AU79" s="205"/>
      <c r="AV79" s="205"/>
      <c r="AW79" s="205"/>
      <c r="AX79" s="204"/>
      <c r="AY79" s="204"/>
      <c r="AZ79" s="204"/>
      <c r="BA79" s="204"/>
      <c r="BB79" s="204"/>
      <c r="BC79" s="204"/>
      <c r="BD79" s="204"/>
      <c r="BE79" s="204"/>
      <c r="BF79" s="204"/>
      <c r="BG79" s="204"/>
      <c r="BH79" s="204"/>
      <c r="BI79" s="204"/>
      <c r="BJ79" s="204"/>
      <c r="BK79" s="204"/>
      <c r="BL79" s="204"/>
      <c r="BM79" s="204"/>
      <c r="BN79" s="204"/>
      <c r="BO79" s="204"/>
      <c r="BP79" s="204"/>
      <c r="BQ79" s="204"/>
      <c r="BR79" s="204"/>
      <c r="BS79" s="204"/>
      <c r="BT79" s="204"/>
      <c r="BU79" s="203"/>
      <c r="BV79" s="203"/>
      <c r="BW79" s="203"/>
      <c r="BX79" s="203"/>
      <c r="BY79" s="203"/>
      <c r="BZ79" s="203"/>
      <c r="CA79" s="203"/>
      <c r="CB79" s="203"/>
      <c r="CC79" s="203"/>
      <c r="CD79" s="203"/>
      <c r="CE79" s="203"/>
      <c r="CF79" s="203"/>
      <c r="CG79" s="203"/>
      <c r="CH79" s="203"/>
      <c r="CI79" s="203"/>
      <c r="CJ79" s="203"/>
      <c r="CK79" s="203"/>
    </row>
    <row r="80" spans="28:89" s="196" customFormat="1">
      <c r="AB80" s="201"/>
      <c r="AC80" s="201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202"/>
      <c r="AO80" s="202"/>
      <c r="AP80" s="202"/>
      <c r="AQ80" s="205"/>
      <c r="AR80" s="205">
        <v>78</v>
      </c>
      <c r="AS80" s="204">
        <v>870</v>
      </c>
      <c r="AT80" s="205"/>
      <c r="AU80" s="205"/>
      <c r="AV80" s="205"/>
      <c r="AW80" s="205"/>
      <c r="AX80" s="204"/>
      <c r="AY80" s="204"/>
      <c r="AZ80" s="204"/>
      <c r="BA80" s="204"/>
      <c r="BB80" s="204"/>
      <c r="BC80" s="204"/>
      <c r="BD80" s="204"/>
      <c r="BE80" s="204"/>
      <c r="BF80" s="204"/>
      <c r="BG80" s="204"/>
      <c r="BH80" s="204"/>
      <c r="BI80" s="204"/>
      <c r="BJ80" s="204"/>
      <c r="BK80" s="204"/>
      <c r="BL80" s="204"/>
      <c r="BM80" s="204"/>
      <c r="BN80" s="204"/>
      <c r="BO80" s="204"/>
      <c r="BP80" s="204"/>
      <c r="BQ80" s="204"/>
      <c r="BR80" s="204"/>
      <c r="BS80" s="204"/>
      <c r="BT80" s="204"/>
      <c r="BU80" s="203"/>
      <c r="BV80" s="203"/>
      <c r="BW80" s="203"/>
      <c r="BX80" s="203"/>
      <c r="BY80" s="203"/>
      <c r="BZ80" s="203"/>
      <c r="CA80" s="203"/>
      <c r="CB80" s="203"/>
      <c r="CC80" s="203"/>
      <c r="CD80" s="203"/>
      <c r="CE80" s="203"/>
      <c r="CF80" s="203"/>
      <c r="CG80" s="203"/>
      <c r="CH80" s="203"/>
      <c r="CI80" s="203"/>
      <c r="CJ80" s="203"/>
      <c r="CK80" s="203"/>
    </row>
    <row r="81" spans="28:89" s="196" customFormat="1">
      <c r="AB81" s="201"/>
      <c r="AC81" s="201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202"/>
      <c r="AO81" s="202"/>
      <c r="AP81" s="202"/>
      <c r="AQ81" s="205"/>
      <c r="AR81" s="205">
        <v>79</v>
      </c>
      <c r="AS81" s="204">
        <v>880</v>
      </c>
      <c r="AT81" s="205"/>
      <c r="AU81" s="205"/>
      <c r="AV81" s="205"/>
      <c r="AW81" s="205"/>
      <c r="AX81" s="204"/>
      <c r="AY81" s="204"/>
      <c r="AZ81" s="204"/>
      <c r="BA81" s="204"/>
      <c r="BB81" s="204"/>
      <c r="BC81" s="204"/>
      <c r="BD81" s="204"/>
      <c r="BE81" s="204"/>
      <c r="BF81" s="204"/>
      <c r="BG81" s="204"/>
      <c r="BH81" s="204"/>
      <c r="BI81" s="204"/>
      <c r="BJ81" s="204"/>
      <c r="BK81" s="204"/>
      <c r="BL81" s="204"/>
      <c r="BM81" s="204"/>
      <c r="BN81" s="204"/>
      <c r="BO81" s="204"/>
      <c r="BP81" s="204"/>
      <c r="BQ81" s="204"/>
      <c r="BR81" s="204"/>
      <c r="BS81" s="204"/>
      <c r="BT81" s="204"/>
      <c r="BU81" s="203"/>
      <c r="BV81" s="203"/>
      <c r="BW81" s="203"/>
      <c r="BX81" s="203"/>
      <c r="BY81" s="203"/>
      <c r="BZ81" s="203"/>
      <c r="CA81" s="203"/>
      <c r="CB81" s="203"/>
      <c r="CC81" s="203"/>
      <c r="CD81" s="203"/>
      <c r="CE81" s="203"/>
      <c r="CF81" s="203"/>
      <c r="CG81" s="203"/>
      <c r="CH81" s="203"/>
      <c r="CI81" s="203"/>
      <c r="CJ81" s="203"/>
      <c r="CK81" s="203"/>
    </row>
    <row r="82" spans="28:89" s="196" customFormat="1">
      <c r="AB82" s="201"/>
      <c r="AC82" s="201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202"/>
      <c r="AO82" s="202"/>
      <c r="AP82" s="202"/>
      <c r="AQ82" s="205"/>
      <c r="AR82" s="205">
        <v>80</v>
      </c>
      <c r="AS82" s="204">
        <v>890</v>
      </c>
      <c r="AT82" s="205"/>
      <c r="AU82" s="205"/>
      <c r="AV82" s="205"/>
      <c r="AW82" s="205"/>
      <c r="AX82" s="204"/>
      <c r="AY82" s="204"/>
      <c r="AZ82" s="204"/>
      <c r="BA82" s="204"/>
      <c r="BB82" s="204"/>
      <c r="BC82" s="204"/>
      <c r="BD82" s="204"/>
      <c r="BE82" s="204"/>
      <c r="BF82" s="204"/>
      <c r="BG82" s="204"/>
      <c r="BH82" s="204"/>
      <c r="BI82" s="204"/>
      <c r="BJ82" s="204"/>
      <c r="BK82" s="204"/>
      <c r="BL82" s="204"/>
      <c r="BM82" s="204"/>
      <c r="BN82" s="204"/>
      <c r="BO82" s="204"/>
      <c r="BP82" s="204"/>
      <c r="BQ82" s="204"/>
      <c r="BR82" s="204"/>
      <c r="BS82" s="204"/>
      <c r="BT82" s="204"/>
      <c r="BU82" s="203"/>
      <c r="BV82" s="203"/>
      <c r="BW82" s="203"/>
      <c r="BX82" s="203"/>
      <c r="BY82" s="203"/>
      <c r="BZ82" s="203"/>
      <c r="CA82" s="203"/>
      <c r="CB82" s="203"/>
      <c r="CC82" s="203"/>
      <c r="CD82" s="203"/>
      <c r="CE82" s="203"/>
      <c r="CF82" s="203"/>
      <c r="CG82" s="203"/>
      <c r="CH82" s="203"/>
      <c r="CI82" s="203"/>
      <c r="CJ82" s="203"/>
      <c r="CK82" s="203"/>
    </row>
    <row r="83" spans="28:89" s="196" customFormat="1">
      <c r="AB83" s="201"/>
      <c r="AC83" s="201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202"/>
      <c r="AO83" s="202"/>
      <c r="AP83" s="202"/>
      <c r="AQ83" s="205"/>
      <c r="AR83" s="205">
        <v>81</v>
      </c>
      <c r="AS83" s="204">
        <v>900</v>
      </c>
      <c r="AT83" s="205"/>
      <c r="AU83" s="205"/>
      <c r="AV83" s="205"/>
      <c r="AW83" s="205"/>
      <c r="AX83" s="204"/>
      <c r="AY83" s="204"/>
      <c r="AZ83" s="204"/>
      <c r="BA83" s="204"/>
      <c r="BB83" s="204"/>
      <c r="BC83" s="204"/>
      <c r="BD83" s="204"/>
      <c r="BE83" s="204"/>
      <c r="BF83" s="204"/>
      <c r="BG83" s="204"/>
      <c r="BH83" s="204"/>
      <c r="BI83" s="204"/>
      <c r="BJ83" s="204"/>
      <c r="BK83" s="204"/>
      <c r="BL83" s="204"/>
      <c r="BM83" s="204"/>
      <c r="BN83" s="204"/>
      <c r="BO83" s="204"/>
      <c r="BP83" s="204"/>
      <c r="BQ83" s="204"/>
      <c r="BR83" s="204"/>
      <c r="BS83" s="204"/>
      <c r="BT83" s="204"/>
      <c r="BU83" s="203"/>
      <c r="BV83" s="203"/>
      <c r="BW83" s="203"/>
      <c r="BX83" s="203"/>
      <c r="BY83" s="203"/>
      <c r="BZ83" s="203"/>
      <c r="CA83" s="203"/>
      <c r="CB83" s="203"/>
      <c r="CC83" s="203"/>
      <c r="CD83" s="203"/>
      <c r="CE83" s="203"/>
      <c r="CF83" s="203"/>
      <c r="CG83" s="203"/>
      <c r="CH83" s="203"/>
      <c r="CI83" s="203"/>
      <c r="CJ83" s="203"/>
      <c r="CK83" s="203"/>
    </row>
    <row r="84" spans="28:89" s="196" customFormat="1">
      <c r="AB84" s="201"/>
      <c r="AC84" s="201"/>
      <c r="AD84" s="197"/>
      <c r="AE84" s="197"/>
      <c r="AF84" s="197"/>
      <c r="AG84" s="197"/>
      <c r="AH84" s="197"/>
      <c r="AI84" s="197"/>
      <c r="AJ84" s="197"/>
      <c r="AK84" s="197"/>
      <c r="AL84" s="197"/>
      <c r="AM84" s="197"/>
      <c r="AN84" s="202"/>
      <c r="AO84" s="202"/>
      <c r="AP84" s="202"/>
      <c r="AQ84" s="205"/>
      <c r="AR84" s="205">
        <v>82</v>
      </c>
      <c r="AS84" s="204">
        <v>910</v>
      </c>
      <c r="AT84" s="205"/>
      <c r="AU84" s="205"/>
      <c r="AV84" s="205"/>
      <c r="AW84" s="205"/>
      <c r="AX84" s="204"/>
      <c r="AY84" s="204"/>
      <c r="AZ84" s="204"/>
      <c r="BA84" s="204"/>
      <c r="BB84" s="204"/>
      <c r="BC84" s="204"/>
      <c r="BD84" s="204"/>
      <c r="BE84" s="204"/>
      <c r="BF84" s="204"/>
      <c r="BG84" s="204"/>
      <c r="BH84" s="204"/>
      <c r="BI84" s="204"/>
      <c r="BJ84" s="204"/>
      <c r="BK84" s="204"/>
      <c r="BL84" s="204"/>
      <c r="BM84" s="204"/>
      <c r="BN84" s="204"/>
      <c r="BO84" s="204"/>
      <c r="BP84" s="204"/>
      <c r="BQ84" s="204"/>
      <c r="BR84" s="204"/>
      <c r="BS84" s="204"/>
      <c r="BT84" s="204"/>
      <c r="BU84" s="203"/>
      <c r="BV84" s="203"/>
      <c r="BW84" s="203"/>
      <c r="BX84" s="203"/>
      <c r="BY84" s="203"/>
      <c r="BZ84" s="203"/>
      <c r="CA84" s="203"/>
      <c r="CB84" s="203"/>
      <c r="CC84" s="203"/>
      <c r="CD84" s="203"/>
      <c r="CE84" s="203"/>
      <c r="CF84" s="203"/>
      <c r="CG84" s="203"/>
      <c r="CH84" s="203"/>
      <c r="CI84" s="203"/>
      <c r="CJ84" s="203"/>
      <c r="CK84" s="203"/>
    </row>
    <row r="85" spans="28:89" s="196" customFormat="1">
      <c r="AB85" s="201"/>
      <c r="AC85" s="201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202"/>
      <c r="AO85" s="202"/>
      <c r="AP85" s="202"/>
      <c r="AQ85" s="205"/>
      <c r="AR85" s="205">
        <v>83</v>
      </c>
      <c r="AS85" s="204">
        <v>920</v>
      </c>
      <c r="AT85" s="205"/>
      <c r="AU85" s="205"/>
      <c r="AV85" s="205"/>
      <c r="AW85" s="205"/>
      <c r="AX85" s="204"/>
      <c r="AY85" s="204"/>
      <c r="AZ85" s="204"/>
      <c r="BA85" s="204"/>
      <c r="BB85" s="204"/>
      <c r="BC85" s="204"/>
      <c r="BD85" s="204"/>
      <c r="BE85" s="204"/>
      <c r="BF85" s="204"/>
      <c r="BG85" s="204"/>
      <c r="BH85" s="204"/>
      <c r="BI85" s="204"/>
      <c r="BJ85" s="204"/>
      <c r="BK85" s="204"/>
      <c r="BL85" s="204"/>
      <c r="BM85" s="204"/>
      <c r="BN85" s="204"/>
      <c r="BO85" s="204"/>
      <c r="BP85" s="204"/>
      <c r="BQ85" s="204"/>
      <c r="BR85" s="204"/>
      <c r="BS85" s="204"/>
      <c r="BT85" s="204"/>
      <c r="BU85" s="203"/>
      <c r="BV85" s="203"/>
      <c r="BW85" s="203"/>
      <c r="BX85" s="203"/>
      <c r="BY85" s="203"/>
      <c r="BZ85" s="203"/>
      <c r="CA85" s="203"/>
      <c r="CB85" s="203"/>
      <c r="CC85" s="203"/>
      <c r="CD85" s="203"/>
      <c r="CE85" s="203"/>
      <c r="CF85" s="203"/>
      <c r="CG85" s="203"/>
      <c r="CH85" s="203"/>
      <c r="CI85" s="203"/>
      <c r="CJ85" s="203"/>
      <c r="CK85" s="203"/>
    </row>
    <row r="86" spans="28:89" s="196" customFormat="1">
      <c r="AB86" s="201"/>
      <c r="AC86" s="201"/>
      <c r="AD86" s="197"/>
      <c r="AE86" s="197"/>
      <c r="AF86" s="197"/>
      <c r="AG86" s="197"/>
      <c r="AH86" s="197"/>
      <c r="AI86" s="197"/>
      <c r="AJ86" s="197"/>
      <c r="AK86" s="197"/>
      <c r="AL86" s="197"/>
      <c r="AM86" s="197"/>
      <c r="AN86" s="202"/>
      <c r="AO86" s="202"/>
      <c r="AP86" s="202"/>
      <c r="AQ86" s="205"/>
      <c r="AR86" s="205">
        <v>84</v>
      </c>
      <c r="AS86" s="204">
        <v>930</v>
      </c>
      <c r="AT86" s="205"/>
      <c r="AU86" s="205"/>
      <c r="AV86" s="205"/>
      <c r="AW86" s="205"/>
      <c r="AX86" s="204"/>
      <c r="AY86" s="204"/>
      <c r="AZ86" s="204"/>
      <c r="BA86" s="204"/>
      <c r="BB86" s="204"/>
      <c r="BC86" s="204"/>
      <c r="BD86" s="204"/>
      <c r="BE86" s="204"/>
      <c r="BF86" s="204"/>
      <c r="BG86" s="204"/>
      <c r="BH86" s="204"/>
      <c r="BI86" s="204"/>
      <c r="BJ86" s="204"/>
      <c r="BK86" s="204"/>
      <c r="BL86" s="204"/>
      <c r="BM86" s="204"/>
      <c r="BN86" s="204"/>
      <c r="BO86" s="204"/>
      <c r="BP86" s="204"/>
      <c r="BQ86" s="204"/>
      <c r="BR86" s="204"/>
      <c r="BS86" s="204"/>
      <c r="BT86" s="204"/>
      <c r="BU86" s="203"/>
      <c r="BV86" s="203"/>
      <c r="BW86" s="203"/>
      <c r="BX86" s="203"/>
      <c r="BY86" s="203"/>
      <c r="BZ86" s="203"/>
      <c r="CA86" s="203"/>
      <c r="CB86" s="203"/>
      <c r="CC86" s="203"/>
      <c r="CD86" s="203"/>
      <c r="CE86" s="203"/>
      <c r="CF86" s="203"/>
      <c r="CG86" s="203"/>
      <c r="CH86" s="203"/>
      <c r="CI86" s="203"/>
      <c r="CJ86" s="203"/>
      <c r="CK86" s="203"/>
    </row>
    <row r="87" spans="28:89" s="196" customFormat="1">
      <c r="AB87" s="201"/>
      <c r="AC87" s="201"/>
      <c r="AD87" s="197"/>
      <c r="AE87" s="197"/>
      <c r="AF87" s="197"/>
      <c r="AG87" s="197"/>
      <c r="AH87" s="197"/>
      <c r="AI87" s="197"/>
      <c r="AJ87" s="197"/>
      <c r="AK87" s="197"/>
      <c r="AL87" s="197"/>
      <c r="AM87" s="197"/>
      <c r="AN87" s="202"/>
      <c r="AO87" s="202"/>
      <c r="AP87" s="202"/>
      <c r="AQ87" s="205"/>
      <c r="AR87" s="205">
        <v>85</v>
      </c>
      <c r="AS87" s="204">
        <v>940</v>
      </c>
      <c r="AT87" s="205"/>
      <c r="AU87" s="205"/>
      <c r="AV87" s="205"/>
      <c r="AW87" s="205"/>
      <c r="AX87" s="204"/>
      <c r="AY87" s="204"/>
      <c r="AZ87" s="204"/>
      <c r="BA87" s="204"/>
      <c r="BB87" s="204"/>
      <c r="BC87" s="204"/>
      <c r="BD87" s="204"/>
      <c r="BE87" s="204"/>
      <c r="BF87" s="204"/>
      <c r="BG87" s="204"/>
      <c r="BH87" s="204"/>
      <c r="BI87" s="204"/>
      <c r="BJ87" s="204"/>
      <c r="BK87" s="204"/>
      <c r="BL87" s="204"/>
      <c r="BM87" s="204"/>
      <c r="BN87" s="204"/>
      <c r="BO87" s="204"/>
      <c r="BP87" s="204"/>
      <c r="BQ87" s="204"/>
      <c r="BR87" s="204"/>
      <c r="BS87" s="204"/>
      <c r="BT87" s="204"/>
      <c r="BU87" s="203"/>
      <c r="BV87" s="203"/>
      <c r="BW87" s="203"/>
      <c r="BX87" s="203"/>
      <c r="BY87" s="203"/>
      <c r="BZ87" s="203"/>
      <c r="CA87" s="203"/>
      <c r="CB87" s="203"/>
      <c r="CC87" s="203"/>
      <c r="CD87" s="203"/>
      <c r="CE87" s="203"/>
      <c r="CF87" s="203"/>
      <c r="CG87" s="203"/>
      <c r="CH87" s="203"/>
      <c r="CI87" s="203"/>
      <c r="CJ87" s="203"/>
      <c r="CK87" s="203"/>
    </row>
    <row r="88" spans="28:89" s="196" customFormat="1">
      <c r="AB88" s="201"/>
      <c r="AC88" s="201"/>
      <c r="AD88" s="197"/>
      <c r="AE88" s="197"/>
      <c r="AF88" s="197"/>
      <c r="AG88" s="197"/>
      <c r="AH88" s="197"/>
      <c r="AI88" s="197"/>
      <c r="AJ88" s="197"/>
      <c r="AK88" s="197"/>
      <c r="AL88" s="197"/>
      <c r="AM88" s="197"/>
      <c r="AN88" s="202"/>
      <c r="AO88" s="202"/>
      <c r="AP88" s="202"/>
      <c r="AQ88" s="205"/>
      <c r="AR88" s="205">
        <v>86</v>
      </c>
      <c r="AS88" s="204">
        <v>950</v>
      </c>
      <c r="AT88" s="205"/>
      <c r="AU88" s="205"/>
      <c r="AV88" s="205"/>
      <c r="AW88" s="205"/>
      <c r="AX88" s="204"/>
      <c r="AY88" s="204"/>
      <c r="AZ88" s="204"/>
      <c r="BA88" s="204"/>
      <c r="BB88" s="204"/>
      <c r="BC88" s="204"/>
      <c r="BD88" s="204"/>
      <c r="BE88" s="204"/>
      <c r="BF88" s="204"/>
      <c r="BG88" s="204"/>
      <c r="BH88" s="204"/>
      <c r="BI88" s="204"/>
      <c r="BJ88" s="204"/>
      <c r="BK88" s="204"/>
      <c r="BL88" s="204"/>
      <c r="BM88" s="204"/>
      <c r="BN88" s="204"/>
      <c r="BO88" s="204"/>
      <c r="BP88" s="204"/>
      <c r="BQ88" s="204"/>
      <c r="BR88" s="204"/>
      <c r="BS88" s="204"/>
      <c r="BT88" s="204"/>
      <c r="BU88" s="203"/>
      <c r="BV88" s="203"/>
      <c r="BW88" s="203"/>
      <c r="BX88" s="203"/>
      <c r="BY88" s="203"/>
      <c r="BZ88" s="203"/>
      <c r="CA88" s="203"/>
      <c r="CB88" s="203"/>
      <c r="CC88" s="203"/>
      <c r="CD88" s="203"/>
      <c r="CE88" s="203"/>
      <c r="CF88" s="203"/>
      <c r="CG88" s="203"/>
      <c r="CH88" s="203"/>
      <c r="CI88" s="203"/>
      <c r="CJ88" s="203"/>
      <c r="CK88" s="203"/>
    </row>
    <row r="89" spans="28:89" s="196" customFormat="1">
      <c r="AB89" s="201"/>
      <c r="AC89" s="201"/>
      <c r="AD89" s="197"/>
      <c r="AE89" s="197"/>
      <c r="AF89" s="197"/>
      <c r="AG89" s="197"/>
      <c r="AH89" s="197"/>
      <c r="AI89" s="197"/>
      <c r="AJ89" s="197"/>
      <c r="AK89" s="197"/>
      <c r="AL89" s="197"/>
      <c r="AM89" s="197"/>
      <c r="AN89" s="202"/>
      <c r="AO89" s="202"/>
      <c r="AP89" s="202"/>
      <c r="AQ89" s="205"/>
      <c r="AR89" s="205">
        <v>87</v>
      </c>
      <c r="AS89" s="204">
        <v>960</v>
      </c>
      <c r="AT89" s="205"/>
      <c r="AU89" s="205"/>
      <c r="AV89" s="205"/>
      <c r="AW89" s="205"/>
      <c r="AX89" s="204"/>
      <c r="AY89" s="204"/>
      <c r="AZ89" s="204"/>
      <c r="BA89" s="204"/>
      <c r="BB89" s="204"/>
      <c r="BC89" s="204"/>
      <c r="BD89" s="204"/>
      <c r="BE89" s="204"/>
      <c r="BF89" s="204"/>
      <c r="BG89" s="204"/>
      <c r="BH89" s="204"/>
      <c r="BI89" s="204"/>
      <c r="BJ89" s="204"/>
      <c r="BK89" s="204"/>
      <c r="BL89" s="204"/>
      <c r="BM89" s="204"/>
      <c r="BN89" s="204"/>
      <c r="BO89" s="204"/>
      <c r="BP89" s="204"/>
      <c r="BQ89" s="204"/>
      <c r="BR89" s="204"/>
      <c r="BS89" s="204"/>
      <c r="BT89" s="204"/>
      <c r="BU89" s="203"/>
      <c r="BV89" s="203"/>
      <c r="BW89" s="203"/>
      <c r="BX89" s="203"/>
      <c r="BY89" s="203"/>
      <c r="BZ89" s="203"/>
      <c r="CA89" s="203"/>
      <c r="CB89" s="203"/>
      <c r="CC89" s="203"/>
      <c r="CD89" s="203"/>
      <c r="CE89" s="203"/>
      <c r="CF89" s="203"/>
      <c r="CG89" s="203"/>
      <c r="CH89" s="203"/>
      <c r="CI89" s="203"/>
      <c r="CJ89" s="203"/>
      <c r="CK89" s="203"/>
    </row>
    <row r="90" spans="28:89" s="196" customFormat="1">
      <c r="AB90" s="201"/>
      <c r="AC90" s="201"/>
      <c r="AD90" s="197"/>
      <c r="AE90" s="197"/>
      <c r="AF90" s="197"/>
      <c r="AG90" s="197"/>
      <c r="AH90" s="197"/>
      <c r="AI90" s="197"/>
      <c r="AJ90" s="197"/>
      <c r="AK90" s="197"/>
      <c r="AL90" s="197"/>
      <c r="AM90" s="197"/>
      <c r="AN90" s="202"/>
      <c r="AO90" s="202"/>
      <c r="AP90" s="202"/>
      <c r="AQ90" s="205"/>
      <c r="AR90" s="205">
        <v>88</v>
      </c>
      <c r="AS90" s="204">
        <v>970</v>
      </c>
      <c r="AT90" s="205"/>
      <c r="AU90" s="205"/>
      <c r="AV90" s="205"/>
      <c r="AW90" s="205"/>
      <c r="AX90" s="204"/>
      <c r="AY90" s="204"/>
      <c r="AZ90" s="204"/>
      <c r="BA90" s="204"/>
      <c r="BB90" s="204"/>
      <c r="BC90" s="204"/>
      <c r="BD90" s="204"/>
      <c r="BE90" s="204"/>
      <c r="BF90" s="204"/>
      <c r="BG90" s="204"/>
      <c r="BH90" s="204"/>
      <c r="BI90" s="204"/>
      <c r="BJ90" s="204"/>
      <c r="BK90" s="204"/>
      <c r="BL90" s="204"/>
      <c r="BM90" s="204"/>
      <c r="BN90" s="204"/>
      <c r="BO90" s="204"/>
      <c r="BP90" s="204"/>
      <c r="BQ90" s="204"/>
      <c r="BR90" s="204"/>
      <c r="BS90" s="204"/>
      <c r="BT90" s="204"/>
      <c r="BU90" s="203"/>
      <c r="BV90" s="203"/>
      <c r="BW90" s="203"/>
      <c r="BX90" s="203"/>
      <c r="BY90" s="203"/>
      <c r="BZ90" s="203"/>
      <c r="CA90" s="203"/>
      <c r="CB90" s="203"/>
      <c r="CC90" s="203"/>
      <c r="CD90" s="203"/>
      <c r="CE90" s="203"/>
      <c r="CF90" s="203"/>
      <c r="CG90" s="203"/>
      <c r="CH90" s="203"/>
      <c r="CI90" s="203"/>
      <c r="CJ90" s="203"/>
      <c r="CK90" s="203"/>
    </row>
    <row r="91" spans="28:89" s="196" customFormat="1">
      <c r="AB91" s="201"/>
      <c r="AC91" s="201"/>
      <c r="AD91" s="197"/>
      <c r="AE91" s="197"/>
      <c r="AF91" s="197"/>
      <c r="AG91" s="197"/>
      <c r="AH91" s="197"/>
      <c r="AI91" s="197"/>
      <c r="AJ91" s="197"/>
      <c r="AK91" s="197"/>
      <c r="AL91" s="197"/>
      <c r="AM91" s="197"/>
      <c r="AN91" s="202"/>
      <c r="AO91" s="202"/>
      <c r="AP91" s="202"/>
      <c r="AQ91" s="205"/>
      <c r="AR91" s="205">
        <v>89</v>
      </c>
      <c r="AS91" s="204">
        <v>980</v>
      </c>
      <c r="AT91" s="205"/>
      <c r="AU91" s="205"/>
      <c r="AV91" s="205"/>
      <c r="AW91" s="205"/>
      <c r="AX91" s="204"/>
      <c r="AY91" s="204"/>
      <c r="AZ91" s="204"/>
      <c r="BA91" s="204"/>
      <c r="BB91" s="204"/>
      <c r="BC91" s="204"/>
      <c r="BD91" s="204"/>
      <c r="BE91" s="204"/>
      <c r="BF91" s="204"/>
      <c r="BG91" s="204"/>
      <c r="BH91" s="204"/>
      <c r="BI91" s="204"/>
      <c r="BJ91" s="204"/>
      <c r="BK91" s="204"/>
      <c r="BL91" s="204"/>
      <c r="BM91" s="204"/>
      <c r="BN91" s="204"/>
      <c r="BO91" s="204"/>
      <c r="BP91" s="204"/>
      <c r="BQ91" s="204"/>
      <c r="BR91" s="204"/>
      <c r="BS91" s="204"/>
      <c r="BT91" s="204"/>
      <c r="BU91" s="203"/>
      <c r="BV91" s="203"/>
      <c r="BW91" s="203"/>
      <c r="BX91" s="203"/>
      <c r="BY91" s="203"/>
      <c r="BZ91" s="203"/>
      <c r="CA91" s="203"/>
      <c r="CB91" s="203"/>
      <c r="CC91" s="203"/>
      <c r="CD91" s="203"/>
      <c r="CE91" s="203"/>
      <c r="CF91" s="203"/>
      <c r="CG91" s="203"/>
      <c r="CH91" s="203"/>
      <c r="CI91" s="203"/>
      <c r="CJ91" s="203"/>
      <c r="CK91" s="203"/>
    </row>
    <row r="92" spans="28:89" s="196" customFormat="1">
      <c r="AB92" s="201"/>
      <c r="AC92" s="201"/>
      <c r="AD92" s="197"/>
      <c r="AE92" s="197"/>
      <c r="AF92" s="197"/>
      <c r="AG92" s="197"/>
      <c r="AH92" s="197"/>
      <c r="AI92" s="197"/>
      <c r="AJ92" s="197"/>
      <c r="AK92" s="197"/>
      <c r="AL92" s="197"/>
      <c r="AM92" s="197"/>
      <c r="AN92" s="202"/>
      <c r="AO92" s="202"/>
      <c r="AP92" s="202"/>
      <c r="AQ92" s="205"/>
      <c r="AR92" s="205">
        <v>90</v>
      </c>
      <c r="AS92" s="204">
        <v>990</v>
      </c>
      <c r="AT92" s="205"/>
      <c r="AU92" s="205"/>
      <c r="AV92" s="205"/>
      <c r="AW92" s="205"/>
      <c r="AX92" s="204"/>
      <c r="AY92" s="204"/>
      <c r="AZ92" s="204"/>
      <c r="BA92" s="204"/>
      <c r="BB92" s="204"/>
      <c r="BC92" s="204"/>
      <c r="BD92" s="204"/>
      <c r="BE92" s="204"/>
      <c r="BF92" s="204"/>
      <c r="BG92" s="204"/>
      <c r="BH92" s="204"/>
      <c r="BI92" s="204"/>
      <c r="BJ92" s="204"/>
      <c r="BK92" s="204"/>
      <c r="BL92" s="204"/>
      <c r="BM92" s="204"/>
      <c r="BN92" s="204"/>
      <c r="BO92" s="204"/>
      <c r="BP92" s="204"/>
      <c r="BQ92" s="204"/>
      <c r="BR92" s="204"/>
      <c r="BS92" s="204"/>
      <c r="BT92" s="204"/>
      <c r="BU92" s="203"/>
      <c r="BV92" s="203"/>
      <c r="BW92" s="203"/>
      <c r="BX92" s="203"/>
      <c r="BY92" s="203"/>
      <c r="BZ92" s="203"/>
      <c r="CA92" s="203"/>
      <c r="CB92" s="203"/>
      <c r="CC92" s="203"/>
      <c r="CD92" s="203"/>
      <c r="CE92" s="203"/>
      <c r="CF92" s="203"/>
      <c r="CG92" s="203"/>
      <c r="CH92" s="203"/>
      <c r="CI92" s="203"/>
      <c r="CJ92" s="203"/>
      <c r="CK92" s="203"/>
    </row>
    <row r="93" spans="28:89" s="196" customFormat="1">
      <c r="AB93" s="201"/>
      <c r="AC93" s="201"/>
      <c r="AD93" s="197"/>
      <c r="AE93" s="197"/>
      <c r="AF93" s="197"/>
      <c r="AG93" s="197"/>
      <c r="AH93" s="197"/>
      <c r="AI93" s="197"/>
      <c r="AJ93" s="197"/>
      <c r="AK93" s="197"/>
      <c r="AL93" s="197"/>
      <c r="AM93" s="197"/>
      <c r="AN93" s="202"/>
      <c r="AO93" s="202"/>
      <c r="AP93" s="202"/>
      <c r="AQ93" s="205"/>
      <c r="AR93" s="205">
        <v>91</v>
      </c>
      <c r="AS93" s="204">
        <v>1000</v>
      </c>
      <c r="AT93" s="205"/>
      <c r="AU93" s="205"/>
      <c r="AV93" s="205"/>
      <c r="AW93" s="205"/>
      <c r="AX93" s="204"/>
      <c r="AY93" s="204"/>
      <c r="AZ93" s="204"/>
      <c r="BA93" s="204"/>
      <c r="BB93" s="204"/>
      <c r="BC93" s="204"/>
      <c r="BD93" s="204"/>
      <c r="BE93" s="204"/>
      <c r="BF93" s="204"/>
      <c r="BG93" s="204"/>
      <c r="BH93" s="204"/>
      <c r="BI93" s="204"/>
      <c r="BJ93" s="204"/>
      <c r="BK93" s="204"/>
      <c r="BL93" s="204"/>
      <c r="BM93" s="204"/>
      <c r="BN93" s="204"/>
      <c r="BO93" s="204"/>
      <c r="BP93" s="204"/>
      <c r="BQ93" s="204"/>
      <c r="BR93" s="204"/>
      <c r="BS93" s="204"/>
      <c r="BT93" s="204"/>
      <c r="BU93" s="203"/>
      <c r="BV93" s="203"/>
      <c r="BW93" s="203"/>
      <c r="BX93" s="203"/>
      <c r="BY93" s="203"/>
      <c r="BZ93" s="203"/>
      <c r="CA93" s="203"/>
      <c r="CB93" s="203"/>
      <c r="CC93" s="203"/>
      <c r="CD93" s="203"/>
      <c r="CE93" s="203"/>
      <c r="CF93" s="203"/>
      <c r="CG93" s="203"/>
      <c r="CH93" s="203"/>
      <c r="CI93" s="203"/>
      <c r="CJ93" s="203"/>
      <c r="CK93" s="203"/>
    </row>
    <row r="94" spans="28:89" s="196" customFormat="1">
      <c r="AB94" s="201"/>
      <c r="AC94" s="201"/>
      <c r="AD94" s="197"/>
      <c r="AE94" s="197"/>
      <c r="AF94" s="197"/>
      <c r="AG94" s="197"/>
      <c r="AH94" s="197"/>
      <c r="AI94" s="197"/>
      <c r="AJ94" s="197"/>
      <c r="AK94" s="197"/>
      <c r="AL94" s="197"/>
      <c r="AM94" s="197"/>
      <c r="AN94" s="202"/>
      <c r="AO94" s="202"/>
      <c r="AP94" s="202"/>
      <c r="AQ94" s="205"/>
      <c r="AR94" s="205">
        <v>92</v>
      </c>
      <c r="AS94" s="204">
        <v>1010</v>
      </c>
      <c r="AT94" s="205"/>
      <c r="AU94" s="205"/>
      <c r="AV94" s="205"/>
      <c r="AW94" s="205"/>
      <c r="AX94" s="204"/>
      <c r="AY94" s="204"/>
      <c r="AZ94" s="204"/>
      <c r="BA94" s="204"/>
      <c r="BB94" s="204"/>
      <c r="BC94" s="204"/>
      <c r="BD94" s="204"/>
      <c r="BE94" s="204"/>
      <c r="BF94" s="204"/>
      <c r="BG94" s="204"/>
      <c r="BH94" s="204"/>
      <c r="BI94" s="204"/>
      <c r="BJ94" s="204"/>
      <c r="BK94" s="204"/>
      <c r="BL94" s="204"/>
      <c r="BM94" s="204"/>
      <c r="BN94" s="204"/>
      <c r="BO94" s="204"/>
      <c r="BP94" s="204"/>
      <c r="BQ94" s="204"/>
      <c r="BR94" s="204"/>
      <c r="BS94" s="204"/>
      <c r="BT94" s="204"/>
      <c r="BU94" s="203"/>
      <c r="BV94" s="203"/>
      <c r="BW94" s="203"/>
      <c r="BX94" s="203"/>
      <c r="BY94" s="203"/>
      <c r="BZ94" s="203"/>
      <c r="CA94" s="203"/>
      <c r="CB94" s="203"/>
      <c r="CC94" s="203"/>
      <c r="CD94" s="203"/>
      <c r="CE94" s="203"/>
      <c r="CF94" s="203"/>
      <c r="CG94" s="203"/>
      <c r="CH94" s="203"/>
      <c r="CI94" s="203"/>
      <c r="CJ94" s="203"/>
      <c r="CK94" s="203"/>
    </row>
    <row r="95" spans="28:89" s="196" customFormat="1">
      <c r="AB95" s="201"/>
      <c r="AC95" s="201"/>
      <c r="AD95" s="197"/>
      <c r="AE95" s="197"/>
      <c r="AF95" s="197"/>
      <c r="AG95" s="197"/>
      <c r="AH95" s="197"/>
      <c r="AI95" s="197"/>
      <c r="AJ95" s="197"/>
      <c r="AK95" s="197"/>
      <c r="AL95" s="197"/>
      <c r="AM95" s="197"/>
      <c r="AN95" s="202"/>
      <c r="AO95" s="202"/>
      <c r="AP95" s="202"/>
      <c r="AQ95" s="205"/>
      <c r="AR95" s="205">
        <v>93</v>
      </c>
      <c r="AS95" s="204">
        <v>1020</v>
      </c>
      <c r="AT95" s="205"/>
      <c r="AU95" s="205"/>
      <c r="AV95" s="205"/>
      <c r="AW95" s="205"/>
      <c r="AX95" s="204"/>
      <c r="AY95" s="204"/>
      <c r="AZ95" s="204"/>
      <c r="BA95" s="204"/>
      <c r="BB95" s="204"/>
      <c r="BC95" s="204"/>
      <c r="BD95" s="204"/>
      <c r="BE95" s="204"/>
      <c r="BF95" s="204"/>
      <c r="BG95" s="204"/>
      <c r="BH95" s="204"/>
      <c r="BI95" s="204"/>
      <c r="BJ95" s="204"/>
      <c r="BK95" s="204"/>
      <c r="BL95" s="204"/>
      <c r="BM95" s="204"/>
      <c r="BN95" s="204"/>
      <c r="BO95" s="204"/>
      <c r="BP95" s="204"/>
      <c r="BQ95" s="204"/>
      <c r="BR95" s="204"/>
      <c r="BS95" s="204"/>
      <c r="BT95" s="204"/>
      <c r="BU95" s="203"/>
      <c r="BV95" s="203"/>
      <c r="BW95" s="203"/>
      <c r="BX95" s="203"/>
      <c r="BY95" s="203"/>
      <c r="BZ95" s="203"/>
      <c r="CA95" s="203"/>
      <c r="CB95" s="203"/>
      <c r="CC95" s="203"/>
      <c r="CD95" s="203"/>
      <c r="CE95" s="203"/>
      <c r="CF95" s="203"/>
      <c r="CG95" s="203"/>
      <c r="CH95" s="203"/>
      <c r="CI95" s="203"/>
      <c r="CJ95" s="203"/>
      <c r="CK95" s="203"/>
    </row>
    <row r="96" spans="28:89" s="196" customFormat="1">
      <c r="AB96" s="201"/>
      <c r="AC96" s="201"/>
      <c r="AD96" s="197"/>
      <c r="AE96" s="197"/>
      <c r="AF96" s="197"/>
      <c r="AG96" s="197"/>
      <c r="AH96" s="197"/>
      <c r="AI96" s="197"/>
      <c r="AJ96" s="197"/>
      <c r="AK96" s="197"/>
      <c r="AL96" s="197"/>
      <c r="AM96" s="197"/>
      <c r="AN96" s="202"/>
      <c r="AO96" s="202"/>
      <c r="AP96" s="202"/>
      <c r="AQ96" s="205"/>
      <c r="AR96" s="205">
        <v>94</v>
      </c>
      <c r="AS96" s="204">
        <v>1030</v>
      </c>
      <c r="AT96" s="205"/>
      <c r="AU96" s="205"/>
      <c r="AV96" s="205"/>
      <c r="AW96" s="205"/>
      <c r="AX96" s="204"/>
      <c r="AY96" s="204"/>
      <c r="AZ96" s="204"/>
      <c r="BA96" s="204"/>
      <c r="BB96" s="204"/>
      <c r="BC96" s="204"/>
      <c r="BD96" s="204"/>
      <c r="BE96" s="204"/>
      <c r="BF96" s="204"/>
      <c r="BG96" s="204"/>
      <c r="BH96" s="204"/>
      <c r="BI96" s="204"/>
      <c r="BJ96" s="204"/>
      <c r="BK96" s="204"/>
      <c r="BL96" s="204"/>
      <c r="BM96" s="204"/>
      <c r="BN96" s="204"/>
      <c r="BO96" s="204"/>
      <c r="BP96" s="204"/>
      <c r="BQ96" s="204"/>
      <c r="BR96" s="204"/>
      <c r="BS96" s="204"/>
      <c r="BT96" s="204"/>
      <c r="BU96" s="203"/>
      <c r="BV96" s="203"/>
      <c r="BW96" s="203"/>
      <c r="BX96" s="203"/>
      <c r="BY96" s="203"/>
      <c r="BZ96" s="203"/>
      <c r="CA96" s="203"/>
      <c r="CB96" s="203"/>
      <c r="CC96" s="203"/>
      <c r="CD96" s="203"/>
      <c r="CE96" s="203"/>
      <c r="CF96" s="203"/>
      <c r="CG96" s="203"/>
      <c r="CH96" s="203"/>
      <c r="CI96" s="203"/>
      <c r="CJ96" s="203"/>
      <c r="CK96" s="203"/>
    </row>
    <row r="97" spans="28:89" s="196" customFormat="1">
      <c r="AB97" s="201"/>
      <c r="AC97" s="201"/>
      <c r="AD97" s="197"/>
      <c r="AE97" s="197"/>
      <c r="AF97" s="197"/>
      <c r="AG97" s="197"/>
      <c r="AH97" s="197"/>
      <c r="AI97" s="197"/>
      <c r="AJ97" s="197"/>
      <c r="AK97" s="197"/>
      <c r="AL97" s="197"/>
      <c r="AM97" s="197"/>
      <c r="AN97" s="202"/>
      <c r="AO97" s="202"/>
      <c r="AP97" s="202"/>
      <c r="AQ97" s="205"/>
      <c r="AR97" s="205">
        <v>95</v>
      </c>
      <c r="AS97" s="204">
        <v>1040</v>
      </c>
      <c r="AT97" s="205"/>
      <c r="AU97" s="205"/>
      <c r="AV97" s="205"/>
      <c r="AW97" s="205"/>
      <c r="AX97" s="204"/>
      <c r="AY97" s="204"/>
      <c r="AZ97" s="204"/>
      <c r="BA97" s="204"/>
      <c r="BB97" s="204"/>
      <c r="BC97" s="204"/>
      <c r="BD97" s="204"/>
      <c r="BE97" s="204"/>
      <c r="BF97" s="204"/>
      <c r="BG97" s="204"/>
      <c r="BH97" s="204"/>
      <c r="BI97" s="204"/>
      <c r="BJ97" s="204"/>
      <c r="BK97" s="204"/>
      <c r="BL97" s="204"/>
      <c r="BM97" s="204"/>
      <c r="BN97" s="204"/>
      <c r="BO97" s="204"/>
      <c r="BP97" s="204"/>
      <c r="BQ97" s="204"/>
      <c r="BR97" s="204"/>
      <c r="BS97" s="204"/>
      <c r="BT97" s="204"/>
      <c r="BU97" s="203"/>
      <c r="BV97" s="203"/>
      <c r="BW97" s="203"/>
      <c r="BX97" s="203"/>
      <c r="BY97" s="203"/>
      <c r="BZ97" s="203"/>
      <c r="CA97" s="203"/>
      <c r="CB97" s="203"/>
      <c r="CC97" s="203"/>
      <c r="CD97" s="203"/>
      <c r="CE97" s="203"/>
      <c r="CF97" s="203"/>
      <c r="CG97" s="203"/>
      <c r="CH97" s="203"/>
      <c r="CI97" s="203"/>
      <c r="CJ97" s="203"/>
      <c r="CK97" s="203"/>
    </row>
    <row r="98" spans="28:89" s="196" customFormat="1">
      <c r="AB98" s="201"/>
      <c r="AC98" s="201"/>
      <c r="AD98" s="197"/>
      <c r="AE98" s="197"/>
      <c r="AF98" s="197"/>
      <c r="AG98" s="197"/>
      <c r="AH98" s="197"/>
      <c r="AI98" s="197"/>
      <c r="AJ98" s="197"/>
      <c r="AK98" s="197"/>
      <c r="AL98" s="197"/>
      <c r="AM98" s="197"/>
      <c r="AN98" s="202"/>
      <c r="AO98" s="202"/>
      <c r="AP98" s="202"/>
      <c r="AQ98" s="205"/>
      <c r="AR98" s="205">
        <v>96</v>
      </c>
      <c r="AS98" s="204">
        <v>1050</v>
      </c>
      <c r="AT98" s="205"/>
      <c r="AU98" s="205"/>
      <c r="AV98" s="205"/>
      <c r="AW98" s="205"/>
      <c r="AX98" s="204"/>
      <c r="AY98" s="204"/>
      <c r="AZ98" s="204"/>
      <c r="BA98" s="204"/>
      <c r="BB98" s="204"/>
      <c r="BC98" s="204"/>
      <c r="BD98" s="204"/>
      <c r="BE98" s="204"/>
      <c r="BF98" s="204"/>
      <c r="BG98" s="204"/>
      <c r="BH98" s="204"/>
      <c r="BI98" s="204"/>
      <c r="BJ98" s="204"/>
      <c r="BK98" s="204"/>
      <c r="BL98" s="204"/>
      <c r="BM98" s="204"/>
      <c r="BN98" s="204"/>
      <c r="BO98" s="204"/>
      <c r="BP98" s="204"/>
      <c r="BQ98" s="204"/>
      <c r="BR98" s="204"/>
      <c r="BS98" s="204"/>
      <c r="BT98" s="204"/>
      <c r="BU98" s="203"/>
      <c r="BV98" s="203"/>
      <c r="BW98" s="203"/>
      <c r="BX98" s="203"/>
      <c r="BY98" s="203"/>
      <c r="BZ98" s="203"/>
      <c r="CA98" s="203"/>
      <c r="CB98" s="203"/>
      <c r="CC98" s="203"/>
      <c r="CD98" s="203"/>
      <c r="CE98" s="203"/>
      <c r="CF98" s="203"/>
      <c r="CG98" s="203"/>
      <c r="CH98" s="203"/>
      <c r="CI98" s="203"/>
      <c r="CJ98" s="203"/>
      <c r="CK98" s="203"/>
    </row>
    <row r="99" spans="28:89" s="196" customFormat="1">
      <c r="AB99" s="201"/>
      <c r="AC99" s="201"/>
      <c r="AD99" s="197"/>
      <c r="AE99" s="197"/>
      <c r="AF99" s="197"/>
      <c r="AG99" s="197"/>
      <c r="AH99" s="197"/>
      <c r="AI99" s="197"/>
      <c r="AJ99" s="197"/>
      <c r="AK99" s="197"/>
      <c r="AL99" s="197"/>
      <c r="AM99" s="197"/>
      <c r="AN99" s="202"/>
      <c r="AO99" s="202"/>
      <c r="AP99" s="202"/>
      <c r="AQ99" s="205"/>
      <c r="AR99" s="205">
        <v>97</v>
      </c>
      <c r="AS99" s="204">
        <v>1060</v>
      </c>
      <c r="AT99" s="205"/>
      <c r="AU99" s="205"/>
      <c r="AV99" s="205"/>
      <c r="AW99" s="205"/>
      <c r="AX99" s="204"/>
      <c r="AY99" s="204"/>
      <c r="AZ99" s="204"/>
      <c r="BA99" s="204"/>
      <c r="BB99" s="204"/>
      <c r="BC99" s="204"/>
      <c r="BD99" s="204"/>
      <c r="BE99" s="204"/>
      <c r="BF99" s="204"/>
      <c r="BG99" s="204"/>
      <c r="BH99" s="204"/>
      <c r="BI99" s="204"/>
      <c r="BJ99" s="204"/>
      <c r="BK99" s="204"/>
      <c r="BL99" s="204"/>
      <c r="BM99" s="204"/>
      <c r="BN99" s="204"/>
      <c r="BO99" s="204"/>
      <c r="BP99" s="204"/>
      <c r="BQ99" s="204"/>
      <c r="BR99" s="204"/>
      <c r="BS99" s="204"/>
      <c r="BT99" s="204"/>
      <c r="BU99" s="203"/>
      <c r="BV99" s="203"/>
      <c r="BW99" s="203"/>
      <c r="BX99" s="203"/>
      <c r="BY99" s="203"/>
      <c r="BZ99" s="203"/>
      <c r="CA99" s="203"/>
      <c r="CB99" s="203"/>
      <c r="CC99" s="203"/>
      <c r="CD99" s="203"/>
      <c r="CE99" s="203"/>
      <c r="CF99" s="203"/>
      <c r="CG99" s="203"/>
      <c r="CH99" s="203"/>
      <c r="CI99" s="203"/>
      <c r="CJ99" s="203"/>
      <c r="CK99" s="203"/>
    </row>
    <row r="100" spans="28:89" s="196" customFormat="1">
      <c r="AB100" s="201"/>
      <c r="AC100" s="201"/>
      <c r="AD100" s="197"/>
      <c r="AE100" s="197"/>
      <c r="AF100" s="197"/>
      <c r="AG100" s="197"/>
      <c r="AH100" s="197"/>
      <c r="AI100" s="197"/>
      <c r="AJ100" s="197"/>
      <c r="AK100" s="197"/>
      <c r="AL100" s="197"/>
      <c r="AM100" s="197"/>
      <c r="AN100" s="202"/>
      <c r="AO100" s="202"/>
      <c r="AP100" s="202"/>
      <c r="AQ100" s="205"/>
      <c r="AR100" s="205">
        <v>98</v>
      </c>
      <c r="AS100" s="204">
        <v>1070</v>
      </c>
      <c r="AT100" s="205"/>
      <c r="AU100" s="205"/>
      <c r="AV100" s="205"/>
      <c r="AW100" s="205"/>
      <c r="AX100" s="204"/>
      <c r="AY100" s="204"/>
      <c r="AZ100" s="204"/>
      <c r="BA100" s="204"/>
      <c r="BB100" s="204"/>
      <c r="BC100" s="204"/>
      <c r="BD100" s="204"/>
      <c r="BE100" s="204"/>
      <c r="BF100" s="204"/>
      <c r="BG100" s="204"/>
      <c r="BH100" s="204"/>
      <c r="BI100" s="204"/>
      <c r="BJ100" s="204"/>
      <c r="BK100" s="204"/>
      <c r="BL100" s="204"/>
      <c r="BM100" s="204"/>
      <c r="BN100" s="204"/>
      <c r="BO100" s="204"/>
      <c r="BP100" s="204"/>
      <c r="BQ100" s="204"/>
      <c r="BR100" s="204"/>
      <c r="BS100" s="204"/>
      <c r="BT100" s="204"/>
      <c r="BU100" s="203"/>
      <c r="BV100" s="203"/>
      <c r="BW100" s="203"/>
      <c r="BX100" s="203"/>
      <c r="BY100" s="203"/>
      <c r="BZ100" s="203"/>
      <c r="CA100" s="203"/>
      <c r="CB100" s="203"/>
      <c r="CC100" s="203"/>
      <c r="CD100" s="203"/>
      <c r="CE100" s="203"/>
      <c r="CF100" s="203"/>
      <c r="CG100" s="203"/>
      <c r="CH100" s="203"/>
      <c r="CI100" s="203"/>
      <c r="CJ100" s="203"/>
      <c r="CK100" s="203"/>
    </row>
    <row r="101" spans="28:89" s="196" customFormat="1">
      <c r="AB101" s="201"/>
      <c r="AC101" s="201"/>
      <c r="AD101" s="197"/>
      <c r="AE101" s="197"/>
      <c r="AF101" s="197"/>
      <c r="AG101" s="197"/>
      <c r="AH101" s="197"/>
      <c r="AI101" s="197"/>
      <c r="AJ101" s="197"/>
      <c r="AK101" s="197"/>
      <c r="AL101" s="197"/>
      <c r="AM101" s="197"/>
      <c r="AN101" s="202"/>
      <c r="AO101" s="202"/>
      <c r="AP101" s="202"/>
      <c r="AQ101" s="205"/>
      <c r="AR101" s="205">
        <v>99</v>
      </c>
      <c r="AS101" s="204">
        <v>1080</v>
      </c>
      <c r="AT101" s="205"/>
      <c r="AU101" s="205"/>
      <c r="AV101" s="205"/>
      <c r="AW101" s="205"/>
      <c r="AX101" s="204"/>
      <c r="AY101" s="204"/>
      <c r="AZ101" s="204"/>
      <c r="BA101" s="204"/>
      <c r="BB101" s="204"/>
      <c r="BC101" s="204"/>
      <c r="BD101" s="204"/>
      <c r="BE101" s="204"/>
      <c r="BF101" s="204"/>
      <c r="BG101" s="204"/>
      <c r="BH101" s="204"/>
      <c r="BI101" s="204"/>
      <c r="BJ101" s="204"/>
      <c r="BK101" s="204"/>
      <c r="BL101" s="204"/>
      <c r="BM101" s="204"/>
      <c r="BN101" s="204"/>
      <c r="BO101" s="204"/>
      <c r="BP101" s="204"/>
      <c r="BQ101" s="204"/>
      <c r="BR101" s="204"/>
      <c r="BS101" s="204"/>
      <c r="BT101" s="204"/>
      <c r="BU101" s="203"/>
      <c r="BV101" s="203"/>
      <c r="BW101" s="203"/>
      <c r="BX101" s="203"/>
      <c r="BY101" s="203"/>
      <c r="BZ101" s="203"/>
      <c r="CA101" s="203"/>
      <c r="CB101" s="203"/>
      <c r="CC101" s="203"/>
      <c r="CD101" s="203"/>
      <c r="CE101" s="203"/>
      <c r="CF101" s="203"/>
      <c r="CG101" s="203"/>
      <c r="CH101" s="203"/>
      <c r="CI101" s="203"/>
      <c r="CJ101" s="203"/>
      <c r="CK101" s="203"/>
    </row>
    <row r="102" spans="28:89" s="196" customFormat="1">
      <c r="AB102" s="201"/>
      <c r="AC102" s="201"/>
      <c r="AD102" s="197"/>
      <c r="AE102" s="197"/>
      <c r="AF102" s="197"/>
      <c r="AG102" s="197"/>
      <c r="AH102" s="197"/>
      <c r="AI102" s="197"/>
      <c r="AJ102" s="197"/>
      <c r="AK102" s="197"/>
      <c r="AL102" s="197"/>
      <c r="AM102" s="197"/>
      <c r="AN102" s="202"/>
      <c r="AO102" s="202"/>
      <c r="AP102" s="202"/>
      <c r="AQ102" s="205"/>
      <c r="AR102" s="205">
        <v>100</v>
      </c>
      <c r="AS102" s="204">
        <v>1090</v>
      </c>
      <c r="AT102" s="205"/>
      <c r="AU102" s="205"/>
      <c r="AV102" s="205"/>
      <c r="AW102" s="205"/>
      <c r="AX102" s="204"/>
      <c r="AY102" s="204"/>
      <c r="AZ102" s="204"/>
      <c r="BA102" s="204"/>
      <c r="BB102" s="204"/>
      <c r="BC102" s="204"/>
      <c r="BD102" s="204"/>
      <c r="BE102" s="204"/>
      <c r="BF102" s="204"/>
      <c r="BG102" s="204"/>
      <c r="BH102" s="204"/>
      <c r="BI102" s="204"/>
      <c r="BJ102" s="204"/>
      <c r="BK102" s="204"/>
      <c r="BL102" s="204"/>
      <c r="BM102" s="204"/>
      <c r="BN102" s="204"/>
      <c r="BO102" s="204"/>
      <c r="BP102" s="204"/>
      <c r="BQ102" s="204"/>
      <c r="BR102" s="204"/>
      <c r="BS102" s="204"/>
      <c r="BT102" s="204"/>
      <c r="BU102" s="203"/>
      <c r="BV102" s="203"/>
      <c r="BW102" s="203"/>
      <c r="BX102" s="203"/>
      <c r="BY102" s="203"/>
      <c r="BZ102" s="203"/>
      <c r="CA102" s="203"/>
      <c r="CB102" s="203"/>
      <c r="CC102" s="203"/>
      <c r="CD102" s="203"/>
      <c r="CE102" s="203"/>
      <c r="CF102" s="203"/>
      <c r="CG102" s="203"/>
      <c r="CH102" s="203"/>
      <c r="CI102" s="203"/>
      <c r="CJ102" s="203"/>
      <c r="CK102" s="203"/>
    </row>
    <row r="103" spans="28:89" s="196" customFormat="1">
      <c r="AB103" s="201"/>
      <c r="AC103" s="201"/>
      <c r="AD103" s="197"/>
      <c r="AE103" s="197"/>
      <c r="AF103" s="197"/>
      <c r="AG103" s="197"/>
      <c r="AH103" s="197"/>
      <c r="AI103" s="197"/>
      <c r="AJ103" s="197"/>
      <c r="AK103" s="197"/>
      <c r="AL103" s="197"/>
      <c r="AM103" s="197"/>
      <c r="AN103" s="202"/>
      <c r="AO103" s="202"/>
      <c r="AP103" s="202"/>
      <c r="AQ103" s="205"/>
      <c r="AR103" s="205">
        <v>101</v>
      </c>
      <c r="AS103" s="204">
        <v>1100</v>
      </c>
      <c r="AT103" s="205"/>
      <c r="AU103" s="205"/>
      <c r="AV103" s="205"/>
      <c r="AW103" s="205"/>
      <c r="AX103" s="204"/>
      <c r="AY103" s="204"/>
      <c r="AZ103" s="204"/>
      <c r="BA103" s="204"/>
      <c r="BB103" s="204"/>
      <c r="BC103" s="204"/>
      <c r="BD103" s="204"/>
      <c r="BE103" s="204"/>
      <c r="BF103" s="204"/>
      <c r="BG103" s="204"/>
      <c r="BH103" s="204"/>
      <c r="BI103" s="204"/>
      <c r="BJ103" s="204"/>
      <c r="BK103" s="204"/>
      <c r="BL103" s="204"/>
      <c r="BM103" s="204"/>
      <c r="BN103" s="204"/>
      <c r="BO103" s="204"/>
      <c r="BP103" s="204"/>
      <c r="BQ103" s="204"/>
      <c r="BR103" s="204"/>
      <c r="BS103" s="204"/>
      <c r="BT103" s="204"/>
      <c r="BU103" s="203"/>
      <c r="BV103" s="203"/>
      <c r="BW103" s="203"/>
      <c r="BX103" s="203"/>
      <c r="BY103" s="203"/>
      <c r="BZ103" s="203"/>
      <c r="CA103" s="203"/>
      <c r="CB103" s="203"/>
      <c r="CC103" s="203"/>
      <c r="CD103" s="203"/>
      <c r="CE103" s="203"/>
      <c r="CF103" s="203"/>
      <c r="CG103" s="203"/>
      <c r="CH103" s="203"/>
      <c r="CI103" s="203"/>
      <c r="CJ103" s="203"/>
      <c r="CK103" s="203"/>
    </row>
    <row r="104" spans="28:89" s="196" customFormat="1">
      <c r="AB104" s="201"/>
      <c r="AC104" s="201"/>
      <c r="AD104" s="197"/>
      <c r="AE104" s="197"/>
      <c r="AF104" s="197"/>
      <c r="AG104" s="197"/>
      <c r="AH104" s="197"/>
      <c r="AI104" s="197"/>
      <c r="AJ104" s="197"/>
      <c r="AK104" s="197"/>
      <c r="AL104" s="197"/>
      <c r="AM104" s="197"/>
      <c r="AN104" s="202"/>
      <c r="AO104" s="202"/>
      <c r="AP104" s="202"/>
      <c r="AQ104" s="205"/>
      <c r="AR104" s="205">
        <v>102</v>
      </c>
      <c r="AS104" s="204">
        <v>1110</v>
      </c>
      <c r="AT104" s="205"/>
      <c r="AU104" s="205"/>
      <c r="AV104" s="205"/>
      <c r="AW104" s="205"/>
      <c r="AX104" s="204"/>
      <c r="AY104" s="204"/>
      <c r="AZ104" s="204"/>
      <c r="BA104" s="204"/>
      <c r="BB104" s="204"/>
      <c r="BC104" s="204"/>
      <c r="BD104" s="204"/>
      <c r="BE104" s="204"/>
      <c r="BF104" s="204"/>
      <c r="BG104" s="204"/>
      <c r="BH104" s="204"/>
      <c r="BI104" s="204"/>
      <c r="BJ104" s="204"/>
      <c r="BK104" s="204"/>
      <c r="BL104" s="204"/>
      <c r="BM104" s="204"/>
      <c r="BN104" s="204"/>
      <c r="BO104" s="204"/>
      <c r="BP104" s="204"/>
      <c r="BQ104" s="204"/>
      <c r="BR104" s="204"/>
      <c r="BS104" s="204"/>
      <c r="BT104" s="204"/>
      <c r="BU104" s="203"/>
      <c r="BV104" s="203"/>
      <c r="BW104" s="203"/>
      <c r="BX104" s="203"/>
      <c r="BY104" s="203"/>
      <c r="BZ104" s="203"/>
      <c r="CA104" s="203"/>
      <c r="CB104" s="203"/>
      <c r="CC104" s="203"/>
      <c r="CD104" s="203"/>
      <c r="CE104" s="203"/>
      <c r="CF104" s="203"/>
      <c r="CG104" s="203"/>
      <c r="CH104" s="203"/>
      <c r="CI104" s="203"/>
      <c r="CJ104" s="203"/>
      <c r="CK104" s="203"/>
    </row>
    <row r="105" spans="28:89" s="196" customFormat="1">
      <c r="AB105" s="201"/>
      <c r="AC105" s="201"/>
      <c r="AD105" s="197"/>
      <c r="AE105" s="197"/>
      <c r="AF105" s="197"/>
      <c r="AG105" s="197"/>
      <c r="AH105" s="197"/>
      <c r="AI105" s="197"/>
      <c r="AJ105" s="197"/>
      <c r="AK105" s="197"/>
      <c r="AL105" s="197"/>
      <c r="AM105" s="197"/>
      <c r="AN105" s="202"/>
      <c r="AO105" s="202"/>
      <c r="AP105" s="202"/>
      <c r="AQ105" s="205"/>
      <c r="AR105" s="205">
        <v>103</v>
      </c>
      <c r="AS105" s="204">
        <v>1120</v>
      </c>
      <c r="AT105" s="205"/>
      <c r="AU105" s="205"/>
      <c r="AV105" s="205"/>
      <c r="AW105" s="205"/>
      <c r="AX105" s="204"/>
      <c r="AY105" s="204"/>
      <c r="AZ105" s="204"/>
      <c r="BA105" s="204"/>
      <c r="BB105" s="204"/>
      <c r="BC105" s="204"/>
      <c r="BD105" s="204"/>
      <c r="BE105" s="204"/>
      <c r="BF105" s="204"/>
      <c r="BG105" s="204"/>
      <c r="BH105" s="204"/>
      <c r="BI105" s="204"/>
      <c r="BJ105" s="204"/>
      <c r="BK105" s="204"/>
      <c r="BL105" s="204"/>
      <c r="BM105" s="204"/>
      <c r="BN105" s="204"/>
      <c r="BO105" s="204"/>
      <c r="BP105" s="204"/>
      <c r="BQ105" s="204"/>
      <c r="BR105" s="204"/>
      <c r="BS105" s="204"/>
      <c r="BT105" s="204"/>
      <c r="BU105" s="203"/>
      <c r="BV105" s="203"/>
      <c r="BW105" s="203"/>
      <c r="BX105" s="203"/>
      <c r="BY105" s="203"/>
      <c r="BZ105" s="203"/>
      <c r="CA105" s="203"/>
      <c r="CB105" s="203"/>
      <c r="CC105" s="203"/>
      <c r="CD105" s="203"/>
      <c r="CE105" s="203"/>
      <c r="CF105" s="203"/>
      <c r="CG105" s="203"/>
      <c r="CH105" s="203"/>
      <c r="CI105" s="203"/>
      <c r="CJ105" s="203"/>
      <c r="CK105" s="203"/>
    </row>
    <row r="106" spans="28:89" s="196" customFormat="1">
      <c r="AB106" s="201"/>
      <c r="AC106" s="201"/>
      <c r="AD106" s="197"/>
      <c r="AE106" s="197"/>
      <c r="AF106" s="197"/>
      <c r="AG106" s="197"/>
      <c r="AH106" s="197"/>
      <c r="AI106" s="197"/>
      <c r="AJ106" s="197"/>
      <c r="AK106" s="197"/>
      <c r="AL106" s="197"/>
      <c r="AM106" s="197"/>
      <c r="AN106" s="202"/>
      <c r="AO106" s="202"/>
      <c r="AP106" s="202"/>
      <c r="AQ106" s="205"/>
      <c r="AR106" s="205">
        <v>104</v>
      </c>
      <c r="AS106" s="204">
        <v>1130</v>
      </c>
      <c r="AT106" s="205"/>
      <c r="AU106" s="205"/>
      <c r="AV106" s="205"/>
      <c r="AW106" s="205"/>
      <c r="AX106" s="204"/>
      <c r="AY106" s="204"/>
      <c r="AZ106" s="204"/>
      <c r="BA106" s="204"/>
      <c r="BB106" s="204"/>
      <c r="BC106" s="204"/>
      <c r="BD106" s="204"/>
      <c r="BE106" s="204"/>
      <c r="BF106" s="204"/>
      <c r="BG106" s="204"/>
      <c r="BH106" s="204"/>
      <c r="BI106" s="204"/>
      <c r="BJ106" s="204"/>
      <c r="BK106" s="204"/>
      <c r="BL106" s="204"/>
      <c r="BM106" s="204"/>
      <c r="BN106" s="204"/>
      <c r="BO106" s="204"/>
      <c r="BP106" s="204"/>
      <c r="BQ106" s="204"/>
      <c r="BR106" s="204"/>
      <c r="BS106" s="204"/>
      <c r="BT106" s="204"/>
      <c r="BU106" s="203"/>
      <c r="BV106" s="203"/>
      <c r="BW106" s="203"/>
      <c r="BX106" s="203"/>
      <c r="BY106" s="203"/>
      <c r="BZ106" s="203"/>
      <c r="CA106" s="203"/>
      <c r="CB106" s="203"/>
      <c r="CC106" s="203"/>
      <c r="CD106" s="203"/>
      <c r="CE106" s="203"/>
      <c r="CF106" s="203"/>
      <c r="CG106" s="203"/>
      <c r="CH106" s="203"/>
      <c r="CI106" s="203"/>
      <c r="CJ106" s="203"/>
      <c r="CK106" s="203"/>
    </row>
    <row r="107" spans="28:89" s="196" customFormat="1">
      <c r="AB107" s="201"/>
      <c r="AC107" s="201"/>
      <c r="AD107" s="197"/>
      <c r="AE107" s="197"/>
      <c r="AF107" s="197"/>
      <c r="AG107" s="197"/>
      <c r="AH107" s="197"/>
      <c r="AI107" s="197"/>
      <c r="AJ107" s="197"/>
      <c r="AK107" s="197"/>
      <c r="AL107" s="197"/>
      <c r="AM107" s="197"/>
      <c r="AN107" s="202"/>
      <c r="AO107" s="202"/>
      <c r="AP107" s="202"/>
      <c r="AQ107" s="205"/>
      <c r="AR107" s="205">
        <v>105</v>
      </c>
      <c r="AS107" s="204">
        <v>1140</v>
      </c>
      <c r="AT107" s="205"/>
      <c r="AU107" s="205"/>
      <c r="AV107" s="205"/>
      <c r="AW107" s="205"/>
      <c r="AX107" s="204"/>
      <c r="AY107" s="204"/>
      <c r="AZ107" s="204"/>
      <c r="BA107" s="204"/>
      <c r="BB107" s="204"/>
      <c r="BC107" s="204"/>
      <c r="BD107" s="204"/>
      <c r="BE107" s="204"/>
      <c r="BF107" s="204"/>
      <c r="BG107" s="204"/>
      <c r="BH107" s="204"/>
      <c r="BI107" s="204"/>
      <c r="BJ107" s="204"/>
      <c r="BK107" s="204"/>
      <c r="BL107" s="204"/>
      <c r="BM107" s="204"/>
      <c r="BN107" s="204"/>
      <c r="BO107" s="204"/>
      <c r="BP107" s="204"/>
      <c r="BQ107" s="204"/>
      <c r="BR107" s="204"/>
      <c r="BS107" s="204"/>
      <c r="BT107" s="204"/>
      <c r="BU107" s="203"/>
      <c r="BV107" s="203"/>
      <c r="BW107" s="203"/>
      <c r="BX107" s="203"/>
      <c r="BY107" s="203"/>
      <c r="BZ107" s="203"/>
      <c r="CA107" s="203"/>
      <c r="CB107" s="203"/>
      <c r="CC107" s="203"/>
      <c r="CD107" s="203"/>
      <c r="CE107" s="203"/>
      <c r="CF107" s="203"/>
      <c r="CG107" s="203"/>
      <c r="CH107" s="203"/>
      <c r="CI107" s="203"/>
      <c r="CJ107" s="203"/>
      <c r="CK107" s="203"/>
    </row>
    <row r="108" spans="28:89" s="196" customFormat="1">
      <c r="AB108" s="201"/>
      <c r="AC108" s="201"/>
      <c r="AD108" s="197"/>
      <c r="AE108" s="197"/>
      <c r="AF108" s="197"/>
      <c r="AG108" s="197"/>
      <c r="AH108" s="197"/>
      <c r="AI108" s="197"/>
      <c r="AJ108" s="197"/>
      <c r="AK108" s="197"/>
      <c r="AL108" s="197"/>
      <c r="AM108" s="197"/>
      <c r="AN108" s="202"/>
      <c r="AO108" s="202"/>
      <c r="AP108" s="202"/>
      <c r="AQ108" s="205"/>
      <c r="AR108" s="205">
        <v>106</v>
      </c>
      <c r="AS108" s="204">
        <v>1150</v>
      </c>
      <c r="AT108" s="205"/>
      <c r="AU108" s="205"/>
      <c r="AV108" s="205"/>
      <c r="AW108" s="205"/>
      <c r="AX108" s="204"/>
      <c r="AY108" s="204"/>
      <c r="AZ108" s="204"/>
      <c r="BA108" s="204"/>
      <c r="BB108" s="204"/>
      <c r="BC108" s="204"/>
      <c r="BD108" s="204"/>
      <c r="BE108" s="204"/>
      <c r="BF108" s="204"/>
      <c r="BG108" s="204"/>
      <c r="BH108" s="204"/>
      <c r="BI108" s="204"/>
      <c r="BJ108" s="204"/>
      <c r="BK108" s="204"/>
      <c r="BL108" s="204"/>
      <c r="BM108" s="204"/>
      <c r="BN108" s="204"/>
      <c r="BO108" s="204"/>
      <c r="BP108" s="204"/>
      <c r="BQ108" s="204"/>
      <c r="BR108" s="204"/>
      <c r="BS108" s="204"/>
      <c r="BT108" s="204"/>
      <c r="BU108" s="203"/>
      <c r="BV108" s="203"/>
      <c r="BW108" s="203"/>
      <c r="BX108" s="203"/>
      <c r="BY108" s="203"/>
      <c r="BZ108" s="203"/>
      <c r="CA108" s="203"/>
      <c r="CB108" s="203"/>
      <c r="CC108" s="203"/>
      <c r="CD108" s="203"/>
      <c r="CE108" s="203"/>
      <c r="CF108" s="203"/>
      <c r="CG108" s="203"/>
      <c r="CH108" s="203"/>
      <c r="CI108" s="203"/>
      <c r="CJ108" s="203"/>
      <c r="CK108" s="203"/>
    </row>
    <row r="109" spans="28:89" s="196" customFormat="1">
      <c r="AB109" s="201"/>
      <c r="AC109" s="201"/>
      <c r="AD109" s="197"/>
      <c r="AE109" s="197"/>
      <c r="AF109" s="197"/>
      <c r="AG109" s="197"/>
      <c r="AH109" s="197"/>
      <c r="AI109" s="197"/>
      <c r="AJ109" s="197"/>
      <c r="AK109" s="197"/>
      <c r="AL109" s="197"/>
      <c r="AM109" s="197"/>
      <c r="AN109" s="202"/>
      <c r="AO109" s="202"/>
      <c r="AP109" s="202"/>
      <c r="AQ109" s="205"/>
      <c r="AR109" s="205">
        <v>107</v>
      </c>
      <c r="AS109" s="204">
        <v>1160</v>
      </c>
      <c r="AT109" s="205"/>
      <c r="AU109" s="205"/>
      <c r="AV109" s="205"/>
      <c r="AW109" s="205"/>
      <c r="AX109" s="204"/>
      <c r="AY109" s="204"/>
      <c r="AZ109" s="204"/>
      <c r="BA109" s="204"/>
      <c r="BB109" s="204"/>
      <c r="BC109" s="204"/>
      <c r="BD109" s="204"/>
      <c r="BE109" s="204"/>
      <c r="BF109" s="204"/>
      <c r="BG109" s="204"/>
      <c r="BH109" s="204"/>
      <c r="BI109" s="204"/>
      <c r="BJ109" s="204"/>
      <c r="BK109" s="204"/>
      <c r="BL109" s="204"/>
      <c r="BM109" s="204"/>
      <c r="BN109" s="204"/>
      <c r="BO109" s="204"/>
      <c r="BP109" s="204"/>
      <c r="BQ109" s="204"/>
      <c r="BR109" s="204"/>
      <c r="BS109" s="204"/>
      <c r="BT109" s="204"/>
      <c r="BU109" s="203"/>
      <c r="BV109" s="203"/>
      <c r="BW109" s="203"/>
      <c r="BX109" s="203"/>
      <c r="BY109" s="203"/>
      <c r="BZ109" s="203"/>
      <c r="CA109" s="203"/>
      <c r="CB109" s="203"/>
      <c r="CC109" s="203"/>
      <c r="CD109" s="203"/>
      <c r="CE109" s="203"/>
      <c r="CF109" s="203"/>
      <c r="CG109" s="203"/>
      <c r="CH109" s="203"/>
      <c r="CI109" s="203"/>
      <c r="CJ109" s="203"/>
      <c r="CK109" s="203"/>
    </row>
    <row r="110" spans="28:89" s="196" customFormat="1">
      <c r="AB110" s="201"/>
      <c r="AC110" s="201"/>
      <c r="AD110" s="197"/>
      <c r="AE110" s="197"/>
      <c r="AF110" s="197"/>
      <c r="AG110" s="197"/>
      <c r="AH110" s="197"/>
      <c r="AI110" s="197"/>
      <c r="AJ110" s="197"/>
      <c r="AK110" s="197"/>
      <c r="AL110" s="197"/>
      <c r="AM110" s="197"/>
      <c r="AN110" s="202"/>
      <c r="AO110" s="202"/>
      <c r="AP110" s="202"/>
      <c r="AQ110" s="205"/>
      <c r="AR110" s="205">
        <v>108</v>
      </c>
      <c r="AS110" s="204">
        <v>1170</v>
      </c>
      <c r="AT110" s="205"/>
      <c r="AU110" s="205"/>
      <c r="AV110" s="205"/>
      <c r="AW110" s="205"/>
      <c r="AX110" s="204"/>
      <c r="AY110" s="204"/>
      <c r="AZ110" s="204"/>
      <c r="BA110" s="204"/>
      <c r="BB110" s="204"/>
      <c r="BC110" s="204"/>
      <c r="BD110" s="204"/>
      <c r="BE110" s="204"/>
      <c r="BF110" s="204"/>
      <c r="BG110" s="204"/>
      <c r="BH110" s="204"/>
      <c r="BI110" s="204"/>
      <c r="BJ110" s="204"/>
      <c r="BK110" s="204"/>
      <c r="BL110" s="204"/>
      <c r="BM110" s="204"/>
      <c r="BN110" s="204"/>
      <c r="BO110" s="204"/>
      <c r="BP110" s="204"/>
      <c r="BQ110" s="204"/>
      <c r="BR110" s="204"/>
      <c r="BS110" s="204"/>
      <c r="BT110" s="204"/>
      <c r="BU110" s="203"/>
      <c r="BV110" s="203"/>
      <c r="BW110" s="203"/>
      <c r="BX110" s="203"/>
      <c r="BY110" s="203"/>
      <c r="BZ110" s="203"/>
      <c r="CA110" s="203"/>
      <c r="CB110" s="203"/>
      <c r="CC110" s="203"/>
      <c r="CD110" s="203"/>
      <c r="CE110" s="203"/>
      <c r="CF110" s="203"/>
      <c r="CG110" s="203"/>
      <c r="CH110" s="203"/>
      <c r="CI110" s="203"/>
      <c r="CJ110" s="203"/>
      <c r="CK110" s="203"/>
    </row>
    <row r="111" spans="28:89" s="196" customFormat="1">
      <c r="AB111" s="201"/>
      <c r="AC111" s="201"/>
      <c r="AD111" s="197"/>
      <c r="AE111" s="197"/>
      <c r="AF111" s="197"/>
      <c r="AG111" s="197"/>
      <c r="AH111" s="197"/>
      <c r="AI111" s="197"/>
      <c r="AJ111" s="197"/>
      <c r="AK111" s="197"/>
      <c r="AL111" s="197"/>
      <c r="AM111" s="197"/>
      <c r="AN111" s="202"/>
      <c r="AO111" s="202"/>
      <c r="AP111" s="202"/>
      <c r="AQ111" s="205"/>
      <c r="AR111" s="205">
        <v>109</v>
      </c>
      <c r="AS111" s="204">
        <v>1180</v>
      </c>
      <c r="AT111" s="205"/>
      <c r="AU111" s="205"/>
      <c r="AV111" s="205"/>
      <c r="AW111" s="205"/>
      <c r="AX111" s="204"/>
      <c r="AY111" s="204"/>
      <c r="AZ111" s="204"/>
      <c r="BA111" s="204"/>
      <c r="BB111" s="204"/>
      <c r="BC111" s="204"/>
      <c r="BD111" s="204"/>
      <c r="BE111" s="204"/>
      <c r="BF111" s="204"/>
      <c r="BG111" s="204"/>
      <c r="BH111" s="204"/>
      <c r="BI111" s="204"/>
      <c r="BJ111" s="204"/>
      <c r="BK111" s="204"/>
      <c r="BL111" s="204"/>
      <c r="BM111" s="204"/>
      <c r="BN111" s="204"/>
      <c r="BO111" s="204"/>
      <c r="BP111" s="204"/>
      <c r="BQ111" s="204"/>
      <c r="BR111" s="204"/>
      <c r="BS111" s="204"/>
      <c r="BT111" s="204"/>
      <c r="BU111" s="203"/>
      <c r="BV111" s="203"/>
      <c r="BW111" s="203"/>
      <c r="BX111" s="203"/>
      <c r="BY111" s="203"/>
      <c r="BZ111" s="203"/>
      <c r="CA111" s="203"/>
      <c r="CB111" s="203"/>
      <c r="CC111" s="203"/>
      <c r="CD111" s="203"/>
      <c r="CE111" s="203"/>
      <c r="CF111" s="203"/>
      <c r="CG111" s="203"/>
      <c r="CH111" s="203"/>
      <c r="CI111" s="203"/>
      <c r="CJ111" s="203"/>
      <c r="CK111" s="203"/>
    </row>
    <row r="112" spans="28:89" s="196" customFormat="1">
      <c r="AB112" s="201"/>
      <c r="AC112" s="201"/>
      <c r="AD112" s="197"/>
      <c r="AE112" s="197"/>
      <c r="AF112" s="197"/>
      <c r="AG112" s="197"/>
      <c r="AH112" s="197"/>
      <c r="AI112" s="197"/>
      <c r="AJ112" s="197"/>
      <c r="AK112" s="197"/>
      <c r="AL112" s="197"/>
      <c r="AM112" s="197"/>
      <c r="AN112" s="202"/>
      <c r="AO112" s="202"/>
      <c r="AP112" s="202"/>
      <c r="AQ112" s="205"/>
      <c r="AR112" s="205">
        <v>110</v>
      </c>
      <c r="AS112" s="204">
        <v>1190</v>
      </c>
      <c r="AT112" s="205"/>
      <c r="AU112" s="205"/>
      <c r="AV112" s="205"/>
      <c r="AW112" s="205"/>
      <c r="AX112" s="204"/>
      <c r="AY112" s="204"/>
      <c r="AZ112" s="204"/>
      <c r="BA112" s="204"/>
      <c r="BB112" s="204"/>
      <c r="BC112" s="204"/>
      <c r="BD112" s="204"/>
      <c r="BE112" s="204"/>
      <c r="BF112" s="204"/>
      <c r="BG112" s="204"/>
      <c r="BH112" s="204"/>
      <c r="BI112" s="204"/>
      <c r="BJ112" s="204"/>
      <c r="BK112" s="204"/>
      <c r="BL112" s="204"/>
      <c r="BM112" s="204"/>
      <c r="BN112" s="204"/>
      <c r="BO112" s="204"/>
      <c r="BP112" s="204"/>
      <c r="BQ112" s="204"/>
      <c r="BR112" s="204"/>
      <c r="BS112" s="204"/>
      <c r="BT112" s="204"/>
      <c r="BU112" s="203"/>
      <c r="BV112" s="203"/>
      <c r="BW112" s="203"/>
      <c r="BX112" s="203"/>
      <c r="BY112" s="203"/>
      <c r="BZ112" s="203"/>
      <c r="CA112" s="203"/>
      <c r="CB112" s="203"/>
      <c r="CC112" s="203"/>
      <c r="CD112" s="203"/>
      <c r="CE112" s="203"/>
      <c r="CF112" s="203"/>
      <c r="CG112" s="203"/>
      <c r="CH112" s="203"/>
      <c r="CI112" s="203"/>
      <c r="CJ112" s="203"/>
      <c r="CK112" s="203"/>
    </row>
    <row r="113" spans="28:89" s="196" customFormat="1">
      <c r="AB113" s="201"/>
      <c r="AC113" s="201"/>
      <c r="AD113" s="197"/>
      <c r="AE113" s="197"/>
      <c r="AF113" s="197"/>
      <c r="AG113" s="197"/>
      <c r="AH113" s="197"/>
      <c r="AI113" s="197"/>
      <c r="AJ113" s="197"/>
      <c r="AK113" s="197"/>
      <c r="AL113" s="197"/>
      <c r="AM113" s="197"/>
      <c r="AN113" s="202"/>
      <c r="AO113" s="202"/>
      <c r="AP113" s="202"/>
      <c r="AQ113" s="205"/>
      <c r="AR113" s="205">
        <v>111</v>
      </c>
      <c r="AS113" s="204">
        <v>1200</v>
      </c>
      <c r="AT113" s="205"/>
      <c r="AU113" s="205"/>
      <c r="AV113" s="205"/>
      <c r="AW113" s="205"/>
      <c r="AX113" s="204"/>
      <c r="AY113" s="204"/>
      <c r="AZ113" s="204"/>
      <c r="BA113" s="204"/>
      <c r="BB113" s="204"/>
      <c r="BC113" s="204"/>
      <c r="BD113" s="204"/>
      <c r="BE113" s="204"/>
      <c r="BF113" s="204"/>
      <c r="BG113" s="204"/>
      <c r="BH113" s="204"/>
      <c r="BI113" s="204"/>
      <c r="BJ113" s="204"/>
      <c r="BK113" s="204"/>
      <c r="BL113" s="204"/>
      <c r="BM113" s="204"/>
      <c r="BN113" s="204"/>
      <c r="BO113" s="204"/>
      <c r="BP113" s="204"/>
      <c r="BQ113" s="204"/>
      <c r="BR113" s="204"/>
      <c r="BS113" s="204"/>
      <c r="BT113" s="204"/>
      <c r="BU113" s="203"/>
      <c r="BV113" s="203"/>
      <c r="BW113" s="203"/>
      <c r="BX113" s="203"/>
      <c r="BY113" s="203"/>
      <c r="BZ113" s="203"/>
      <c r="CA113" s="203"/>
      <c r="CB113" s="203"/>
      <c r="CC113" s="203"/>
      <c r="CD113" s="203"/>
      <c r="CE113" s="203"/>
      <c r="CF113" s="203"/>
      <c r="CG113" s="203"/>
      <c r="CH113" s="203"/>
      <c r="CI113" s="203"/>
      <c r="CJ113" s="203"/>
      <c r="CK113" s="203"/>
    </row>
    <row r="114" spans="28:89" s="196" customFormat="1">
      <c r="AB114" s="201"/>
      <c r="AC114" s="201"/>
      <c r="AD114" s="197"/>
      <c r="AE114" s="197"/>
      <c r="AF114" s="197"/>
      <c r="AG114" s="197"/>
      <c r="AH114" s="197"/>
      <c r="AI114" s="197"/>
      <c r="AJ114" s="197"/>
      <c r="AK114" s="197"/>
      <c r="AL114" s="197"/>
      <c r="AM114" s="197"/>
      <c r="AN114" s="202"/>
      <c r="AO114" s="202"/>
      <c r="AP114" s="202"/>
      <c r="AQ114" s="205"/>
      <c r="AR114" s="205">
        <v>112</v>
      </c>
      <c r="AS114" s="204">
        <v>1210</v>
      </c>
      <c r="AT114" s="205"/>
      <c r="AU114" s="205"/>
      <c r="AV114" s="205"/>
      <c r="AW114" s="205"/>
      <c r="AX114" s="204"/>
      <c r="AY114" s="204"/>
      <c r="AZ114" s="204"/>
      <c r="BA114" s="204"/>
      <c r="BB114" s="204"/>
      <c r="BC114" s="204"/>
      <c r="BD114" s="204"/>
      <c r="BE114" s="204"/>
      <c r="BF114" s="204"/>
      <c r="BG114" s="204"/>
      <c r="BH114" s="204"/>
      <c r="BI114" s="204"/>
      <c r="BJ114" s="204"/>
      <c r="BK114" s="204"/>
      <c r="BL114" s="204"/>
      <c r="BM114" s="204"/>
      <c r="BN114" s="204"/>
      <c r="BO114" s="204"/>
      <c r="BP114" s="204"/>
      <c r="BQ114" s="204"/>
      <c r="BR114" s="204"/>
      <c r="BS114" s="204"/>
      <c r="BT114" s="204"/>
      <c r="BU114" s="203"/>
      <c r="BV114" s="203"/>
      <c r="BW114" s="203"/>
      <c r="BX114" s="203"/>
      <c r="BY114" s="203"/>
      <c r="BZ114" s="203"/>
      <c r="CA114" s="203"/>
      <c r="CB114" s="203"/>
      <c r="CC114" s="203"/>
      <c r="CD114" s="203"/>
      <c r="CE114" s="203"/>
      <c r="CF114" s="203"/>
      <c r="CG114" s="203"/>
      <c r="CH114" s="203"/>
      <c r="CI114" s="203"/>
      <c r="CJ114" s="203"/>
      <c r="CK114" s="203"/>
    </row>
    <row r="115" spans="28:89" s="196" customFormat="1">
      <c r="AB115" s="201"/>
      <c r="AC115" s="201"/>
      <c r="AD115" s="197"/>
      <c r="AE115" s="197"/>
      <c r="AF115" s="197"/>
      <c r="AG115" s="197"/>
      <c r="AH115" s="197"/>
      <c r="AI115" s="197"/>
      <c r="AJ115" s="197"/>
      <c r="AK115" s="197"/>
      <c r="AL115" s="197"/>
      <c r="AM115" s="197"/>
      <c r="AN115" s="202"/>
      <c r="AO115" s="202"/>
      <c r="AP115" s="202"/>
      <c r="AQ115" s="205"/>
      <c r="AR115" s="205">
        <v>113</v>
      </c>
      <c r="AS115" s="204">
        <v>1220</v>
      </c>
      <c r="AT115" s="205"/>
      <c r="AU115" s="205"/>
      <c r="AV115" s="205"/>
      <c r="AW115" s="205"/>
      <c r="AX115" s="204"/>
      <c r="AY115" s="204"/>
      <c r="AZ115" s="204"/>
      <c r="BA115" s="204"/>
      <c r="BB115" s="204"/>
      <c r="BC115" s="204"/>
      <c r="BD115" s="204"/>
      <c r="BE115" s="204"/>
      <c r="BF115" s="204"/>
      <c r="BG115" s="204"/>
      <c r="BH115" s="204"/>
      <c r="BI115" s="204"/>
      <c r="BJ115" s="204"/>
      <c r="BK115" s="204"/>
      <c r="BL115" s="204"/>
      <c r="BM115" s="204"/>
      <c r="BN115" s="204"/>
      <c r="BO115" s="204"/>
      <c r="BP115" s="204"/>
      <c r="BQ115" s="204"/>
      <c r="BR115" s="204"/>
      <c r="BS115" s="204"/>
      <c r="BT115" s="204"/>
      <c r="BU115" s="203"/>
      <c r="BV115" s="203"/>
      <c r="BW115" s="203"/>
      <c r="BX115" s="203"/>
      <c r="BY115" s="203"/>
      <c r="BZ115" s="203"/>
      <c r="CA115" s="203"/>
      <c r="CB115" s="203"/>
      <c r="CC115" s="203"/>
      <c r="CD115" s="203"/>
      <c r="CE115" s="203"/>
      <c r="CF115" s="203"/>
      <c r="CG115" s="203"/>
      <c r="CH115" s="203"/>
      <c r="CI115" s="203"/>
      <c r="CJ115" s="203"/>
      <c r="CK115" s="203"/>
    </row>
    <row r="116" spans="28:89" s="196" customFormat="1">
      <c r="AB116" s="201"/>
      <c r="AC116" s="201"/>
      <c r="AD116" s="197"/>
      <c r="AE116" s="197"/>
      <c r="AF116" s="197"/>
      <c r="AG116" s="197"/>
      <c r="AH116" s="197"/>
      <c r="AI116" s="197"/>
      <c r="AJ116" s="197"/>
      <c r="AK116" s="197"/>
      <c r="AL116" s="197"/>
      <c r="AM116" s="197"/>
      <c r="AN116" s="202"/>
      <c r="AO116" s="202"/>
      <c r="AP116" s="202"/>
      <c r="AQ116" s="205"/>
      <c r="AR116" s="205">
        <v>114</v>
      </c>
      <c r="AS116" s="204">
        <v>1230</v>
      </c>
      <c r="AT116" s="205"/>
      <c r="AU116" s="205"/>
      <c r="AV116" s="205"/>
      <c r="AW116" s="205"/>
      <c r="AX116" s="204"/>
      <c r="AY116" s="204"/>
      <c r="AZ116" s="204"/>
      <c r="BA116" s="204"/>
      <c r="BB116" s="204"/>
      <c r="BC116" s="204"/>
      <c r="BD116" s="204"/>
      <c r="BE116" s="204"/>
      <c r="BF116" s="204"/>
      <c r="BG116" s="204"/>
      <c r="BH116" s="204"/>
      <c r="BI116" s="204"/>
      <c r="BJ116" s="204"/>
      <c r="BK116" s="204"/>
      <c r="BL116" s="204"/>
      <c r="BM116" s="204"/>
      <c r="BN116" s="204"/>
      <c r="BO116" s="204"/>
      <c r="BP116" s="204"/>
      <c r="BQ116" s="204"/>
      <c r="BR116" s="204"/>
      <c r="BS116" s="204"/>
      <c r="BT116" s="204"/>
      <c r="BU116" s="203"/>
      <c r="BV116" s="203"/>
      <c r="BW116" s="203"/>
      <c r="BX116" s="203"/>
      <c r="BY116" s="203"/>
      <c r="BZ116" s="203"/>
      <c r="CA116" s="203"/>
      <c r="CB116" s="203"/>
      <c r="CC116" s="203"/>
      <c r="CD116" s="203"/>
      <c r="CE116" s="203"/>
      <c r="CF116" s="203"/>
      <c r="CG116" s="203"/>
      <c r="CH116" s="203"/>
      <c r="CI116" s="203"/>
      <c r="CJ116" s="203"/>
      <c r="CK116" s="203"/>
    </row>
    <row r="117" spans="28:89" s="196" customFormat="1">
      <c r="AB117" s="201"/>
      <c r="AC117" s="201"/>
      <c r="AD117" s="197"/>
      <c r="AE117" s="197"/>
      <c r="AF117" s="197"/>
      <c r="AG117" s="197"/>
      <c r="AH117" s="197"/>
      <c r="AI117" s="197"/>
      <c r="AJ117" s="197"/>
      <c r="AK117" s="197"/>
      <c r="AL117" s="197"/>
      <c r="AM117" s="197"/>
      <c r="AN117" s="202"/>
      <c r="AO117" s="202"/>
      <c r="AP117" s="202"/>
      <c r="AQ117" s="205"/>
      <c r="AR117" s="205">
        <v>115</v>
      </c>
      <c r="AS117" s="204">
        <v>1240</v>
      </c>
      <c r="AT117" s="205"/>
      <c r="AU117" s="205"/>
      <c r="AV117" s="205"/>
      <c r="AW117" s="205"/>
      <c r="AX117" s="204"/>
      <c r="AY117" s="204"/>
      <c r="AZ117" s="204"/>
      <c r="BA117" s="204"/>
      <c r="BB117" s="204"/>
      <c r="BC117" s="204"/>
      <c r="BD117" s="204"/>
      <c r="BE117" s="204"/>
      <c r="BF117" s="204"/>
      <c r="BG117" s="204"/>
      <c r="BH117" s="204"/>
      <c r="BI117" s="204"/>
      <c r="BJ117" s="204"/>
      <c r="BK117" s="204"/>
      <c r="BL117" s="204"/>
      <c r="BM117" s="204"/>
      <c r="BN117" s="204"/>
      <c r="BO117" s="204"/>
      <c r="BP117" s="204"/>
      <c r="BQ117" s="204"/>
      <c r="BR117" s="204"/>
      <c r="BS117" s="204"/>
      <c r="BT117" s="204"/>
      <c r="BU117" s="203"/>
      <c r="BV117" s="203"/>
      <c r="BW117" s="203"/>
      <c r="BX117" s="203"/>
      <c r="BY117" s="203"/>
      <c r="BZ117" s="203"/>
      <c r="CA117" s="203"/>
      <c r="CB117" s="203"/>
      <c r="CC117" s="203"/>
      <c r="CD117" s="203"/>
      <c r="CE117" s="203"/>
      <c r="CF117" s="203"/>
      <c r="CG117" s="203"/>
      <c r="CH117" s="203"/>
      <c r="CI117" s="203"/>
      <c r="CJ117" s="203"/>
      <c r="CK117" s="203"/>
    </row>
    <row r="118" spans="28:89" s="196" customFormat="1">
      <c r="AB118" s="201"/>
      <c r="AC118" s="201"/>
      <c r="AD118" s="197"/>
      <c r="AE118" s="197"/>
      <c r="AF118" s="197"/>
      <c r="AG118" s="197"/>
      <c r="AH118" s="197"/>
      <c r="AI118" s="197"/>
      <c r="AJ118" s="197"/>
      <c r="AK118" s="197"/>
      <c r="AL118" s="197"/>
      <c r="AM118" s="197"/>
      <c r="AN118" s="202"/>
      <c r="AO118" s="202"/>
      <c r="AP118" s="202"/>
      <c r="AQ118" s="205"/>
      <c r="AR118" s="205">
        <v>116</v>
      </c>
      <c r="AS118" s="204">
        <v>1250</v>
      </c>
      <c r="AT118" s="205"/>
      <c r="AU118" s="205"/>
      <c r="AV118" s="205"/>
      <c r="AW118" s="205"/>
      <c r="AX118" s="204"/>
      <c r="AY118" s="204"/>
      <c r="AZ118" s="204"/>
      <c r="BA118" s="204"/>
      <c r="BB118" s="204"/>
      <c r="BC118" s="204"/>
      <c r="BD118" s="204"/>
      <c r="BE118" s="204"/>
      <c r="BF118" s="204"/>
      <c r="BG118" s="204"/>
      <c r="BH118" s="204"/>
      <c r="BI118" s="204"/>
      <c r="BJ118" s="204"/>
      <c r="BK118" s="204"/>
      <c r="BL118" s="204"/>
      <c r="BM118" s="204"/>
      <c r="BN118" s="204"/>
      <c r="BO118" s="204"/>
      <c r="BP118" s="204"/>
      <c r="BQ118" s="204"/>
      <c r="BR118" s="204"/>
      <c r="BS118" s="204"/>
      <c r="BT118" s="204"/>
      <c r="BU118" s="203"/>
      <c r="BV118" s="203"/>
      <c r="BW118" s="203"/>
      <c r="BX118" s="203"/>
      <c r="BY118" s="203"/>
      <c r="BZ118" s="203"/>
      <c r="CA118" s="203"/>
      <c r="CB118" s="203"/>
      <c r="CC118" s="203"/>
      <c r="CD118" s="203"/>
      <c r="CE118" s="203"/>
      <c r="CF118" s="203"/>
      <c r="CG118" s="203"/>
      <c r="CH118" s="203"/>
      <c r="CI118" s="203"/>
      <c r="CJ118" s="203"/>
      <c r="CK118" s="203"/>
    </row>
    <row r="119" spans="28:89" s="196" customFormat="1">
      <c r="AB119" s="201"/>
      <c r="AC119" s="201"/>
      <c r="AD119" s="197"/>
      <c r="AE119" s="197"/>
      <c r="AF119" s="197"/>
      <c r="AG119" s="197"/>
      <c r="AH119" s="197"/>
      <c r="AI119" s="197"/>
      <c r="AJ119" s="197"/>
      <c r="AK119" s="197"/>
      <c r="AL119" s="197"/>
      <c r="AM119" s="197"/>
      <c r="AN119" s="202"/>
      <c r="AO119" s="202"/>
      <c r="AP119" s="202"/>
      <c r="AQ119" s="205"/>
      <c r="AR119" s="205">
        <v>117</v>
      </c>
      <c r="AS119" s="204">
        <v>1260</v>
      </c>
      <c r="AT119" s="205"/>
      <c r="AU119" s="205"/>
      <c r="AV119" s="205"/>
      <c r="AW119" s="205"/>
      <c r="AX119" s="204"/>
      <c r="AY119" s="204"/>
      <c r="AZ119" s="204"/>
      <c r="BA119" s="204"/>
      <c r="BB119" s="204"/>
      <c r="BC119" s="204"/>
      <c r="BD119" s="204"/>
      <c r="BE119" s="204"/>
      <c r="BF119" s="204"/>
      <c r="BG119" s="204"/>
      <c r="BH119" s="204"/>
      <c r="BI119" s="204"/>
      <c r="BJ119" s="204"/>
      <c r="BK119" s="204"/>
      <c r="BL119" s="204"/>
      <c r="BM119" s="204"/>
      <c r="BN119" s="204"/>
      <c r="BO119" s="204"/>
      <c r="BP119" s="204"/>
      <c r="BQ119" s="204"/>
      <c r="BR119" s="204"/>
      <c r="BS119" s="204"/>
      <c r="BT119" s="204"/>
      <c r="BU119" s="203"/>
      <c r="BV119" s="203"/>
      <c r="BW119" s="203"/>
      <c r="BX119" s="203"/>
      <c r="BY119" s="203"/>
      <c r="BZ119" s="203"/>
      <c r="CA119" s="203"/>
      <c r="CB119" s="203"/>
      <c r="CC119" s="203"/>
      <c r="CD119" s="203"/>
      <c r="CE119" s="203"/>
      <c r="CF119" s="203"/>
      <c r="CG119" s="203"/>
      <c r="CH119" s="203"/>
      <c r="CI119" s="203"/>
      <c r="CJ119" s="203"/>
      <c r="CK119" s="203"/>
    </row>
    <row r="120" spans="28:89" s="196" customFormat="1">
      <c r="AB120" s="201"/>
      <c r="AC120" s="201"/>
      <c r="AD120" s="197"/>
      <c r="AE120" s="197"/>
      <c r="AF120" s="197"/>
      <c r="AG120" s="197"/>
      <c r="AH120" s="197"/>
      <c r="AI120" s="197"/>
      <c r="AJ120" s="197"/>
      <c r="AK120" s="197"/>
      <c r="AL120" s="197"/>
      <c r="AM120" s="197"/>
      <c r="AN120" s="202"/>
      <c r="AO120" s="202"/>
      <c r="AP120" s="202"/>
      <c r="AQ120" s="205"/>
      <c r="AR120" s="205">
        <v>118</v>
      </c>
      <c r="AS120" s="204">
        <v>1270</v>
      </c>
      <c r="AT120" s="205"/>
      <c r="AU120" s="205"/>
      <c r="AV120" s="205"/>
      <c r="AW120" s="205"/>
      <c r="AX120" s="204"/>
      <c r="AY120" s="204"/>
      <c r="AZ120" s="204"/>
      <c r="BA120" s="204"/>
      <c r="BB120" s="204"/>
      <c r="BC120" s="204"/>
      <c r="BD120" s="204"/>
      <c r="BE120" s="204"/>
      <c r="BF120" s="204"/>
      <c r="BG120" s="204"/>
      <c r="BH120" s="204"/>
      <c r="BI120" s="204"/>
      <c r="BJ120" s="204"/>
      <c r="BK120" s="204"/>
      <c r="BL120" s="204"/>
      <c r="BM120" s="204"/>
      <c r="BN120" s="204"/>
      <c r="BO120" s="204"/>
      <c r="BP120" s="204"/>
      <c r="BQ120" s="204"/>
      <c r="BR120" s="204"/>
      <c r="BS120" s="204"/>
      <c r="BT120" s="204"/>
      <c r="BU120" s="203"/>
      <c r="BV120" s="203"/>
      <c r="BW120" s="203"/>
      <c r="BX120" s="203"/>
      <c r="BY120" s="203"/>
      <c r="BZ120" s="203"/>
      <c r="CA120" s="203"/>
      <c r="CB120" s="203"/>
      <c r="CC120" s="203"/>
      <c r="CD120" s="203"/>
      <c r="CE120" s="203"/>
      <c r="CF120" s="203"/>
      <c r="CG120" s="203"/>
      <c r="CH120" s="203"/>
      <c r="CI120" s="203"/>
      <c r="CJ120" s="203"/>
      <c r="CK120" s="203"/>
    </row>
    <row r="121" spans="28:89" s="196" customFormat="1">
      <c r="AB121" s="201"/>
      <c r="AC121" s="201"/>
      <c r="AD121" s="197"/>
      <c r="AE121" s="197"/>
      <c r="AF121" s="197"/>
      <c r="AG121" s="197"/>
      <c r="AH121" s="197"/>
      <c r="AI121" s="197"/>
      <c r="AJ121" s="197"/>
      <c r="AK121" s="197"/>
      <c r="AL121" s="197"/>
      <c r="AM121" s="197"/>
      <c r="AN121" s="202"/>
      <c r="AO121" s="202"/>
      <c r="AP121" s="202"/>
      <c r="AQ121" s="205"/>
      <c r="AR121" s="205">
        <v>119</v>
      </c>
      <c r="AS121" s="204">
        <v>1280</v>
      </c>
      <c r="AT121" s="205"/>
      <c r="AU121" s="205"/>
      <c r="AV121" s="205"/>
      <c r="AW121" s="205"/>
      <c r="AX121" s="204"/>
      <c r="AY121" s="204"/>
      <c r="AZ121" s="204"/>
      <c r="BA121" s="204"/>
      <c r="BB121" s="204"/>
      <c r="BC121" s="204"/>
      <c r="BD121" s="204"/>
      <c r="BE121" s="204"/>
      <c r="BF121" s="204"/>
      <c r="BG121" s="204"/>
      <c r="BH121" s="204"/>
      <c r="BI121" s="204"/>
      <c r="BJ121" s="204"/>
      <c r="BK121" s="204"/>
      <c r="BL121" s="204"/>
      <c r="BM121" s="204"/>
      <c r="BN121" s="204"/>
      <c r="BO121" s="204"/>
      <c r="BP121" s="204"/>
      <c r="BQ121" s="204"/>
      <c r="BR121" s="204"/>
      <c r="BS121" s="204"/>
      <c r="BT121" s="204"/>
      <c r="BU121" s="203"/>
      <c r="BV121" s="203"/>
      <c r="BW121" s="203"/>
      <c r="BX121" s="203"/>
      <c r="BY121" s="203"/>
      <c r="BZ121" s="203"/>
      <c r="CA121" s="203"/>
      <c r="CB121" s="203"/>
      <c r="CC121" s="203"/>
      <c r="CD121" s="203"/>
      <c r="CE121" s="203"/>
      <c r="CF121" s="203"/>
      <c r="CG121" s="203"/>
      <c r="CH121" s="203"/>
      <c r="CI121" s="203"/>
      <c r="CJ121" s="203"/>
      <c r="CK121" s="203"/>
    </row>
    <row r="122" spans="28:89" s="196" customFormat="1">
      <c r="AB122" s="201"/>
      <c r="AC122" s="201"/>
      <c r="AD122" s="197"/>
      <c r="AE122" s="197"/>
      <c r="AF122" s="197"/>
      <c r="AG122" s="197"/>
      <c r="AH122" s="197"/>
      <c r="AI122" s="197"/>
      <c r="AJ122" s="197"/>
      <c r="AK122" s="197"/>
      <c r="AL122" s="197"/>
      <c r="AM122" s="197"/>
      <c r="AN122" s="202"/>
      <c r="AO122" s="202"/>
      <c r="AP122" s="202"/>
      <c r="AQ122" s="205"/>
      <c r="AR122" s="205">
        <v>120</v>
      </c>
      <c r="AS122" s="204">
        <v>1290</v>
      </c>
      <c r="AT122" s="205"/>
      <c r="AU122" s="205"/>
      <c r="AV122" s="205"/>
      <c r="AW122" s="205"/>
      <c r="AX122" s="204"/>
      <c r="AY122" s="204"/>
      <c r="AZ122" s="204"/>
      <c r="BA122" s="204"/>
      <c r="BB122" s="204"/>
      <c r="BC122" s="204"/>
      <c r="BD122" s="204"/>
      <c r="BE122" s="204"/>
      <c r="BF122" s="204"/>
      <c r="BG122" s="204"/>
      <c r="BH122" s="204"/>
      <c r="BI122" s="204"/>
      <c r="BJ122" s="204"/>
      <c r="BK122" s="204"/>
      <c r="BL122" s="204"/>
      <c r="BM122" s="204"/>
      <c r="BN122" s="204"/>
      <c r="BO122" s="204"/>
      <c r="BP122" s="204"/>
      <c r="BQ122" s="204"/>
      <c r="BR122" s="204"/>
      <c r="BS122" s="204"/>
      <c r="BT122" s="204"/>
      <c r="BU122" s="203"/>
      <c r="BV122" s="203"/>
      <c r="BW122" s="203"/>
      <c r="BX122" s="203"/>
      <c r="BY122" s="203"/>
      <c r="BZ122" s="203"/>
      <c r="CA122" s="203"/>
      <c r="CB122" s="203"/>
      <c r="CC122" s="203"/>
      <c r="CD122" s="203"/>
      <c r="CE122" s="203"/>
      <c r="CF122" s="203"/>
      <c r="CG122" s="203"/>
      <c r="CH122" s="203"/>
      <c r="CI122" s="203"/>
      <c r="CJ122" s="203"/>
      <c r="CK122" s="203"/>
    </row>
    <row r="123" spans="28:89" s="196" customFormat="1">
      <c r="AB123" s="201"/>
      <c r="AC123" s="201"/>
      <c r="AD123" s="197"/>
      <c r="AE123" s="197"/>
      <c r="AF123" s="197"/>
      <c r="AG123" s="197"/>
      <c r="AH123" s="197"/>
      <c r="AI123" s="197"/>
      <c r="AJ123" s="197"/>
      <c r="AK123" s="197"/>
      <c r="AL123" s="197"/>
      <c r="AM123" s="197"/>
      <c r="AN123" s="202"/>
      <c r="AO123" s="202"/>
      <c r="AP123" s="202"/>
      <c r="AQ123" s="205"/>
      <c r="AR123" s="205">
        <v>121</v>
      </c>
      <c r="AS123" s="204">
        <v>1300</v>
      </c>
      <c r="AT123" s="205"/>
      <c r="AU123" s="205"/>
      <c r="AV123" s="205"/>
      <c r="AW123" s="205"/>
      <c r="AX123" s="204"/>
      <c r="AY123" s="204"/>
      <c r="AZ123" s="204"/>
      <c r="BA123" s="204"/>
      <c r="BB123" s="204"/>
      <c r="BC123" s="204"/>
      <c r="BD123" s="204"/>
      <c r="BE123" s="204"/>
      <c r="BF123" s="204"/>
      <c r="BG123" s="204"/>
      <c r="BH123" s="204"/>
      <c r="BI123" s="204"/>
      <c r="BJ123" s="204"/>
      <c r="BK123" s="204"/>
      <c r="BL123" s="204"/>
      <c r="BM123" s="204"/>
      <c r="BN123" s="204"/>
      <c r="BO123" s="204"/>
      <c r="BP123" s="204"/>
      <c r="BQ123" s="204"/>
      <c r="BR123" s="204"/>
      <c r="BS123" s="204"/>
      <c r="BT123" s="204"/>
      <c r="BU123" s="203"/>
      <c r="BV123" s="203"/>
      <c r="BW123" s="203"/>
      <c r="BX123" s="203"/>
      <c r="BY123" s="203"/>
      <c r="BZ123" s="203"/>
      <c r="CA123" s="203"/>
      <c r="CB123" s="203"/>
      <c r="CC123" s="203"/>
      <c r="CD123" s="203"/>
      <c r="CE123" s="203"/>
      <c r="CF123" s="203"/>
      <c r="CG123" s="203"/>
      <c r="CH123" s="203"/>
      <c r="CI123" s="203"/>
      <c r="CJ123" s="203"/>
      <c r="CK123" s="203"/>
    </row>
    <row r="124" spans="28:89" s="196" customFormat="1">
      <c r="AB124" s="201"/>
      <c r="AC124" s="201"/>
      <c r="AD124" s="197"/>
      <c r="AE124" s="197"/>
      <c r="AF124" s="197"/>
      <c r="AG124" s="197"/>
      <c r="AH124" s="197"/>
      <c r="AI124" s="197"/>
      <c r="AJ124" s="197"/>
      <c r="AK124" s="197"/>
      <c r="AL124" s="197"/>
      <c r="AM124" s="197"/>
      <c r="AN124" s="202"/>
      <c r="AO124" s="202"/>
      <c r="AP124" s="202"/>
      <c r="AQ124" s="205"/>
      <c r="AR124" s="205">
        <v>122</v>
      </c>
      <c r="AS124" s="204">
        <v>1310</v>
      </c>
      <c r="AT124" s="205"/>
      <c r="AU124" s="205"/>
      <c r="AV124" s="205"/>
      <c r="AW124" s="205"/>
      <c r="AX124" s="204"/>
      <c r="AY124" s="204"/>
      <c r="AZ124" s="204"/>
      <c r="BA124" s="204"/>
      <c r="BB124" s="204"/>
      <c r="BC124" s="204"/>
      <c r="BD124" s="204"/>
      <c r="BE124" s="204"/>
      <c r="BF124" s="204"/>
      <c r="BG124" s="204"/>
      <c r="BH124" s="204"/>
      <c r="BI124" s="204"/>
      <c r="BJ124" s="204"/>
      <c r="BK124" s="204"/>
      <c r="BL124" s="204"/>
      <c r="BM124" s="204"/>
      <c r="BN124" s="204"/>
      <c r="BO124" s="204"/>
      <c r="BP124" s="204"/>
      <c r="BQ124" s="204"/>
      <c r="BR124" s="204"/>
      <c r="BS124" s="204"/>
      <c r="BT124" s="204"/>
      <c r="BU124" s="203"/>
      <c r="BV124" s="203"/>
      <c r="BW124" s="203"/>
      <c r="BX124" s="203"/>
      <c r="BY124" s="203"/>
      <c r="BZ124" s="203"/>
      <c r="CA124" s="203"/>
      <c r="CB124" s="203"/>
      <c r="CC124" s="203"/>
      <c r="CD124" s="203"/>
      <c r="CE124" s="203"/>
      <c r="CF124" s="203"/>
      <c r="CG124" s="203"/>
      <c r="CH124" s="203"/>
      <c r="CI124" s="203"/>
      <c r="CJ124" s="203"/>
      <c r="CK124" s="203"/>
    </row>
    <row r="125" spans="28:89" s="196" customFormat="1">
      <c r="AB125" s="201"/>
      <c r="AC125" s="201"/>
      <c r="AD125" s="197"/>
      <c r="AE125" s="197"/>
      <c r="AF125" s="197"/>
      <c r="AG125" s="197"/>
      <c r="AH125" s="197"/>
      <c r="AI125" s="197"/>
      <c r="AJ125" s="197"/>
      <c r="AK125" s="197"/>
      <c r="AL125" s="197"/>
      <c r="AM125" s="197"/>
      <c r="AN125" s="202"/>
      <c r="AO125" s="202"/>
      <c r="AP125" s="202"/>
      <c r="AQ125" s="205"/>
      <c r="AR125" s="205">
        <v>123</v>
      </c>
      <c r="AS125" s="204">
        <v>1320</v>
      </c>
      <c r="AT125" s="205"/>
      <c r="AU125" s="205"/>
      <c r="AV125" s="205"/>
      <c r="AW125" s="205"/>
      <c r="AX125" s="204"/>
      <c r="AY125" s="204"/>
      <c r="AZ125" s="204"/>
      <c r="BA125" s="204"/>
      <c r="BB125" s="204"/>
      <c r="BC125" s="204"/>
      <c r="BD125" s="204"/>
      <c r="BE125" s="204"/>
      <c r="BF125" s="204"/>
      <c r="BG125" s="204"/>
      <c r="BH125" s="204"/>
      <c r="BI125" s="204"/>
      <c r="BJ125" s="204"/>
      <c r="BK125" s="204"/>
      <c r="BL125" s="204"/>
      <c r="BM125" s="204"/>
      <c r="BN125" s="204"/>
      <c r="BO125" s="204"/>
      <c r="BP125" s="204"/>
      <c r="BQ125" s="204"/>
      <c r="BR125" s="204"/>
      <c r="BS125" s="204"/>
      <c r="BT125" s="204"/>
      <c r="BU125" s="203"/>
      <c r="BV125" s="203"/>
      <c r="BW125" s="203"/>
      <c r="BX125" s="203"/>
      <c r="BY125" s="203"/>
      <c r="BZ125" s="203"/>
      <c r="CA125" s="203"/>
      <c r="CB125" s="203"/>
      <c r="CC125" s="203"/>
      <c r="CD125" s="203"/>
      <c r="CE125" s="203"/>
      <c r="CF125" s="203"/>
      <c r="CG125" s="203"/>
      <c r="CH125" s="203"/>
      <c r="CI125" s="203"/>
      <c r="CJ125" s="203"/>
      <c r="CK125" s="203"/>
    </row>
    <row r="126" spans="28:89" s="196" customFormat="1">
      <c r="AB126" s="201"/>
      <c r="AC126" s="201"/>
      <c r="AD126" s="197"/>
      <c r="AE126" s="197"/>
      <c r="AF126" s="197"/>
      <c r="AG126" s="197"/>
      <c r="AH126" s="197"/>
      <c r="AI126" s="197"/>
      <c r="AJ126" s="197"/>
      <c r="AK126" s="197"/>
      <c r="AL126" s="197"/>
      <c r="AM126" s="197"/>
      <c r="AN126" s="202"/>
      <c r="AO126" s="202"/>
      <c r="AP126" s="202"/>
      <c r="AQ126" s="205"/>
      <c r="AR126" s="205">
        <v>124</v>
      </c>
      <c r="AS126" s="204">
        <v>1330</v>
      </c>
      <c r="AT126" s="205"/>
      <c r="AU126" s="205"/>
      <c r="AV126" s="205"/>
      <c r="AW126" s="205"/>
      <c r="AX126" s="204"/>
      <c r="AY126" s="204"/>
      <c r="AZ126" s="204"/>
      <c r="BA126" s="204"/>
      <c r="BB126" s="204"/>
      <c r="BC126" s="204"/>
      <c r="BD126" s="204"/>
      <c r="BE126" s="204"/>
      <c r="BF126" s="204"/>
      <c r="BG126" s="204"/>
      <c r="BH126" s="204"/>
      <c r="BI126" s="204"/>
      <c r="BJ126" s="204"/>
      <c r="BK126" s="204"/>
      <c r="BL126" s="204"/>
      <c r="BM126" s="204"/>
      <c r="BN126" s="204"/>
      <c r="BO126" s="204"/>
      <c r="BP126" s="204"/>
      <c r="BQ126" s="204"/>
      <c r="BR126" s="204"/>
      <c r="BS126" s="204"/>
      <c r="BT126" s="204"/>
      <c r="BU126" s="203"/>
      <c r="BV126" s="203"/>
      <c r="BW126" s="203"/>
      <c r="BX126" s="203"/>
      <c r="BY126" s="203"/>
      <c r="BZ126" s="203"/>
      <c r="CA126" s="203"/>
      <c r="CB126" s="203"/>
      <c r="CC126" s="203"/>
      <c r="CD126" s="203"/>
      <c r="CE126" s="203"/>
      <c r="CF126" s="203"/>
      <c r="CG126" s="203"/>
      <c r="CH126" s="203"/>
      <c r="CI126" s="203"/>
      <c r="CJ126" s="203"/>
      <c r="CK126" s="203"/>
    </row>
    <row r="127" spans="28:89" s="196" customFormat="1">
      <c r="AB127" s="201"/>
      <c r="AC127" s="201"/>
      <c r="AD127" s="197"/>
      <c r="AE127" s="197"/>
      <c r="AF127" s="197"/>
      <c r="AG127" s="197"/>
      <c r="AH127" s="197"/>
      <c r="AI127" s="197"/>
      <c r="AJ127" s="197"/>
      <c r="AK127" s="197"/>
      <c r="AL127" s="197"/>
      <c r="AM127" s="197"/>
      <c r="AN127" s="202"/>
      <c r="AO127" s="202"/>
      <c r="AP127" s="202"/>
      <c r="AQ127" s="205"/>
      <c r="AR127" s="205">
        <v>125</v>
      </c>
      <c r="AS127" s="204">
        <v>1340</v>
      </c>
      <c r="AT127" s="205"/>
      <c r="AU127" s="205"/>
      <c r="AV127" s="205"/>
      <c r="AW127" s="205"/>
      <c r="AX127" s="204"/>
      <c r="AY127" s="204"/>
      <c r="AZ127" s="204"/>
      <c r="BA127" s="204"/>
      <c r="BB127" s="204"/>
      <c r="BC127" s="204"/>
      <c r="BD127" s="204"/>
      <c r="BE127" s="204"/>
      <c r="BF127" s="204"/>
      <c r="BG127" s="204"/>
      <c r="BH127" s="204"/>
      <c r="BI127" s="204"/>
      <c r="BJ127" s="204"/>
      <c r="BK127" s="204"/>
      <c r="BL127" s="204"/>
      <c r="BM127" s="204"/>
      <c r="BN127" s="204"/>
      <c r="BO127" s="204"/>
      <c r="BP127" s="204"/>
      <c r="BQ127" s="204"/>
      <c r="BR127" s="204"/>
      <c r="BS127" s="204"/>
      <c r="BT127" s="204"/>
      <c r="BU127" s="203"/>
      <c r="BV127" s="203"/>
      <c r="BW127" s="203"/>
      <c r="BX127" s="203"/>
      <c r="BY127" s="203"/>
      <c r="BZ127" s="203"/>
      <c r="CA127" s="203"/>
      <c r="CB127" s="203"/>
      <c r="CC127" s="203"/>
      <c r="CD127" s="203"/>
      <c r="CE127" s="203"/>
      <c r="CF127" s="203"/>
      <c r="CG127" s="203"/>
      <c r="CH127" s="203"/>
      <c r="CI127" s="203"/>
      <c r="CJ127" s="203"/>
      <c r="CK127" s="203"/>
    </row>
    <row r="128" spans="28:89" s="196" customFormat="1">
      <c r="AB128" s="201"/>
      <c r="AC128" s="201"/>
      <c r="AD128" s="197"/>
      <c r="AE128" s="197"/>
      <c r="AF128" s="197"/>
      <c r="AG128" s="197"/>
      <c r="AH128" s="197"/>
      <c r="AI128" s="197"/>
      <c r="AJ128" s="197"/>
      <c r="AK128" s="197"/>
      <c r="AL128" s="197"/>
      <c r="AM128" s="197"/>
      <c r="AN128" s="202"/>
      <c r="AO128" s="202"/>
      <c r="AP128" s="202"/>
      <c r="AQ128" s="205"/>
      <c r="AR128" s="205">
        <v>126</v>
      </c>
      <c r="AS128" s="204">
        <v>1350</v>
      </c>
      <c r="AT128" s="205"/>
      <c r="AU128" s="205"/>
      <c r="AV128" s="205"/>
      <c r="AW128" s="205"/>
      <c r="AX128" s="204"/>
      <c r="AY128" s="204"/>
      <c r="AZ128" s="204"/>
      <c r="BA128" s="204"/>
      <c r="BB128" s="204"/>
      <c r="BC128" s="204"/>
      <c r="BD128" s="204"/>
      <c r="BE128" s="204"/>
      <c r="BF128" s="204"/>
      <c r="BG128" s="204"/>
      <c r="BH128" s="204"/>
      <c r="BI128" s="204"/>
      <c r="BJ128" s="204"/>
      <c r="BK128" s="204"/>
      <c r="BL128" s="204"/>
      <c r="BM128" s="204"/>
      <c r="BN128" s="204"/>
      <c r="BO128" s="204"/>
      <c r="BP128" s="204"/>
      <c r="BQ128" s="204"/>
      <c r="BR128" s="204"/>
      <c r="BS128" s="204"/>
      <c r="BT128" s="204"/>
      <c r="BU128" s="203"/>
      <c r="BV128" s="203"/>
      <c r="BW128" s="203"/>
      <c r="BX128" s="203"/>
      <c r="BY128" s="203"/>
      <c r="BZ128" s="203"/>
      <c r="CA128" s="203"/>
      <c r="CB128" s="203"/>
      <c r="CC128" s="203"/>
      <c r="CD128" s="203"/>
      <c r="CE128" s="203"/>
      <c r="CF128" s="203"/>
      <c r="CG128" s="203"/>
      <c r="CH128" s="203"/>
      <c r="CI128" s="203"/>
      <c r="CJ128" s="203"/>
      <c r="CK128" s="203"/>
    </row>
    <row r="129" spans="28:89" s="196" customFormat="1">
      <c r="AB129" s="201"/>
      <c r="AC129" s="201"/>
      <c r="AD129" s="197"/>
      <c r="AE129" s="197"/>
      <c r="AF129" s="197"/>
      <c r="AG129" s="197"/>
      <c r="AH129" s="197"/>
      <c r="AI129" s="197"/>
      <c r="AJ129" s="197"/>
      <c r="AK129" s="197"/>
      <c r="AL129" s="197"/>
      <c r="AM129" s="197"/>
      <c r="AN129" s="202"/>
      <c r="AO129" s="202"/>
      <c r="AP129" s="202"/>
      <c r="AQ129" s="205"/>
      <c r="AR129" s="205">
        <v>127</v>
      </c>
      <c r="AS129" s="204">
        <v>1360</v>
      </c>
      <c r="AT129" s="205"/>
      <c r="AU129" s="205"/>
      <c r="AV129" s="205"/>
      <c r="AW129" s="205"/>
      <c r="AX129" s="204"/>
      <c r="AY129" s="204"/>
      <c r="AZ129" s="204"/>
      <c r="BA129" s="204"/>
      <c r="BB129" s="204"/>
      <c r="BC129" s="204"/>
      <c r="BD129" s="204"/>
      <c r="BE129" s="204"/>
      <c r="BF129" s="204"/>
      <c r="BG129" s="204"/>
      <c r="BH129" s="204"/>
      <c r="BI129" s="204"/>
      <c r="BJ129" s="204"/>
      <c r="BK129" s="204"/>
      <c r="BL129" s="204"/>
      <c r="BM129" s="204"/>
      <c r="BN129" s="204"/>
      <c r="BO129" s="204"/>
      <c r="BP129" s="204"/>
      <c r="BQ129" s="204"/>
      <c r="BR129" s="204"/>
      <c r="BS129" s="204"/>
      <c r="BT129" s="204"/>
      <c r="BU129" s="203"/>
      <c r="BV129" s="203"/>
      <c r="BW129" s="203"/>
      <c r="BX129" s="203"/>
      <c r="BY129" s="203"/>
      <c r="BZ129" s="203"/>
      <c r="CA129" s="203"/>
      <c r="CB129" s="203"/>
      <c r="CC129" s="203"/>
      <c r="CD129" s="203"/>
      <c r="CE129" s="203"/>
      <c r="CF129" s="203"/>
      <c r="CG129" s="203"/>
      <c r="CH129" s="203"/>
      <c r="CI129" s="203"/>
      <c r="CJ129" s="203"/>
      <c r="CK129" s="203"/>
    </row>
    <row r="130" spans="28:89" s="196" customFormat="1">
      <c r="AB130" s="201"/>
      <c r="AC130" s="201"/>
      <c r="AD130" s="197"/>
      <c r="AE130" s="197"/>
      <c r="AF130" s="197"/>
      <c r="AG130" s="197"/>
      <c r="AH130" s="197"/>
      <c r="AI130" s="197"/>
      <c r="AJ130" s="197"/>
      <c r="AK130" s="197"/>
      <c r="AL130" s="197"/>
      <c r="AM130" s="197"/>
      <c r="AN130" s="202"/>
      <c r="AO130" s="202"/>
      <c r="AP130" s="202"/>
      <c r="AQ130" s="205"/>
      <c r="AR130" s="205">
        <v>128</v>
      </c>
      <c r="AS130" s="204">
        <v>1370</v>
      </c>
      <c r="AT130" s="205"/>
      <c r="AU130" s="205"/>
      <c r="AV130" s="205"/>
      <c r="AW130" s="205"/>
      <c r="AX130" s="204"/>
      <c r="AY130" s="204"/>
      <c r="AZ130" s="204"/>
      <c r="BA130" s="204"/>
      <c r="BB130" s="204"/>
      <c r="BC130" s="204"/>
      <c r="BD130" s="204"/>
      <c r="BE130" s="204"/>
      <c r="BF130" s="204"/>
      <c r="BG130" s="204"/>
      <c r="BH130" s="204"/>
      <c r="BI130" s="204"/>
      <c r="BJ130" s="204"/>
      <c r="BK130" s="204"/>
      <c r="BL130" s="204"/>
      <c r="BM130" s="204"/>
      <c r="BN130" s="204"/>
      <c r="BO130" s="204"/>
      <c r="BP130" s="204"/>
      <c r="BQ130" s="204"/>
      <c r="BR130" s="204"/>
      <c r="BS130" s="204"/>
      <c r="BT130" s="204"/>
      <c r="BU130" s="203"/>
      <c r="BV130" s="203"/>
      <c r="BW130" s="203"/>
      <c r="BX130" s="203"/>
      <c r="BY130" s="203"/>
      <c r="BZ130" s="203"/>
      <c r="CA130" s="203"/>
      <c r="CB130" s="203"/>
      <c r="CC130" s="203"/>
      <c r="CD130" s="203"/>
      <c r="CE130" s="203"/>
      <c r="CF130" s="203"/>
      <c r="CG130" s="203"/>
      <c r="CH130" s="203"/>
      <c r="CI130" s="203"/>
      <c r="CJ130" s="203"/>
      <c r="CK130" s="203"/>
    </row>
    <row r="131" spans="28:89" s="196" customFormat="1">
      <c r="AB131" s="201"/>
      <c r="AC131" s="201"/>
      <c r="AD131" s="197"/>
      <c r="AE131" s="197"/>
      <c r="AF131" s="197"/>
      <c r="AG131" s="197"/>
      <c r="AH131" s="197"/>
      <c r="AI131" s="197"/>
      <c r="AJ131" s="197"/>
      <c r="AK131" s="197"/>
      <c r="AL131" s="197"/>
      <c r="AM131" s="197"/>
      <c r="AN131" s="202"/>
      <c r="AO131" s="202"/>
      <c r="AP131" s="202"/>
      <c r="AQ131" s="205"/>
      <c r="AR131" s="205">
        <v>129</v>
      </c>
      <c r="AS131" s="204">
        <v>1380</v>
      </c>
      <c r="AT131" s="205"/>
      <c r="AU131" s="205"/>
      <c r="AV131" s="205"/>
      <c r="AW131" s="205"/>
      <c r="AX131" s="204"/>
      <c r="AY131" s="204"/>
      <c r="AZ131" s="204"/>
      <c r="BA131" s="204"/>
      <c r="BB131" s="204"/>
      <c r="BC131" s="204"/>
      <c r="BD131" s="204"/>
      <c r="BE131" s="204"/>
      <c r="BF131" s="204"/>
      <c r="BG131" s="204"/>
      <c r="BH131" s="204"/>
      <c r="BI131" s="204"/>
      <c r="BJ131" s="204"/>
      <c r="BK131" s="204"/>
      <c r="BL131" s="204"/>
      <c r="BM131" s="204"/>
      <c r="BN131" s="204"/>
      <c r="BO131" s="204"/>
      <c r="BP131" s="204"/>
      <c r="BQ131" s="204"/>
      <c r="BR131" s="204"/>
      <c r="BS131" s="204"/>
      <c r="BT131" s="204"/>
      <c r="BU131" s="203"/>
      <c r="BV131" s="203"/>
      <c r="BW131" s="203"/>
      <c r="BX131" s="203"/>
      <c r="BY131" s="203"/>
      <c r="BZ131" s="203"/>
      <c r="CA131" s="203"/>
      <c r="CB131" s="203"/>
      <c r="CC131" s="203"/>
      <c r="CD131" s="203"/>
      <c r="CE131" s="203"/>
      <c r="CF131" s="203"/>
      <c r="CG131" s="203"/>
      <c r="CH131" s="203"/>
      <c r="CI131" s="203"/>
      <c r="CJ131" s="203"/>
      <c r="CK131" s="203"/>
    </row>
    <row r="132" spans="28:89" s="196" customFormat="1">
      <c r="AB132" s="201"/>
      <c r="AC132" s="201"/>
      <c r="AD132" s="197"/>
      <c r="AE132" s="197"/>
      <c r="AF132" s="197"/>
      <c r="AG132" s="197"/>
      <c r="AH132" s="197"/>
      <c r="AI132" s="197"/>
      <c r="AJ132" s="197"/>
      <c r="AK132" s="197"/>
      <c r="AL132" s="197"/>
      <c r="AM132" s="197"/>
      <c r="AN132" s="202"/>
      <c r="AO132" s="202"/>
      <c r="AP132" s="202"/>
      <c r="AQ132" s="205"/>
      <c r="AR132" s="205">
        <v>130</v>
      </c>
      <c r="AS132" s="204">
        <v>1390</v>
      </c>
      <c r="AT132" s="205"/>
      <c r="AU132" s="205"/>
      <c r="AV132" s="205"/>
      <c r="AW132" s="205"/>
      <c r="AX132" s="204"/>
      <c r="AY132" s="204"/>
      <c r="AZ132" s="204"/>
      <c r="BA132" s="204"/>
      <c r="BB132" s="204"/>
      <c r="BC132" s="204"/>
      <c r="BD132" s="204"/>
      <c r="BE132" s="204"/>
      <c r="BF132" s="204"/>
      <c r="BG132" s="204"/>
      <c r="BH132" s="204"/>
      <c r="BI132" s="204"/>
      <c r="BJ132" s="204"/>
      <c r="BK132" s="204"/>
      <c r="BL132" s="204"/>
      <c r="BM132" s="204"/>
      <c r="BN132" s="204"/>
      <c r="BO132" s="204"/>
      <c r="BP132" s="204"/>
      <c r="BQ132" s="204"/>
      <c r="BR132" s="204"/>
      <c r="BS132" s="204"/>
      <c r="BT132" s="204"/>
      <c r="BU132" s="203"/>
      <c r="BV132" s="203"/>
      <c r="BW132" s="203"/>
      <c r="BX132" s="203"/>
      <c r="BY132" s="203"/>
      <c r="BZ132" s="203"/>
      <c r="CA132" s="203"/>
      <c r="CB132" s="203"/>
      <c r="CC132" s="203"/>
      <c r="CD132" s="203"/>
      <c r="CE132" s="203"/>
      <c r="CF132" s="203"/>
      <c r="CG132" s="203"/>
      <c r="CH132" s="203"/>
      <c r="CI132" s="203"/>
      <c r="CJ132" s="203"/>
      <c r="CK132" s="203"/>
    </row>
    <row r="133" spans="28:89" s="196" customFormat="1">
      <c r="AB133" s="201"/>
      <c r="AC133" s="201"/>
      <c r="AD133" s="197"/>
      <c r="AE133" s="197"/>
      <c r="AF133" s="197"/>
      <c r="AG133" s="197"/>
      <c r="AH133" s="197"/>
      <c r="AI133" s="197"/>
      <c r="AJ133" s="197"/>
      <c r="AK133" s="197"/>
      <c r="AL133" s="197"/>
      <c r="AM133" s="197"/>
      <c r="AN133" s="202"/>
      <c r="AO133" s="202"/>
      <c r="AP133" s="202"/>
      <c r="AQ133" s="205"/>
      <c r="AR133" s="205">
        <v>131</v>
      </c>
      <c r="AS133" s="204">
        <v>1400</v>
      </c>
      <c r="AT133" s="205"/>
      <c r="AU133" s="205"/>
      <c r="AV133" s="205"/>
      <c r="AW133" s="205"/>
      <c r="AX133" s="204"/>
      <c r="AY133" s="204"/>
      <c r="AZ133" s="204"/>
      <c r="BA133" s="204"/>
      <c r="BB133" s="204"/>
      <c r="BC133" s="204"/>
      <c r="BD133" s="204"/>
      <c r="BE133" s="204"/>
      <c r="BF133" s="204"/>
      <c r="BG133" s="204"/>
      <c r="BH133" s="204"/>
      <c r="BI133" s="204"/>
      <c r="BJ133" s="204"/>
      <c r="BK133" s="204"/>
      <c r="BL133" s="204"/>
      <c r="BM133" s="204"/>
      <c r="BN133" s="204"/>
      <c r="BO133" s="204"/>
      <c r="BP133" s="204"/>
      <c r="BQ133" s="204"/>
      <c r="BR133" s="204"/>
      <c r="BS133" s="204"/>
      <c r="BT133" s="204"/>
      <c r="BU133" s="203"/>
      <c r="BV133" s="203"/>
      <c r="BW133" s="203"/>
      <c r="BX133" s="203"/>
      <c r="BY133" s="203"/>
      <c r="BZ133" s="203"/>
      <c r="CA133" s="203"/>
      <c r="CB133" s="203"/>
      <c r="CC133" s="203"/>
      <c r="CD133" s="203"/>
      <c r="CE133" s="203"/>
      <c r="CF133" s="203"/>
      <c r="CG133" s="203"/>
      <c r="CH133" s="203"/>
      <c r="CI133" s="203"/>
      <c r="CJ133" s="203"/>
      <c r="CK133" s="203"/>
    </row>
    <row r="134" spans="28:89" s="196" customFormat="1">
      <c r="AB134" s="201"/>
      <c r="AC134" s="201"/>
      <c r="AD134" s="197"/>
      <c r="AE134" s="197"/>
      <c r="AF134" s="197"/>
      <c r="AG134" s="197"/>
      <c r="AH134" s="197"/>
      <c r="AI134" s="197"/>
      <c r="AJ134" s="197"/>
      <c r="AK134" s="197"/>
      <c r="AL134" s="197"/>
      <c r="AM134" s="197"/>
      <c r="AN134" s="202"/>
      <c r="AO134" s="202"/>
      <c r="AP134" s="202"/>
      <c r="AQ134" s="205"/>
      <c r="AR134" s="205">
        <v>132</v>
      </c>
      <c r="AS134" s="204">
        <v>1410</v>
      </c>
      <c r="AT134" s="205"/>
      <c r="AU134" s="205"/>
      <c r="AV134" s="205"/>
      <c r="AW134" s="205"/>
      <c r="AX134" s="204"/>
      <c r="AY134" s="204"/>
      <c r="AZ134" s="204"/>
      <c r="BA134" s="204"/>
      <c r="BB134" s="204"/>
      <c r="BC134" s="204"/>
      <c r="BD134" s="204"/>
      <c r="BE134" s="204"/>
      <c r="BF134" s="204"/>
      <c r="BG134" s="204"/>
      <c r="BH134" s="204"/>
      <c r="BI134" s="204"/>
      <c r="BJ134" s="204"/>
      <c r="BK134" s="204"/>
      <c r="BL134" s="204"/>
      <c r="BM134" s="204"/>
      <c r="BN134" s="204"/>
      <c r="BO134" s="204"/>
      <c r="BP134" s="204"/>
      <c r="BQ134" s="204"/>
      <c r="BR134" s="204"/>
      <c r="BS134" s="204"/>
      <c r="BT134" s="204"/>
      <c r="BU134" s="203"/>
      <c r="BV134" s="203"/>
      <c r="BW134" s="203"/>
      <c r="BX134" s="203"/>
      <c r="BY134" s="203"/>
      <c r="BZ134" s="203"/>
      <c r="CA134" s="203"/>
      <c r="CB134" s="203"/>
      <c r="CC134" s="203"/>
      <c r="CD134" s="203"/>
      <c r="CE134" s="203"/>
      <c r="CF134" s="203"/>
      <c r="CG134" s="203"/>
      <c r="CH134" s="203"/>
      <c r="CI134" s="203"/>
      <c r="CJ134" s="203"/>
      <c r="CK134" s="203"/>
    </row>
    <row r="135" spans="28:89" s="196" customFormat="1">
      <c r="AB135" s="201"/>
      <c r="AC135" s="201"/>
      <c r="AD135" s="197"/>
      <c r="AE135" s="197"/>
      <c r="AF135" s="197"/>
      <c r="AG135" s="197"/>
      <c r="AH135" s="197"/>
      <c r="AI135" s="197"/>
      <c r="AJ135" s="197"/>
      <c r="AK135" s="197"/>
      <c r="AL135" s="197"/>
      <c r="AM135" s="197"/>
      <c r="AN135" s="202"/>
      <c r="AO135" s="202"/>
      <c r="AP135" s="202"/>
      <c r="AQ135" s="205"/>
      <c r="AR135" s="205">
        <v>133</v>
      </c>
      <c r="AS135" s="204">
        <v>1420</v>
      </c>
      <c r="AT135" s="205"/>
      <c r="AU135" s="205"/>
      <c r="AV135" s="205"/>
      <c r="AW135" s="205"/>
      <c r="AX135" s="204"/>
      <c r="AY135" s="204"/>
      <c r="AZ135" s="204"/>
      <c r="BA135" s="204"/>
      <c r="BB135" s="204"/>
      <c r="BC135" s="204"/>
      <c r="BD135" s="204"/>
      <c r="BE135" s="204"/>
      <c r="BF135" s="204"/>
      <c r="BG135" s="204"/>
      <c r="BH135" s="204"/>
      <c r="BI135" s="204"/>
      <c r="BJ135" s="204"/>
      <c r="BK135" s="204"/>
      <c r="BL135" s="204"/>
      <c r="BM135" s="204"/>
      <c r="BN135" s="204"/>
      <c r="BO135" s="204"/>
      <c r="BP135" s="204"/>
      <c r="BQ135" s="204"/>
      <c r="BR135" s="204"/>
      <c r="BS135" s="204"/>
      <c r="BT135" s="204"/>
      <c r="BU135" s="203"/>
      <c r="BV135" s="203"/>
      <c r="BW135" s="203"/>
      <c r="BX135" s="203"/>
      <c r="BY135" s="203"/>
      <c r="BZ135" s="203"/>
      <c r="CA135" s="203"/>
      <c r="CB135" s="203"/>
      <c r="CC135" s="203"/>
      <c r="CD135" s="203"/>
      <c r="CE135" s="203"/>
      <c r="CF135" s="203"/>
      <c r="CG135" s="203"/>
      <c r="CH135" s="203"/>
      <c r="CI135" s="203"/>
      <c r="CJ135" s="203"/>
      <c r="CK135" s="203"/>
    </row>
    <row r="136" spans="28:89" s="196" customFormat="1">
      <c r="AB136" s="201"/>
      <c r="AC136" s="201"/>
      <c r="AD136" s="197"/>
      <c r="AE136" s="197"/>
      <c r="AF136" s="197"/>
      <c r="AG136" s="197"/>
      <c r="AH136" s="197"/>
      <c r="AI136" s="197"/>
      <c r="AJ136" s="197"/>
      <c r="AK136" s="197"/>
      <c r="AL136" s="197"/>
      <c r="AM136" s="197"/>
      <c r="AN136" s="202"/>
      <c r="AO136" s="202"/>
      <c r="AP136" s="202"/>
      <c r="AQ136" s="205"/>
      <c r="AR136" s="205">
        <v>134</v>
      </c>
      <c r="AS136" s="204">
        <v>1430</v>
      </c>
      <c r="AT136" s="205"/>
      <c r="AU136" s="205"/>
      <c r="AV136" s="205"/>
      <c r="AW136" s="205"/>
      <c r="AX136" s="204"/>
      <c r="AY136" s="204"/>
      <c r="AZ136" s="204"/>
      <c r="BA136" s="204"/>
      <c r="BB136" s="204"/>
      <c r="BC136" s="204"/>
      <c r="BD136" s="204"/>
      <c r="BE136" s="204"/>
      <c r="BF136" s="204"/>
      <c r="BG136" s="204"/>
      <c r="BH136" s="204"/>
      <c r="BI136" s="204"/>
      <c r="BJ136" s="204"/>
      <c r="BK136" s="204"/>
      <c r="BL136" s="204"/>
      <c r="BM136" s="204"/>
      <c r="BN136" s="204"/>
      <c r="BO136" s="204"/>
      <c r="BP136" s="204"/>
      <c r="BQ136" s="204"/>
      <c r="BR136" s="204"/>
      <c r="BS136" s="204"/>
      <c r="BT136" s="204"/>
      <c r="BU136" s="203"/>
      <c r="BV136" s="203"/>
      <c r="BW136" s="203"/>
      <c r="BX136" s="203"/>
      <c r="BY136" s="203"/>
      <c r="BZ136" s="203"/>
      <c r="CA136" s="203"/>
      <c r="CB136" s="203"/>
      <c r="CC136" s="203"/>
      <c r="CD136" s="203"/>
      <c r="CE136" s="203"/>
      <c r="CF136" s="203"/>
      <c r="CG136" s="203"/>
      <c r="CH136" s="203"/>
      <c r="CI136" s="203"/>
      <c r="CJ136" s="203"/>
      <c r="CK136" s="203"/>
    </row>
    <row r="137" spans="28:89" s="196" customFormat="1">
      <c r="AB137" s="201"/>
      <c r="AC137" s="201"/>
      <c r="AD137" s="197"/>
      <c r="AE137" s="197"/>
      <c r="AF137" s="197"/>
      <c r="AG137" s="197"/>
      <c r="AH137" s="197"/>
      <c r="AI137" s="197"/>
      <c r="AJ137" s="197"/>
      <c r="AK137" s="197"/>
      <c r="AL137" s="197"/>
      <c r="AM137" s="197"/>
      <c r="AN137" s="202"/>
      <c r="AO137" s="202"/>
      <c r="AP137" s="202"/>
      <c r="AQ137" s="205"/>
      <c r="AR137" s="205">
        <v>135</v>
      </c>
      <c r="AS137" s="204">
        <v>1440</v>
      </c>
      <c r="AT137" s="205"/>
      <c r="AU137" s="205"/>
      <c r="AV137" s="205"/>
      <c r="AW137" s="205"/>
      <c r="AX137" s="204"/>
      <c r="AY137" s="204"/>
      <c r="AZ137" s="204"/>
      <c r="BA137" s="204"/>
      <c r="BB137" s="204"/>
      <c r="BC137" s="204"/>
      <c r="BD137" s="204"/>
      <c r="BE137" s="204"/>
      <c r="BF137" s="204"/>
      <c r="BG137" s="204"/>
      <c r="BH137" s="204"/>
      <c r="BI137" s="204"/>
      <c r="BJ137" s="204"/>
      <c r="BK137" s="204"/>
      <c r="BL137" s="204"/>
      <c r="BM137" s="204"/>
      <c r="BN137" s="204"/>
      <c r="BO137" s="204"/>
      <c r="BP137" s="204"/>
      <c r="BQ137" s="204"/>
      <c r="BR137" s="204"/>
      <c r="BS137" s="204"/>
      <c r="BT137" s="204"/>
      <c r="BU137" s="203"/>
      <c r="BV137" s="203"/>
      <c r="BW137" s="203"/>
      <c r="BX137" s="203"/>
      <c r="BY137" s="203"/>
      <c r="BZ137" s="203"/>
      <c r="CA137" s="203"/>
      <c r="CB137" s="203"/>
      <c r="CC137" s="203"/>
      <c r="CD137" s="203"/>
      <c r="CE137" s="203"/>
      <c r="CF137" s="203"/>
      <c r="CG137" s="203"/>
      <c r="CH137" s="203"/>
      <c r="CI137" s="203"/>
      <c r="CJ137" s="203"/>
      <c r="CK137" s="203"/>
    </row>
    <row r="138" spans="28:89" s="196" customFormat="1">
      <c r="AB138" s="201"/>
      <c r="AC138" s="201"/>
      <c r="AD138" s="197"/>
      <c r="AE138" s="197"/>
      <c r="AF138" s="197"/>
      <c r="AG138" s="197"/>
      <c r="AH138" s="197"/>
      <c r="AI138" s="197"/>
      <c r="AJ138" s="197"/>
      <c r="AK138" s="197"/>
      <c r="AL138" s="197"/>
      <c r="AM138" s="197"/>
      <c r="AN138" s="202"/>
      <c r="AO138" s="202"/>
      <c r="AP138" s="202"/>
      <c r="AQ138" s="205"/>
      <c r="AR138" s="205">
        <v>136</v>
      </c>
      <c r="AS138" s="204">
        <v>1450</v>
      </c>
      <c r="AT138" s="205"/>
      <c r="AU138" s="205"/>
      <c r="AV138" s="205"/>
      <c r="AW138" s="205"/>
      <c r="AX138" s="204"/>
      <c r="AY138" s="204"/>
      <c r="AZ138" s="204"/>
      <c r="BA138" s="204"/>
      <c r="BB138" s="204"/>
      <c r="BC138" s="204"/>
      <c r="BD138" s="204"/>
      <c r="BE138" s="204"/>
      <c r="BF138" s="204"/>
      <c r="BG138" s="204"/>
      <c r="BH138" s="204"/>
      <c r="BI138" s="204"/>
      <c r="BJ138" s="204"/>
      <c r="BK138" s="204"/>
      <c r="BL138" s="204"/>
      <c r="BM138" s="204"/>
      <c r="BN138" s="204"/>
      <c r="BO138" s="204"/>
      <c r="BP138" s="204"/>
      <c r="BQ138" s="204"/>
      <c r="BR138" s="204"/>
      <c r="BS138" s="204"/>
      <c r="BT138" s="204"/>
      <c r="BU138" s="203"/>
      <c r="BV138" s="203"/>
      <c r="BW138" s="203"/>
      <c r="BX138" s="203"/>
      <c r="BY138" s="203"/>
      <c r="BZ138" s="203"/>
      <c r="CA138" s="203"/>
      <c r="CB138" s="203"/>
      <c r="CC138" s="203"/>
      <c r="CD138" s="203"/>
      <c r="CE138" s="203"/>
      <c r="CF138" s="203"/>
      <c r="CG138" s="203"/>
      <c r="CH138" s="203"/>
      <c r="CI138" s="203"/>
      <c r="CJ138" s="203"/>
      <c r="CK138" s="203"/>
    </row>
    <row r="139" spans="28:89" s="196" customFormat="1">
      <c r="AB139" s="201"/>
      <c r="AC139" s="201"/>
      <c r="AD139" s="197"/>
      <c r="AE139" s="197"/>
      <c r="AF139" s="197"/>
      <c r="AG139" s="197"/>
      <c r="AH139" s="197"/>
      <c r="AI139" s="197"/>
      <c r="AJ139" s="197"/>
      <c r="AK139" s="197"/>
      <c r="AL139" s="197"/>
      <c r="AM139" s="197"/>
      <c r="AN139" s="202"/>
      <c r="AO139" s="202"/>
      <c r="AP139" s="202"/>
      <c r="AQ139" s="205"/>
      <c r="AR139" s="205">
        <v>137</v>
      </c>
      <c r="AS139" s="204">
        <v>1460</v>
      </c>
      <c r="AT139" s="205"/>
      <c r="AU139" s="205"/>
      <c r="AV139" s="205"/>
      <c r="AW139" s="205"/>
      <c r="AX139" s="204"/>
      <c r="AY139" s="204"/>
      <c r="AZ139" s="204"/>
      <c r="BA139" s="204"/>
      <c r="BB139" s="204"/>
      <c r="BC139" s="204"/>
      <c r="BD139" s="204"/>
      <c r="BE139" s="204"/>
      <c r="BF139" s="204"/>
      <c r="BG139" s="204"/>
      <c r="BH139" s="204"/>
      <c r="BI139" s="204"/>
      <c r="BJ139" s="204"/>
      <c r="BK139" s="204"/>
      <c r="BL139" s="204"/>
      <c r="BM139" s="204"/>
      <c r="BN139" s="204"/>
      <c r="BO139" s="204"/>
      <c r="BP139" s="204"/>
      <c r="BQ139" s="204"/>
      <c r="BR139" s="204"/>
      <c r="BS139" s="204"/>
      <c r="BT139" s="204"/>
      <c r="BU139" s="203"/>
      <c r="BV139" s="203"/>
      <c r="BW139" s="203"/>
      <c r="BX139" s="203"/>
      <c r="BY139" s="203"/>
      <c r="BZ139" s="203"/>
      <c r="CA139" s="203"/>
      <c r="CB139" s="203"/>
      <c r="CC139" s="203"/>
      <c r="CD139" s="203"/>
      <c r="CE139" s="203"/>
      <c r="CF139" s="203"/>
      <c r="CG139" s="203"/>
      <c r="CH139" s="203"/>
      <c r="CI139" s="203"/>
      <c r="CJ139" s="203"/>
      <c r="CK139" s="203"/>
    </row>
    <row r="140" spans="28:89" s="196" customFormat="1">
      <c r="AB140" s="201"/>
      <c r="AC140" s="201"/>
      <c r="AD140" s="197"/>
      <c r="AE140" s="197"/>
      <c r="AF140" s="197"/>
      <c r="AG140" s="197"/>
      <c r="AH140" s="197"/>
      <c r="AI140" s="197"/>
      <c r="AJ140" s="197"/>
      <c r="AK140" s="197"/>
      <c r="AL140" s="197"/>
      <c r="AM140" s="197"/>
      <c r="AN140" s="202"/>
      <c r="AO140" s="202"/>
      <c r="AP140" s="202"/>
      <c r="AQ140" s="205"/>
      <c r="AR140" s="205">
        <v>138</v>
      </c>
      <c r="AS140" s="204">
        <v>1470</v>
      </c>
      <c r="AT140" s="205"/>
      <c r="AU140" s="205"/>
      <c r="AV140" s="205"/>
      <c r="AW140" s="205"/>
      <c r="AX140" s="204"/>
      <c r="AY140" s="204"/>
      <c r="AZ140" s="204"/>
      <c r="BA140" s="204"/>
      <c r="BB140" s="204"/>
      <c r="BC140" s="204"/>
      <c r="BD140" s="204"/>
      <c r="BE140" s="204"/>
      <c r="BF140" s="204"/>
      <c r="BG140" s="204"/>
      <c r="BH140" s="204"/>
      <c r="BI140" s="204"/>
      <c r="BJ140" s="204"/>
      <c r="BK140" s="204"/>
      <c r="BL140" s="204"/>
      <c r="BM140" s="204"/>
      <c r="BN140" s="204"/>
      <c r="BO140" s="204"/>
      <c r="BP140" s="204"/>
      <c r="BQ140" s="204"/>
      <c r="BR140" s="204"/>
      <c r="BS140" s="204"/>
      <c r="BT140" s="204"/>
      <c r="BU140" s="203"/>
      <c r="BV140" s="203"/>
      <c r="BW140" s="203"/>
      <c r="BX140" s="203"/>
      <c r="BY140" s="203"/>
      <c r="BZ140" s="203"/>
      <c r="CA140" s="203"/>
      <c r="CB140" s="203"/>
      <c r="CC140" s="203"/>
      <c r="CD140" s="203"/>
      <c r="CE140" s="203"/>
      <c r="CF140" s="203"/>
      <c r="CG140" s="203"/>
      <c r="CH140" s="203"/>
      <c r="CI140" s="203"/>
      <c r="CJ140" s="203"/>
      <c r="CK140" s="203"/>
    </row>
    <row r="141" spans="28:89" s="196" customFormat="1">
      <c r="AB141" s="201"/>
      <c r="AC141" s="201"/>
      <c r="AD141" s="197"/>
      <c r="AE141" s="197"/>
      <c r="AF141" s="197"/>
      <c r="AG141" s="197"/>
      <c r="AH141" s="197"/>
      <c r="AI141" s="197"/>
      <c r="AJ141" s="197"/>
      <c r="AK141" s="197"/>
      <c r="AL141" s="197"/>
      <c r="AM141" s="197"/>
      <c r="AN141" s="202"/>
      <c r="AO141" s="202"/>
      <c r="AP141" s="202"/>
      <c r="AQ141" s="205"/>
      <c r="AR141" s="205">
        <v>139</v>
      </c>
      <c r="AS141" s="204">
        <v>1480</v>
      </c>
      <c r="AT141" s="205"/>
      <c r="AU141" s="205"/>
      <c r="AV141" s="205"/>
      <c r="AW141" s="205"/>
      <c r="AX141" s="204"/>
      <c r="AY141" s="204"/>
      <c r="AZ141" s="204"/>
      <c r="BA141" s="204"/>
      <c r="BB141" s="204"/>
      <c r="BC141" s="204"/>
      <c r="BD141" s="204"/>
      <c r="BE141" s="204"/>
      <c r="BF141" s="204"/>
      <c r="BG141" s="204"/>
      <c r="BH141" s="204"/>
      <c r="BI141" s="204"/>
      <c r="BJ141" s="204"/>
      <c r="BK141" s="204"/>
      <c r="BL141" s="204"/>
      <c r="BM141" s="204"/>
      <c r="BN141" s="204"/>
      <c r="BO141" s="204"/>
      <c r="BP141" s="204"/>
      <c r="BQ141" s="204"/>
      <c r="BR141" s="204"/>
      <c r="BS141" s="204"/>
      <c r="BT141" s="204"/>
      <c r="BU141" s="203"/>
      <c r="BV141" s="203"/>
      <c r="BW141" s="203"/>
      <c r="BX141" s="203"/>
      <c r="BY141" s="203"/>
      <c r="BZ141" s="203"/>
      <c r="CA141" s="203"/>
      <c r="CB141" s="203"/>
      <c r="CC141" s="203"/>
      <c r="CD141" s="203"/>
      <c r="CE141" s="203"/>
      <c r="CF141" s="203"/>
      <c r="CG141" s="203"/>
      <c r="CH141" s="203"/>
      <c r="CI141" s="203"/>
      <c r="CJ141" s="203"/>
      <c r="CK141" s="203"/>
    </row>
    <row r="142" spans="28:89" s="196" customFormat="1">
      <c r="AB142" s="201"/>
      <c r="AC142" s="201"/>
      <c r="AD142" s="197"/>
      <c r="AE142" s="197"/>
      <c r="AF142" s="197"/>
      <c r="AG142" s="197"/>
      <c r="AH142" s="197"/>
      <c r="AI142" s="197"/>
      <c r="AJ142" s="197"/>
      <c r="AK142" s="197"/>
      <c r="AL142" s="197"/>
      <c r="AM142" s="197"/>
      <c r="AN142" s="202"/>
      <c r="AO142" s="202"/>
      <c r="AP142" s="202"/>
      <c r="AQ142" s="205"/>
      <c r="AR142" s="205">
        <v>140</v>
      </c>
      <c r="AS142" s="204">
        <v>1490</v>
      </c>
      <c r="AT142" s="205"/>
      <c r="AU142" s="205"/>
      <c r="AV142" s="205"/>
      <c r="AW142" s="205"/>
      <c r="AX142" s="204"/>
      <c r="AY142" s="204"/>
      <c r="AZ142" s="204"/>
      <c r="BA142" s="204"/>
      <c r="BB142" s="204"/>
      <c r="BC142" s="204"/>
      <c r="BD142" s="204"/>
      <c r="BE142" s="204"/>
      <c r="BF142" s="204"/>
      <c r="BG142" s="204"/>
      <c r="BH142" s="204"/>
      <c r="BI142" s="204"/>
      <c r="BJ142" s="204"/>
      <c r="BK142" s="204"/>
      <c r="BL142" s="204"/>
      <c r="BM142" s="204"/>
      <c r="BN142" s="204"/>
      <c r="BO142" s="204"/>
      <c r="BP142" s="204"/>
      <c r="BQ142" s="204"/>
      <c r="BR142" s="204"/>
      <c r="BS142" s="204"/>
      <c r="BT142" s="204"/>
      <c r="BU142" s="203"/>
      <c r="BV142" s="203"/>
      <c r="BW142" s="203"/>
      <c r="BX142" s="203"/>
      <c r="BY142" s="203"/>
      <c r="BZ142" s="203"/>
      <c r="CA142" s="203"/>
      <c r="CB142" s="203"/>
      <c r="CC142" s="203"/>
      <c r="CD142" s="203"/>
      <c r="CE142" s="203"/>
      <c r="CF142" s="203"/>
      <c r="CG142" s="203"/>
      <c r="CH142" s="203"/>
      <c r="CI142" s="203"/>
      <c r="CJ142" s="203"/>
      <c r="CK142" s="203"/>
    </row>
    <row r="143" spans="28:89" s="196" customFormat="1">
      <c r="AB143" s="201"/>
      <c r="AC143" s="201"/>
      <c r="AD143" s="197"/>
      <c r="AE143" s="197"/>
      <c r="AF143" s="197"/>
      <c r="AG143" s="197"/>
      <c r="AH143" s="197"/>
      <c r="AI143" s="197"/>
      <c r="AJ143" s="197"/>
      <c r="AK143" s="197"/>
      <c r="AL143" s="197"/>
      <c r="AM143" s="197"/>
      <c r="AN143" s="202"/>
      <c r="AO143" s="202"/>
      <c r="AP143" s="202"/>
      <c r="AQ143" s="205"/>
      <c r="AR143" s="205">
        <v>141</v>
      </c>
      <c r="AS143" s="204">
        <v>1500</v>
      </c>
      <c r="AT143" s="205"/>
      <c r="AU143" s="205"/>
      <c r="AV143" s="205"/>
      <c r="AW143" s="205"/>
      <c r="AX143" s="204"/>
      <c r="AY143" s="204"/>
      <c r="AZ143" s="204"/>
      <c r="BA143" s="204"/>
      <c r="BB143" s="204"/>
      <c r="BC143" s="204"/>
      <c r="BD143" s="204"/>
      <c r="BE143" s="204"/>
      <c r="BF143" s="204"/>
      <c r="BG143" s="204"/>
      <c r="BH143" s="204"/>
      <c r="BI143" s="204"/>
      <c r="BJ143" s="204"/>
      <c r="BK143" s="204"/>
      <c r="BL143" s="204"/>
      <c r="BM143" s="204"/>
      <c r="BN143" s="204"/>
      <c r="BO143" s="204"/>
      <c r="BP143" s="204"/>
      <c r="BQ143" s="204"/>
      <c r="BR143" s="204"/>
      <c r="BS143" s="204"/>
      <c r="BT143" s="204"/>
      <c r="BU143" s="203"/>
      <c r="BV143" s="203"/>
      <c r="BW143" s="203"/>
      <c r="BX143" s="203"/>
      <c r="BY143" s="203"/>
      <c r="BZ143" s="203"/>
      <c r="CA143" s="203"/>
      <c r="CB143" s="203"/>
      <c r="CC143" s="203"/>
      <c r="CD143" s="203"/>
      <c r="CE143" s="203"/>
      <c r="CF143" s="203"/>
      <c r="CG143" s="203"/>
      <c r="CH143" s="203"/>
      <c r="CI143" s="203"/>
      <c r="CJ143" s="203"/>
      <c r="CK143" s="203"/>
    </row>
    <row r="144" spans="28:89" s="196" customFormat="1">
      <c r="AB144" s="201"/>
      <c r="AC144" s="201"/>
      <c r="AD144" s="197"/>
      <c r="AE144" s="197"/>
      <c r="AF144" s="197"/>
      <c r="AG144" s="197"/>
      <c r="AH144" s="197"/>
      <c r="AI144" s="197"/>
      <c r="AJ144" s="197"/>
      <c r="AK144" s="197"/>
      <c r="AL144" s="197"/>
      <c r="AM144" s="197"/>
      <c r="AN144" s="202"/>
      <c r="AO144" s="202"/>
      <c r="AP144" s="202"/>
      <c r="AQ144" s="205"/>
      <c r="AR144" s="205">
        <v>142</v>
      </c>
      <c r="AS144" s="204">
        <v>1510</v>
      </c>
      <c r="AT144" s="205"/>
      <c r="AU144" s="205"/>
      <c r="AV144" s="205"/>
      <c r="AW144" s="205"/>
      <c r="AX144" s="204"/>
      <c r="AY144" s="204"/>
      <c r="AZ144" s="204"/>
      <c r="BA144" s="204"/>
      <c r="BB144" s="204"/>
      <c r="BC144" s="204"/>
      <c r="BD144" s="204"/>
      <c r="BE144" s="204"/>
      <c r="BF144" s="204"/>
      <c r="BG144" s="204"/>
      <c r="BH144" s="204"/>
      <c r="BI144" s="204"/>
      <c r="BJ144" s="204"/>
      <c r="BK144" s="204"/>
      <c r="BL144" s="204"/>
      <c r="BM144" s="204"/>
      <c r="BN144" s="204"/>
      <c r="BO144" s="204"/>
      <c r="BP144" s="204"/>
      <c r="BQ144" s="204"/>
      <c r="BR144" s="204"/>
      <c r="BS144" s="204"/>
      <c r="BT144" s="204"/>
      <c r="BU144" s="203"/>
      <c r="BV144" s="203"/>
      <c r="BW144" s="203"/>
      <c r="BX144" s="203"/>
      <c r="BY144" s="203"/>
      <c r="BZ144" s="203"/>
      <c r="CA144" s="203"/>
      <c r="CB144" s="203"/>
      <c r="CC144" s="203"/>
      <c r="CD144" s="203"/>
      <c r="CE144" s="203"/>
      <c r="CF144" s="203"/>
      <c r="CG144" s="203"/>
      <c r="CH144" s="203"/>
      <c r="CI144" s="203"/>
      <c r="CJ144" s="203"/>
      <c r="CK144" s="203"/>
    </row>
    <row r="145" spans="28:89" s="196" customFormat="1">
      <c r="AB145" s="201"/>
      <c r="AC145" s="201"/>
      <c r="AD145" s="197"/>
      <c r="AE145" s="197"/>
      <c r="AF145" s="197"/>
      <c r="AG145" s="197"/>
      <c r="AH145" s="197"/>
      <c r="AI145" s="197"/>
      <c r="AJ145" s="197"/>
      <c r="AK145" s="197"/>
      <c r="AL145" s="197"/>
      <c r="AM145" s="197"/>
      <c r="AN145" s="202"/>
      <c r="AO145" s="202"/>
      <c r="AP145" s="202"/>
      <c r="AQ145" s="205"/>
      <c r="AR145" s="205">
        <v>143</v>
      </c>
      <c r="AS145" s="204">
        <v>1520</v>
      </c>
      <c r="AT145" s="205"/>
      <c r="AU145" s="205"/>
      <c r="AV145" s="205"/>
      <c r="AW145" s="205"/>
      <c r="AX145" s="204"/>
      <c r="AY145" s="204"/>
      <c r="AZ145" s="204"/>
      <c r="BA145" s="204"/>
      <c r="BB145" s="204"/>
      <c r="BC145" s="204"/>
      <c r="BD145" s="204"/>
      <c r="BE145" s="204"/>
      <c r="BF145" s="204"/>
      <c r="BG145" s="204"/>
      <c r="BH145" s="204"/>
      <c r="BI145" s="204"/>
      <c r="BJ145" s="204"/>
      <c r="BK145" s="204"/>
      <c r="BL145" s="204"/>
      <c r="BM145" s="204"/>
      <c r="BN145" s="204"/>
      <c r="BO145" s="204"/>
      <c r="BP145" s="204"/>
      <c r="BQ145" s="204"/>
      <c r="BR145" s="204"/>
      <c r="BS145" s="204"/>
      <c r="BT145" s="204"/>
      <c r="BU145" s="203"/>
      <c r="BV145" s="203"/>
      <c r="BW145" s="203"/>
      <c r="BX145" s="203"/>
      <c r="BY145" s="203"/>
      <c r="BZ145" s="203"/>
      <c r="CA145" s="203"/>
      <c r="CB145" s="203"/>
      <c r="CC145" s="203"/>
      <c r="CD145" s="203"/>
      <c r="CE145" s="203"/>
      <c r="CF145" s="203"/>
      <c r="CG145" s="203"/>
      <c r="CH145" s="203"/>
      <c r="CI145" s="203"/>
      <c r="CJ145" s="203"/>
      <c r="CK145" s="203"/>
    </row>
    <row r="146" spans="28:89" s="196" customFormat="1">
      <c r="AB146" s="201"/>
      <c r="AC146" s="201"/>
      <c r="AD146" s="197"/>
      <c r="AE146" s="197"/>
      <c r="AF146" s="197"/>
      <c r="AG146" s="197"/>
      <c r="AH146" s="197"/>
      <c r="AI146" s="197"/>
      <c r="AJ146" s="197"/>
      <c r="AK146" s="197"/>
      <c r="AL146" s="197"/>
      <c r="AM146" s="197"/>
      <c r="AN146" s="202"/>
      <c r="AO146" s="202"/>
      <c r="AP146" s="202"/>
      <c r="AQ146" s="205"/>
      <c r="AR146" s="205">
        <v>144</v>
      </c>
      <c r="AS146" s="204">
        <v>1530</v>
      </c>
      <c r="AT146" s="205"/>
      <c r="AU146" s="205"/>
      <c r="AV146" s="205"/>
      <c r="AW146" s="205"/>
      <c r="AX146" s="204"/>
      <c r="AY146" s="204"/>
      <c r="AZ146" s="204"/>
      <c r="BA146" s="204"/>
      <c r="BB146" s="204"/>
      <c r="BC146" s="204"/>
      <c r="BD146" s="204"/>
      <c r="BE146" s="204"/>
      <c r="BF146" s="204"/>
      <c r="BG146" s="204"/>
      <c r="BH146" s="204"/>
      <c r="BI146" s="204"/>
      <c r="BJ146" s="204"/>
      <c r="BK146" s="204"/>
      <c r="BL146" s="204"/>
      <c r="BM146" s="204"/>
      <c r="BN146" s="204"/>
      <c r="BO146" s="204"/>
      <c r="BP146" s="204"/>
      <c r="BQ146" s="204"/>
      <c r="BR146" s="204"/>
      <c r="BS146" s="204"/>
      <c r="BT146" s="204"/>
      <c r="BU146" s="203"/>
      <c r="BV146" s="203"/>
      <c r="BW146" s="203"/>
      <c r="BX146" s="203"/>
      <c r="BY146" s="203"/>
      <c r="BZ146" s="203"/>
      <c r="CA146" s="203"/>
      <c r="CB146" s="203"/>
      <c r="CC146" s="203"/>
      <c r="CD146" s="203"/>
      <c r="CE146" s="203"/>
      <c r="CF146" s="203"/>
      <c r="CG146" s="203"/>
      <c r="CH146" s="203"/>
      <c r="CI146" s="203"/>
      <c r="CJ146" s="203"/>
      <c r="CK146" s="203"/>
    </row>
    <row r="147" spans="28:89" s="196" customFormat="1">
      <c r="AB147" s="201"/>
      <c r="AC147" s="201"/>
      <c r="AD147" s="197"/>
      <c r="AE147" s="197"/>
      <c r="AF147" s="197"/>
      <c r="AG147" s="197"/>
      <c r="AH147" s="197"/>
      <c r="AI147" s="197"/>
      <c r="AJ147" s="197"/>
      <c r="AK147" s="197"/>
      <c r="AL147" s="197"/>
      <c r="AM147" s="197"/>
      <c r="AN147" s="202"/>
      <c r="AO147" s="202"/>
      <c r="AP147" s="202"/>
      <c r="AQ147" s="205"/>
      <c r="AR147" s="205">
        <v>145</v>
      </c>
      <c r="AS147" s="204">
        <v>1540</v>
      </c>
      <c r="AT147" s="205"/>
      <c r="AU147" s="205"/>
      <c r="AV147" s="205"/>
      <c r="AW147" s="205"/>
      <c r="AX147" s="204"/>
      <c r="AY147" s="204"/>
      <c r="AZ147" s="204"/>
      <c r="BA147" s="204"/>
      <c r="BB147" s="204"/>
      <c r="BC147" s="204"/>
      <c r="BD147" s="204"/>
      <c r="BE147" s="204"/>
      <c r="BF147" s="204"/>
      <c r="BG147" s="204"/>
      <c r="BH147" s="204"/>
      <c r="BI147" s="204"/>
      <c r="BJ147" s="204"/>
      <c r="BK147" s="204"/>
      <c r="BL147" s="204"/>
      <c r="BM147" s="204"/>
      <c r="BN147" s="204"/>
      <c r="BO147" s="204"/>
      <c r="BP147" s="204"/>
      <c r="BQ147" s="204"/>
      <c r="BR147" s="204"/>
      <c r="BS147" s="204"/>
      <c r="BT147" s="204"/>
      <c r="BU147" s="203"/>
      <c r="BV147" s="203"/>
      <c r="BW147" s="203"/>
      <c r="BX147" s="203"/>
      <c r="BY147" s="203"/>
      <c r="BZ147" s="203"/>
      <c r="CA147" s="203"/>
      <c r="CB147" s="203"/>
      <c r="CC147" s="203"/>
      <c r="CD147" s="203"/>
      <c r="CE147" s="203"/>
      <c r="CF147" s="203"/>
      <c r="CG147" s="203"/>
      <c r="CH147" s="203"/>
      <c r="CI147" s="203"/>
      <c r="CJ147" s="203"/>
      <c r="CK147" s="203"/>
    </row>
    <row r="148" spans="28:89" s="196" customFormat="1">
      <c r="AB148" s="201"/>
      <c r="AC148" s="201"/>
      <c r="AD148" s="197"/>
      <c r="AE148" s="197"/>
      <c r="AF148" s="197"/>
      <c r="AG148" s="197"/>
      <c r="AH148" s="197"/>
      <c r="AI148" s="197"/>
      <c r="AJ148" s="197"/>
      <c r="AK148" s="197"/>
      <c r="AL148" s="197"/>
      <c r="AM148" s="197"/>
      <c r="AN148" s="202"/>
      <c r="AO148" s="202"/>
      <c r="AP148" s="202"/>
      <c r="AQ148" s="205"/>
      <c r="AR148" s="205">
        <v>146</v>
      </c>
      <c r="AS148" s="204">
        <v>1550</v>
      </c>
      <c r="AT148" s="205"/>
      <c r="AU148" s="205"/>
      <c r="AV148" s="205"/>
      <c r="AW148" s="205"/>
      <c r="AX148" s="204"/>
      <c r="AY148" s="204"/>
      <c r="AZ148" s="204"/>
      <c r="BA148" s="204"/>
      <c r="BB148" s="204"/>
      <c r="BC148" s="204"/>
      <c r="BD148" s="204"/>
      <c r="BE148" s="204"/>
      <c r="BF148" s="204"/>
      <c r="BG148" s="204"/>
      <c r="BH148" s="204"/>
      <c r="BI148" s="204"/>
      <c r="BJ148" s="204"/>
      <c r="BK148" s="204"/>
      <c r="BL148" s="204"/>
      <c r="BM148" s="204"/>
      <c r="BN148" s="204"/>
      <c r="BO148" s="204"/>
      <c r="BP148" s="204"/>
      <c r="BQ148" s="204"/>
      <c r="BR148" s="204"/>
      <c r="BS148" s="204"/>
      <c r="BT148" s="204"/>
      <c r="BU148" s="203"/>
      <c r="BV148" s="203"/>
      <c r="BW148" s="203"/>
      <c r="BX148" s="203"/>
      <c r="BY148" s="203"/>
      <c r="BZ148" s="203"/>
      <c r="CA148" s="203"/>
      <c r="CB148" s="203"/>
      <c r="CC148" s="203"/>
      <c r="CD148" s="203"/>
      <c r="CE148" s="203"/>
      <c r="CF148" s="203"/>
      <c r="CG148" s="203"/>
      <c r="CH148" s="203"/>
      <c r="CI148" s="203"/>
      <c r="CJ148" s="203"/>
      <c r="CK148" s="203"/>
    </row>
    <row r="149" spans="28:89" s="196" customFormat="1">
      <c r="AB149" s="201"/>
      <c r="AC149" s="201"/>
      <c r="AD149" s="197"/>
      <c r="AE149" s="197"/>
      <c r="AF149" s="197"/>
      <c r="AG149" s="197"/>
      <c r="AH149" s="197"/>
      <c r="AI149" s="197"/>
      <c r="AJ149" s="197"/>
      <c r="AK149" s="197"/>
      <c r="AL149" s="197"/>
      <c r="AM149" s="197"/>
      <c r="AN149" s="202"/>
      <c r="AO149" s="202"/>
      <c r="AP149" s="202"/>
      <c r="AQ149" s="205"/>
      <c r="AR149" s="205">
        <v>147</v>
      </c>
      <c r="AS149" s="204">
        <v>1560</v>
      </c>
      <c r="AT149" s="205"/>
      <c r="AU149" s="205"/>
      <c r="AV149" s="205"/>
      <c r="AW149" s="205"/>
      <c r="AX149" s="204"/>
      <c r="AY149" s="204"/>
      <c r="AZ149" s="204"/>
      <c r="BA149" s="204"/>
      <c r="BB149" s="204"/>
      <c r="BC149" s="204"/>
      <c r="BD149" s="204"/>
      <c r="BE149" s="204"/>
      <c r="BF149" s="204"/>
      <c r="BG149" s="204"/>
      <c r="BH149" s="204"/>
      <c r="BI149" s="204"/>
      <c r="BJ149" s="204"/>
      <c r="BK149" s="204"/>
      <c r="BL149" s="204"/>
      <c r="BM149" s="204"/>
      <c r="BN149" s="204"/>
      <c r="BO149" s="204"/>
      <c r="BP149" s="204"/>
      <c r="BQ149" s="204"/>
      <c r="BR149" s="204"/>
      <c r="BS149" s="204"/>
      <c r="BT149" s="204"/>
      <c r="BU149" s="203"/>
      <c r="BV149" s="203"/>
      <c r="BW149" s="203"/>
      <c r="BX149" s="203"/>
      <c r="BY149" s="203"/>
      <c r="BZ149" s="203"/>
      <c r="CA149" s="203"/>
      <c r="CB149" s="203"/>
      <c r="CC149" s="203"/>
      <c r="CD149" s="203"/>
      <c r="CE149" s="203"/>
      <c r="CF149" s="203"/>
      <c r="CG149" s="203"/>
      <c r="CH149" s="203"/>
      <c r="CI149" s="203"/>
      <c r="CJ149" s="203"/>
      <c r="CK149" s="203"/>
    </row>
    <row r="150" spans="28:89" s="196" customFormat="1">
      <c r="AB150" s="201"/>
      <c r="AC150" s="201"/>
      <c r="AD150" s="197"/>
      <c r="AE150" s="197"/>
      <c r="AF150" s="197"/>
      <c r="AG150" s="197"/>
      <c r="AH150" s="197"/>
      <c r="AI150" s="197"/>
      <c r="AJ150" s="197"/>
      <c r="AK150" s="197"/>
      <c r="AL150" s="197"/>
      <c r="AM150" s="197"/>
      <c r="AN150" s="202"/>
      <c r="AO150" s="202"/>
      <c r="AP150" s="202"/>
      <c r="AQ150" s="205"/>
      <c r="AR150" s="205">
        <v>148</v>
      </c>
      <c r="AS150" s="204">
        <v>1570</v>
      </c>
      <c r="AT150" s="205"/>
      <c r="AU150" s="205"/>
      <c r="AV150" s="205"/>
      <c r="AW150" s="205"/>
      <c r="AX150" s="204"/>
      <c r="AY150" s="204"/>
      <c r="AZ150" s="204"/>
      <c r="BA150" s="204"/>
      <c r="BB150" s="204"/>
      <c r="BC150" s="204"/>
      <c r="BD150" s="204"/>
      <c r="BE150" s="204"/>
      <c r="BF150" s="204"/>
      <c r="BG150" s="204"/>
      <c r="BH150" s="204"/>
      <c r="BI150" s="204"/>
      <c r="BJ150" s="204"/>
      <c r="BK150" s="204"/>
      <c r="BL150" s="204"/>
      <c r="BM150" s="204"/>
      <c r="BN150" s="204"/>
      <c r="BO150" s="204"/>
      <c r="BP150" s="204"/>
      <c r="BQ150" s="204"/>
      <c r="BR150" s="204"/>
      <c r="BS150" s="204"/>
      <c r="BT150" s="204"/>
      <c r="BU150" s="203"/>
      <c r="BV150" s="203"/>
      <c r="BW150" s="203"/>
      <c r="BX150" s="203"/>
      <c r="BY150" s="203"/>
      <c r="BZ150" s="203"/>
      <c r="CA150" s="203"/>
      <c r="CB150" s="203"/>
      <c r="CC150" s="203"/>
      <c r="CD150" s="203"/>
      <c r="CE150" s="203"/>
      <c r="CF150" s="203"/>
      <c r="CG150" s="203"/>
      <c r="CH150" s="203"/>
      <c r="CI150" s="203"/>
      <c r="CJ150" s="203"/>
      <c r="CK150" s="203"/>
    </row>
    <row r="151" spans="28:89" s="196" customFormat="1">
      <c r="AB151" s="201"/>
      <c r="AC151" s="201"/>
      <c r="AD151" s="197"/>
      <c r="AE151" s="197"/>
      <c r="AF151" s="197"/>
      <c r="AG151" s="197"/>
      <c r="AH151" s="197"/>
      <c r="AI151" s="197"/>
      <c r="AJ151" s="197"/>
      <c r="AK151" s="197"/>
      <c r="AL151" s="197"/>
      <c r="AM151" s="197"/>
      <c r="AN151" s="202"/>
      <c r="AO151" s="202"/>
      <c r="AP151" s="202"/>
      <c r="AQ151" s="202"/>
      <c r="AR151" s="202">
        <v>149</v>
      </c>
      <c r="AS151" s="203">
        <v>1580</v>
      </c>
      <c r="AT151" s="202"/>
      <c r="AU151" s="202"/>
      <c r="AV151" s="202"/>
      <c r="AW151" s="202"/>
      <c r="AX151" s="203"/>
      <c r="AY151" s="203"/>
      <c r="AZ151" s="203"/>
      <c r="BA151" s="203"/>
      <c r="BB151" s="203"/>
      <c r="BC151" s="203"/>
      <c r="BD151" s="203"/>
      <c r="BE151" s="203"/>
      <c r="BF151" s="203"/>
      <c r="BG151" s="203"/>
      <c r="BH151" s="203"/>
      <c r="BI151" s="203"/>
      <c r="BJ151" s="203"/>
      <c r="BK151" s="203"/>
      <c r="BL151" s="203"/>
      <c r="BM151" s="203"/>
      <c r="BN151" s="203"/>
      <c r="BO151" s="203"/>
      <c r="BP151" s="203"/>
      <c r="BQ151" s="203"/>
      <c r="BR151" s="203"/>
      <c r="BS151" s="203"/>
      <c r="BT151" s="203"/>
      <c r="BU151" s="203"/>
      <c r="BV151" s="203"/>
      <c r="BW151" s="203"/>
      <c r="BX151" s="203"/>
      <c r="BY151" s="203"/>
      <c r="BZ151" s="203"/>
      <c r="CA151" s="203"/>
      <c r="CB151" s="203"/>
      <c r="CC151" s="203"/>
      <c r="CD151" s="203"/>
      <c r="CE151" s="203"/>
      <c r="CF151" s="203"/>
      <c r="CG151" s="203"/>
      <c r="CH151" s="203"/>
      <c r="CI151" s="203"/>
      <c r="CJ151" s="203"/>
      <c r="CK151" s="203"/>
    </row>
    <row r="152" spans="28:89" s="196" customFormat="1">
      <c r="AB152" s="201"/>
      <c r="AC152" s="201"/>
      <c r="AD152" s="197"/>
      <c r="AE152" s="197"/>
      <c r="AF152" s="197"/>
      <c r="AG152" s="197"/>
      <c r="AH152" s="197"/>
      <c r="AI152" s="197"/>
      <c r="AJ152" s="197"/>
      <c r="AK152" s="197"/>
      <c r="AL152" s="197"/>
      <c r="AM152" s="197"/>
      <c r="AN152" s="202"/>
      <c r="AO152" s="202"/>
      <c r="AP152" s="202"/>
      <c r="AQ152" s="202"/>
      <c r="AR152" s="202">
        <v>150</v>
      </c>
      <c r="AS152" s="203">
        <v>1590</v>
      </c>
      <c r="AT152" s="202"/>
      <c r="AU152" s="202"/>
      <c r="AV152" s="202"/>
      <c r="AW152" s="202"/>
      <c r="AX152" s="203"/>
      <c r="AY152" s="203"/>
      <c r="AZ152" s="203"/>
      <c r="BA152" s="203"/>
      <c r="BB152" s="203"/>
      <c r="BC152" s="203"/>
      <c r="BD152" s="203"/>
      <c r="BE152" s="203"/>
      <c r="BF152" s="203"/>
      <c r="BG152" s="203"/>
      <c r="BH152" s="203"/>
      <c r="BI152" s="203"/>
      <c r="BJ152" s="203"/>
      <c r="BK152" s="203"/>
      <c r="BL152" s="203"/>
      <c r="BM152" s="203"/>
      <c r="BN152" s="203"/>
      <c r="BO152" s="203"/>
      <c r="BP152" s="203"/>
      <c r="BQ152" s="203"/>
      <c r="BR152" s="203"/>
      <c r="BS152" s="203"/>
      <c r="BT152" s="203"/>
      <c r="BU152" s="203"/>
      <c r="BV152" s="203"/>
      <c r="BW152" s="203"/>
      <c r="BX152" s="203"/>
      <c r="BY152" s="203"/>
      <c r="BZ152" s="203"/>
      <c r="CA152" s="203"/>
      <c r="CB152" s="203"/>
      <c r="CC152" s="203"/>
      <c r="CD152" s="203"/>
      <c r="CE152" s="203"/>
      <c r="CF152" s="203"/>
      <c r="CG152" s="203"/>
      <c r="CH152" s="203"/>
      <c r="CI152" s="203"/>
      <c r="CJ152" s="203"/>
      <c r="CK152" s="203"/>
    </row>
    <row r="153" spans="28:89" s="196" customFormat="1">
      <c r="AB153" s="201"/>
      <c r="AC153" s="201"/>
      <c r="AD153" s="197"/>
      <c r="AE153" s="197"/>
      <c r="AF153" s="197"/>
      <c r="AG153" s="197"/>
      <c r="AH153" s="197"/>
      <c r="AI153" s="197"/>
      <c r="AJ153" s="197"/>
      <c r="AK153" s="197"/>
      <c r="AL153" s="197"/>
      <c r="AM153" s="197"/>
      <c r="AN153" s="202"/>
      <c r="AO153" s="202"/>
      <c r="AP153" s="202"/>
      <c r="AQ153" s="202"/>
      <c r="AR153" s="202"/>
      <c r="AS153" s="202"/>
      <c r="AT153" s="202"/>
      <c r="AU153" s="202"/>
      <c r="AV153" s="202"/>
      <c r="AW153" s="202"/>
      <c r="AX153" s="203"/>
      <c r="AY153" s="203"/>
      <c r="AZ153" s="203"/>
      <c r="BA153" s="203"/>
      <c r="BB153" s="203"/>
      <c r="BC153" s="203"/>
      <c r="BD153" s="203"/>
      <c r="BE153" s="203"/>
      <c r="BF153" s="203"/>
      <c r="BG153" s="203"/>
      <c r="BH153" s="203"/>
      <c r="BI153" s="203"/>
      <c r="BJ153" s="203"/>
      <c r="BK153" s="203"/>
      <c r="BL153" s="203"/>
      <c r="BM153" s="203"/>
      <c r="BN153" s="203"/>
      <c r="BO153" s="203"/>
      <c r="BP153" s="203"/>
      <c r="BQ153" s="203"/>
      <c r="BR153" s="203"/>
      <c r="BS153" s="203"/>
      <c r="BT153" s="203"/>
      <c r="BU153" s="203"/>
      <c r="BV153" s="203"/>
      <c r="BW153" s="203"/>
      <c r="BX153" s="203"/>
      <c r="BY153" s="203"/>
      <c r="BZ153" s="203"/>
      <c r="CA153" s="203"/>
      <c r="CB153" s="203"/>
      <c r="CC153" s="203"/>
      <c r="CD153" s="203"/>
      <c r="CE153" s="203"/>
      <c r="CF153" s="203"/>
      <c r="CG153" s="203"/>
      <c r="CH153" s="203"/>
      <c r="CI153" s="203"/>
      <c r="CJ153" s="203"/>
      <c r="CK153" s="203"/>
    </row>
    <row r="154" spans="28:89" s="196" customFormat="1">
      <c r="AB154" s="201"/>
      <c r="AC154" s="201"/>
      <c r="AD154" s="197"/>
      <c r="AE154" s="197"/>
      <c r="AF154" s="197"/>
      <c r="AG154" s="197"/>
      <c r="AH154" s="197"/>
      <c r="AI154" s="197"/>
      <c r="AJ154" s="197"/>
      <c r="AK154" s="197"/>
      <c r="AL154" s="197"/>
      <c r="AM154" s="197"/>
      <c r="AN154" s="202"/>
      <c r="AO154" s="202"/>
      <c r="AP154" s="202"/>
      <c r="AQ154" s="202"/>
      <c r="AR154" s="202"/>
      <c r="AS154" s="202"/>
      <c r="AT154" s="202"/>
      <c r="AU154" s="202"/>
      <c r="AV154" s="202"/>
      <c r="AW154" s="202"/>
      <c r="AX154" s="203"/>
      <c r="AY154" s="203"/>
      <c r="AZ154" s="203"/>
      <c r="BA154" s="203"/>
      <c r="BB154" s="203"/>
      <c r="BC154" s="203"/>
      <c r="BD154" s="203"/>
      <c r="BE154" s="203"/>
      <c r="BF154" s="203"/>
      <c r="BG154" s="203"/>
      <c r="BH154" s="203"/>
      <c r="BI154" s="203"/>
      <c r="BJ154" s="203"/>
      <c r="BK154" s="203"/>
      <c r="BL154" s="203"/>
      <c r="BM154" s="203"/>
      <c r="BN154" s="203"/>
      <c r="BO154" s="203"/>
      <c r="BP154" s="203"/>
      <c r="BQ154" s="203"/>
      <c r="BR154" s="203"/>
      <c r="BS154" s="203"/>
      <c r="BT154" s="203"/>
      <c r="BU154" s="203"/>
      <c r="BV154" s="203"/>
      <c r="BW154" s="203"/>
      <c r="BX154" s="203"/>
      <c r="BY154" s="203"/>
      <c r="BZ154" s="203"/>
      <c r="CA154" s="203"/>
      <c r="CB154" s="203"/>
      <c r="CC154" s="203"/>
      <c r="CD154" s="203"/>
      <c r="CE154" s="203"/>
      <c r="CF154" s="203"/>
      <c r="CG154" s="203"/>
      <c r="CH154" s="203"/>
      <c r="CI154" s="203"/>
      <c r="CJ154" s="203"/>
      <c r="CK154" s="203"/>
    </row>
    <row r="155" spans="28:89" s="196" customFormat="1">
      <c r="AB155" s="201"/>
      <c r="AC155" s="201"/>
      <c r="AD155" s="197"/>
      <c r="AE155" s="197"/>
      <c r="AF155" s="197"/>
      <c r="AG155" s="197"/>
      <c r="AH155" s="197"/>
      <c r="AI155" s="197"/>
      <c r="AJ155" s="197"/>
      <c r="AK155" s="197"/>
      <c r="AL155" s="197"/>
      <c r="AM155" s="197"/>
      <c r="AN155" s="202"/>
      <c r="AO155" s="202"/>
      <c r="AP155" s="202"/>
      <c r="AQ155" s="202"/>
      <c r="AR155" s="202"/>
      <c r="AS155" s="202"/>
      <c r="AT155" s="202"/>
      <c r="AU155" s="202"/>
      <c r="AV155" s="202"/>
      <c r="AW155" s="202"/>
      <c r="AX155" s="203"/>
      <c r="AY155" s="203"/>
      <c r="AZ155" s="203"/>
      <c r="BA155" s="203"/>
      <c r="BB155" s="203"/>
      <c r="BC155" s="203"/>
      <c r="BD155" s="203"/>
      <c r="BE155" s="203"/>
      <c r="BF155" s="203"/>
      <c r="BG155" s="203"/>
      <c r="BH155" s="203"/>
      <c r="BI155" s="203"/>
      <c r="BJ155" s="203"/>
      <c r="BK155" s="203"/>
      <c r="BL155" s="203"/>
      <c r="BM155" s="203"/>
      <c r="BN155" s="203"/>
      <c r="BO155" s="203"/>
      <c r="BP155" s="203"/>
      <c r="BQ155" s="203"/>
      <c r="BR155" s="203"/>
      <c r="BS155" s="203"/>
      <c r="BT155" s="203"/>
      <c r="BU155" s="203"/>
      <c r="BV155" s="203"/>
      <c r="BW155" s="203"/>
      <c r="BX155" s="203"/>
      <c r="BY155" s="203"/>
      <c r="BZ155" s="203"/>
      <c r="CA155" s="203"/>
      <c r="CB155" s="203"/>
      <c r="CC155" s="203"/>
      <c r="CD155" s="203"/>
      <c r="CE155" s="203"/>
      <c r="CF155" s="203"/>
      <c r="CG155" s="203"/>
      <c r="CH155" s="203"/>
      <c r="CI155" s="203"/>
      <c r="CJ155" s="203"/>
      <c r="CK155" s="203"/>
    </row>
    <row r="156" spans="28:89" s="196" customFormat="1">
      <c r="AB156" s="201"/>
      <c r="AC156" s="201"/>
      <c r="AD156" s="197"/>
      <c r="AE156" s="197"/>
      <c r="AF156" s="197"/>
      <c r="AG156" s="197"/>
      <c r="AH156" s="197"/>
      <c r="AI156" s="197"/>
      <c r="AJ156" s="197"/>
      <c r="AK156" s="197"/>
      <c r="AL156" s="197"/>
      <c r="AM156" s="197"/>
      <c r="AN156" s="202"/>
      <c r="AO156" s="202"/>
      <c r="AP156" s="202"/>
      <c r="AQ156" s="202"/>
      <c r="AR156" s="202"/>
      <c r="AS156" s="202"/>
      <c r="AT156" s="202"/>
      <c r="AU156" s="202"/>
      <c r="AV156" s="202"/>
      <c r="AW156" s="202"/>
      <c r="AX156" s="203"/>
      <c r="AY156" s="203"/>
      <c r="AZ156" s="203"/>
      <c r="BA156" s="203"/>
      <c r="BB156" s="203"/>
      <c r="BC156" s="203"/>
      <c r="BD156" s="203"/>
      <c r="BE156" s="203"/>
      <c r="BF156" s="203"/>
      <c r="BG156" s="203"/>
      <c r="BH156" s="203"/>
      <c r="BI156" s="203"/>
      <c r="BJ156" s="203"/>
      <c r="BK156" s="203"/>
      <c r="BL156" s="203"/>
      <c r="BM156" s="203"/>
      <c r="BN156" s="203"/>
      <c r="BO156" s="203"/>
      <c r="BP156" s="203"/>
      <c r="BQ156" s="203"/>
      <c r="BR156" s="203"/>
      <c r="BS156" s="203"/>
      <c r="BT156" s="203"/>
      <c r="BU156" s="203"/>
      <c r="BV156" s="203"/>
      <c r="BW156" s="203"/>
      <c r="BX156" s="203"/>
      <c r="BY156" s="203"/>
      <c r="BZ156" s="203"/>
      <c r="CA156" s="203"/>
      <c r="CB156" s="203"/>
      <c r="CC156" s="203"/>
      <c r="CD156" s="203"/>
      <c r="CE156" s="203"/>
      <c r="CF156" s="203"/>
      <c r="CG156" s="203"/>
      <c r="CH156" s="203"/>
      <c r="CI156" s="203"/>
      <c r="CJ156" s="203"/>
      <c r="CK156" s="203"/>
    </row>
    <row r="157" spans="28:89" s="196" customFormat="1">
      <c r="AB157" s="201"/>
      <c r="AC157" s="201"/>
      <c r="AD157" s="197"/>
      <c r="AE157" s="197"/>
      <c r="AF157" s="197"/>
      <c r="AG157" s="197"/>
      <c r="AH157" s="197"/>
      <c r="AI157" s="197"/>
      <c r="AJ157" s="197"/>
      <c r="AK157" s="197"/>
      <c r="AL157" s="197"/>
      <c r="AM157" s="197"/>
      <c r="AN157" s="202"/>
      <c r="AO157" s="202"/>
      <c r="AP157" s="202"/>
      <c r="AQ157" s="202"/>
      <c r="AR157" s="202"/>
      <c r="AS157" s="202"/>
      <c r="AT157" s="202"/>
      <c r="AU157" s="202"/>
      <c r="AV157" s="202"/>
      <c r="AW157" s="202"/>
      <c r="AX157" s="203"/>
      <c r="AY157" s="203"/>
      <c r="AZ157" s="203"/>
      <c r="BA157" s="203"/>
      <c r="BB157" s="203"/>
      <c r="BC157" s="203"/>
      <c r="BD157" s="203"/>
      <c r="BE157" s="203"/>
      <c r="BF157" s="203"/>
      <c r="BG157" s="203"/>
      <c r="BH157" s="203"/>
      <c r="BI157" s="203"/>
      <c r="BJ157" s="203"/>
      <c r="BK157" s="203"/>
      <c r="BL157" s="203"/>
      <c r="BM157" s="203"/>
      <c r="BN157" s="203"/>
      <c r="BO157" s="203"/>
      <c r="BP157" s="203"/>
      <c r="BQ157" s="203"/>
      <c r="BR157" s="203"/>
      <c r="BS157" s="203"/>
      <c r="BT157" s="203"/>
      <c r="BU157" s="203"/>
      <c r="BV157" s="203"/>
      <c r="BW157" s="203"/>
      <c r="BX157" s="203"/>
      <c r="BY157" s="203"/>
      <c r="BZ157" s="203"/>
      <c r="CA157" s="203"/>
      <c r="CB157" s="203"/>
      <c r="CC157" s="203"/>
      <c r="CD157" s="203"/>
      <c r="CE157" s="203"/>
      <c r="CF157" s="203"/>
      <c r="CG157" s="203"/>
      <c r="CH157" s="203"/>
      <c r="CI157" s="203"/>
      <c r="CJ157" s="203"/>
      <c r="CK157" s="203"/>
    </row>
    <row r="158" spans="28:89" s="196" customFormat="1">
      <c r="AB158" s="201"/>
      <c r="AC158" s="201"/>
      <c r="AD158" s="197"/>
      <c r="AE158" s="197"/>
      <c r="AF158" s="197"/>
      <c r="AG158" s="197"/>
      <c r="AH158" s="197"/>
      <c r="AI158" s="197"/>
      <c r="AJ158" s="197"/>
      <c r="AK158" s="197"/>
      <c r="AL158" s="197"/>
      <c r="AM158" s="197"/>
      <c r="AN158" s="202"/>
      <c r="AO158" s="202"/>
      <c r="AP158" s="202"/>
      <c r="AQ158" s="202"/>
      <c r="AR158" s="202"/>
      <c r="AS158" s="202"/>
      <c r="AT158" s="202"/>
      <c r="AU158" s="202"/>
      <c r="AV158" s="202"/>
      <c r="AW158" s="202"/>
      <c r="AX158" s="203"/>
      <c r="AY158" s="203"/>
      <c r="AZ158" s="203"/>
      <c r="BA158" s="203"/>
      <c r="BB158" s="203"/>
      <c r="BC158" s="203"/>
      <c r="BD158" s="203"/>
      <c r="BE158" s="203"/>
      <c r="BF158" s="203"/>
      <c r="BG158" s="203"/>
      <c r="BH158" s="203"/>
      <c r="BI158" s="203"/>
      <c r="BJ158" s="203"/>
      <c r="BK158" s="203"/>
      <c r="BL158" s="203"/>
      <c r="BM158" s="203"/>
      <c r="BN158" s="203"/>
      <c r="BO158" s="203"/>
      <c r="BP158" s="203"/>
      <c r="BQ158" s="203"/>
      <c r="BR158" s="203"/>
      <c r="BS158" s="203"/>
      <c r="BT158" s="203"/>
      <c r="BU158" s="203"/>
      <c r="BV158" s="203"/>
      <c r="BW158" s="203"/>
      <c r="BX158" s="203"/>
      <c r="BY158" s="203"/>
      <c r="BZ158" s="203"/>
      <c r="CA158" s="203"/>
      <c r="CB158" s="203"/>
      <c r="CC158" s="203"/>
      <c r="CD158" s="203"/>
      <c r="CE158" s="203"/>
      <c r="CF158" s="203"/>
      <c r="CG158" s="203"/>
      <c r="CH158" s="203"/>
      <c r="CI158" s="203"/>
      <c r="CJ158" s="203"/>
      <c r="CK158" s="203"/>
    </row>
    <row r="159" spans="28:89" s="196" customFormat="1">
      <c r="AB159" s="201"/>
      <c r="AC159" s="201"/>
      <c r="AD159" s="197"/>
      <c r="AE159" s="197"/>
      <c r="AF159" s="197"/>
      <c r="AG159" s="197"/>
      <c r="AH159" s="197"/>
      <c r="AI159" s="197"/>
      <c r="AJ159" s="197"/>
      <c r="AK159" s="197"/>
      <c r="AL159" s="197"/>
      <c r="AM159" s="197"/>
      <c r="AN159" s="202"/>
      <c r="AO159" s="202"/>
      <c r="AP159" s="202"/>
      <c r="AQ159" s="202"/>
      <c r="AR159" s="202"/>
      <c r="AS159" s="202"/>
      <c r="AT159" s="202"/>
      <c r="AU159" s="202"/>
      <c r="AV159" s="202"/>
      <c r="AW159" s="202"/>
      <c r="AX159" s="203"/>
      <c r="AY159" s="203"/>
      <c r="AZ159" s="203"/>
      <c r="BA159" s="203"/>
      <c r="BB159" s="203"/>
      <c r="BC159" s="203"/>
      <c r="BD159" s="203"/>
      <c r="BE159" s="203"/>
      <c r="BF159" s="203"/>
      <c r="BG159" s="203"/>
      <c r="BH159" s="203"/>
      <c r="BI159" s="203"/>
      <c r="BJ159" s="203"/>
      <c r="BK159" s="203"/>
      <c r="BL159" s="203"/>
      <c r="BM159" s="203"/>
      <c r="BN159" s="203"/>
      <c r="BO159" s="203"/>
      <c r="BP159" s="203"/>
      <c r="BQ159" s="203"/>
      <c r="BR159" s="203"/>
      <c r="BS159" s="203"/>
      <c r="BT159" s="203"/>
      <c r="BU159" s="203"/>
      <c r="BV159" s="203"/>
      <c r="BW159" s="203"/>
      <c r="BX159" s="203"/>
      <c r="BY159" s="203"/>
      <c r="BZ159" s="203"/>
      <c r="CA159" s="203"/>
      <c r="CB159" s="203"/>
      <c r="CC159" s="203"/>
      <c r="CD159" s="203"/>
      <c r="CE159" s="203"/>
      <c r="CF159" s="203"/>
      <c r="CG159" s="203"/>
      <c r="CH159" s="203"/>
      <c r="CI159" s="203"/>
      <c r="CJ159" s="203"/>
      <c r="CK159" s="203"/>
    </row>
    <row r="160" spans="28:89" s="196" customFormat="1">
      <c r="AB160" s="201"/>
      <c r="AC160" s="201"/>
      <c r="AD160" s="197"/>
      <c r="AE160" s="197"/>
      <c r="AF160" s="197"/>
      <c r="AG160" s="197"/>
      <c r="AH160" s="197"/>
      <c r="AI160" s="197"/>
      <c r="AJ160" s="197"/>
      <c r="AK160" s="197"/>
      <c r="AL160" s="197"/>
      <c r="AM160" s="197"/>
      <c r="AN160" s="202"/>
      <c r="AO160" s="202"/>
      <c r="AP160" s="202"/>
      <c r="AQ160" s="202"/>
      <c r="AR160" s="202"/>
      <c r="AS160" s="202"/>
      <c r="AT160" s="202"/>
      <c r="AU160" s="202"/>
      <c r="AV160" s="202"/>
      <c r="AW160" s="202"/>
      <c r="AX160" s="203"/>
      <c r="AY160" s="203"/>
      <c r="AZ160" s="203"/>
      <c r="BA160" s="203"/>
      <c r="BB160" s="203"/>
      <c r="BC160" s="203"/>
      <c r="BD160" s="203"/>
      <c r="BE160" s="203"/>
      <c r="BF160" s="203"/>
      <c r="BG160" s="203"/>
      <c r="BH160" s="203"/>
      <c r="BI160" s="203"/>
      <c r="BJ160" s="203"/>
      <c r="BK160" s="203"/>
      <c r="BL160" s="203"/>
      <c r="BM160" s="203"/>
      <c r="BN160" s="203"/>
      <c r="BO160" s="203"/>
      <c r="BP160" s="203"/>
      <c r="BQ160" s="203"/>
      <c r="BR160" s="203"/>
      <c r="BS160" s="203"/>
      <c r="BT160" s="203"/>
      <c r="BU160" s="203"/>
      <c r="BV160" s="203"/>
      <c r="BW160" s="203"/>
      <c r="BX160" s="203"/>
      <c r="BY160" s="203"/>
      <c r="BZ160" s="203"/>
      <c r="CA160" s="203"/>
      <c r="CB160" s="203"/>
      <c r="CC160" s="203"/>
      <c r="CD160" s="203"/>
      <c r="CE160" s="203"/>
      <c r="CF160" s="203"/>
      <c r="CG160" s="203"/>
      <c r="CH160" s="203"/>
      <c r="CI160" s="203"/>
      <c r="CJ160" s="203"/>
      <c r="CK160" s="203"/>
    </row>
    <row r="161" spans="28:89" s="196" customFormat="1">
      <c r="AB161" s="201"/>
      <c r="AC161" s="201"/>
      <c r="AD161" s="197"/>
      <c r="AE161" s="197"/>
      <c r="AF161" s="197"/>
      <c r="AG161" s="197"/>
      <c r="AH161" s="197"/>
      <c r="AI161" s="197"/>
      <c r="AJ161" s="197"/>
      <c r="AK161" s="197"/>
      <c r="AL161" s="197"/>
      <c r="AM161" s="197"/>
      <c r="AN161" s="202"/>
      <c r="AO161" s="202"/>
      <c r="AP161" s="202"/>
      <c r="AQ161" s="202"/>
      <c r="AR161" s="202"/>
      <c r="AS161" s="202"/>
      <c r="AT161" s="202"/>
      <c r="AU161" s="202"/>
      <c r="AV161" s="202"/>
      <c r="AW161" s="202"/>
      <c r="AX161" s="203"/>
      <c r="AY161" s="203"/>
      <c r="AZ161" s="203"/>
      <c r="BA161" s="203"/>
      <c r="BB161" s="203"/>
      <c r="BC161" s="203"/>
      <c r="BD161" s="203"/>
      <c r="BE161" s="203"/>
      <c r="BF161" s="203"/>
      <c r="BG161" s="203"/>
      <c r="BH161" s="203"/>
      <c r="BI161" s="203"/>
      <c r="BJ161" s="203"/>
      <c r="BK161" s="203"/>
      <c r="BL161" s="203"/>
      <c r="BM161" s="203"/>
      <c r="BN161" s="203"/>
      <c r="BO161" s="203"/>
      <c r="BP161" s="203"/>
      <c r="BQ161" s="203"/>
      <c r="BR161" s="203"/>
      <c r="BS161" s="203"/>
      <c r="BT161" s="203"/>
      <c r="BU161" s="203"/>
      <c r="BV161" s="203"/>
      <c r="BW161" s="203"/>
      <c r="BX161" s="203"/>
      <c r="BY161" s="203"/>
      <c r="BZ161" s="203"/>
      <c r="CA161" s="203"/>
      <c r="CB161" s="203"/>
      <c r="CC161" s="203"/>
      <c r="CD161" s="203"/>
      <c r="CE161" s="203"/>
      <c r="CF161" s="203"/>
      <c r="CG161" s="203"/>
      <c r="CH161" s="203"/>
      <c r="CI161" s="203"/>
      <c r="CJ161" s="203"/>
      <c r="CK161" s="203"/>
    </row>
    <row r="162" spans="28:89" s="196" customFormat="1">
      <c r="AB162" s="201"/>
      <c r="AC162" s="201"/>
      <c r="AD162" s="197"/>
      <c r="AE162" s="197"/>
      <c r="AF162" s="197"/>
      <c r="AG162" s="197"/>
      <c r="AH162" s="197"/>
      <c r="AI162" s="197"/>
      <c r="AJ162" s="197"/>
      <c r="AK162" s="197"/>
      <c r="AL162" s="197"/>
      <c r="AM162" s="197"/>
      <c r="AN162" s="202"/>
      <c r="AO162" s="202"/>
      <c r="AP162" s="202"/>
      <c r="AQ162" s="202"/>
      <c r="AR162" s="202"/>
      <c r="AS162" s="202"/>
      <c r="AT162" s="202"/>
      <c r="AU162" s="202"/>
      <c r="AV162" s="202"/>
      <c r="AW162" s="202"/>
      <c r="AX162" s="203"/>
      <c r="AY162" s="203"/>
      <c r="AZ162" s="203"/>
      <c r="BA162" s="203"/>
      <c r="BB162" s="203"/>
      <c r="BC162" s="203"/>
      <c r="BD162" s="203"/>
      <c r="BE162" s="203"/>
      <c r="BF162" s="203"/>
      <c r="BG162" s="203"/>
      <c r="BH162" s="203"/>
      <c r="BI162" s="203"/>
      <c r="BJ162" s="203"/>
      <c r="BK162" s="203"/>
      <c r="BL162" s="203"/>
      <c r="BM162" s="203"/>
      <c r="BN162" s="203"/>
      <c r="BO162" s="203"/>
      <c r="BP162" s="203"/>
      <c r="BQ162" s="203"/>
      <c r="BR162" s="203"/>
      <c r="BS162" s="203"/>
      <c r="BT162" s="203"/>
      <c r="BU162" s="203"/>
      <c r="BV162" s="203"/>
      <c r="BW162" s="203"/>
      <c r="BX162" s="203"/>
      <c r="BY162" s="203"/>
      <c r="BZ162" s="203"/>
      <c r="CA162" s="203"/>
      <c r="CB162" s="203"/>
      <c r="CC162" s="203"/>
      <c r="CD162" s="203"/>
      <c r="CE162" s="203"/>
      <c r="CF162" s="203"/>
      <c r="CG162" s="203"/>
      <c r="CH162" s="203"/>
      <c r="CI162" s="203"/>
      <c r="CJ162" s="203"/>
      <c r="CK162" s="203"/>
    </row>
    <row r="163" spans="28:89" s="196" customFormat="1">
      <c r="AB163" s="201"/>
      <c r="AC163" s="201"/>
      <c r="AD163" s="197"/>
      <c r="AE163" s="197"/>
      <c r="AF163" s="197"/>
      <c r="AG163" s="197"/>
      <c r="AH163" s="197"/>
      <c r="AI163" s="197"/>
      <c r="AJ163" s="197"/>
      <c r="AK163" s="197"/>
      <c r="AL163" s="197"/>
      <c r="AM163" s="197"/>
      <c r="AN163" s="202"/>
      <c r="AO163" s="202"/>
      <c r="AP163" s="202"/>
      <c r="AQ163" s="202"/>
      <c r="AR163" s="202"/>
      <c r="AS163" s="202"/>
      <c r="AT163" s="202"/>
      <c r="AU163" s="202"/>
      <c r="AV163" s="202"/>
      <c r="AW163" s="202"/>
      <c r="AX163" s="203"/>
      <c r="AY163" s="203"/>
      <c r="AZ163" s="203"/>
      <c r="BA163" s="203"/>
      <c r="BB163" s="203"/>
      <c r="BC163" s="203"/>
      <c r="BD163" s="203"/>
      <c r="BE163" s="203"/>
      <c r="BF163" s="203"/>
      <c r="BG163" s="203"/>
      <c r="BH163" s="203"/>
      <c r="BI163" s="203"/>
      <c r="BJ163" s="203"/>
      <c r="BK163" s="203"/>
      <c r="BL163" s="203"/>
      <c r="BM163" s="203"/>
      <c r="BN163" s="203"/>
      <c r="BO163" s="203"/>
      <c r="BP163" s="203"/>
      <c r="BQ163" s="203"/>
      <c r="BR163" s="203"/>
      <c r="BS163" s="203"/>
      <c r="BT163" s="203"/>
      <c r="BU163" s="203"/>
      <c r="BV163" s="203"/>
      <c r="BW163" s="203"/>
      <c r="BX163" s="203"/>
      <c r="BY163" s="203"/>
      <c r="BZ163" s="203"/>
      <c r="CA163" s="203"/>
      <c r="CB163" s="203"/>
      <c r="CC163" s="203"/>
      <c r="CD163" s="203"/>
      <c r="CE163" s="203"/>
      <c r="CF163" s="203"/>
      <c r="CG163" s="203"/>
      <c r="CH163" s="203"/>
      <c r="CI163" s="203"/>
      <c r="CJ163" s="203"/>
      <c r="CK163" s="203"/>
    </row>
    <row r="164" spans="28:89" s="196" customFormat="1">
      <c r="AB164" s="201"/>
      <c r="AC164" s="201"/>
      <c r="AD164" s="197"/>
      <c r="AE164" s="197"/>
      <c r="AF164" s="197"/>
      <c r="AG164" s="197"/>
      <c r="AH164" s="197"/>
      <c r="AI164" s="197"/>
      <c r="AJ164" s="197"/>
      <c r="AK164" s="197"/>
      <c r="AL164" s="197"/>
      <c r="AM164" s="197"/>
      <c r="AN164" s="202"/>
      <c r="AO164" s="202"/>
      <c r="AP164" s="202"/>
      <c r="AQ164" s="202"/>
      <c r="AR164" s="202"/>
      <c r="AS164" s="202"/>
      <c r="AT164" s="202"/>
      <c r="AU164" s="202"/>
      <c r="AV164" s="202"/>
      <c r="AW164" s="202"/>
      <c r="AX164" s="203"/>
      <c r="AY164" s="203"/>
      <c r="AZ164" s="203"/>
      <c r="BA164" s="203"/>
      <c r="BB164" s="203"/>
      <c r="BC164" s="203"/>
      <c r="BD164" s="203"/>
      <c r="BE164" s="203"/>
      <c r="BF164" s="203"/>
      <c r="BG164" s="203"/>
      <c r="BH164" s="203"/>
      <c r="BI164" s="203"/>
      <c r="BJ164" s="203"/>
      <c r="BK164" s="203"/>
      <c r="BL164" s="203"/>
      <c r="BM164" s="203"/>
      <c r="BN164" s="203"/>
      <c r="BO164" s="203"/>
      <c r="BP164" s="203"/>
      <c r="BQ164" s="203"/>
      <c r="BR164" s="203"/>
      <c r="BS164" s="203"/>
      <c r="BT164" s="203"/>
      <c r="BU164" s="203"/>
      <c r="BV164" s="203"/>
      <c r="BW164" s="203"/>
      <c r="BX164" s="203"/>
      <c r="BY164" s="203"/>
      <c r="BZ164" s="203"/>
      <c r="CA164" s="203"/>
      <c r="CB164" s="203"/>
      <c r="CC164" s="203"/>
      <c r="CD164" s="203"/>
      <c r="CE164" s="203"/>
      <c r="CF164" s="203"/>
      <c r="CG164" s="203"/>
      <c r="CH164" s="203"/>
      <c r="CI164" s="203"/>
      <c r="CJ164" s="203"/>
      <c r="CK164" s="203"/>
    </row>
    <row r="165" spans="28:89" s="196" customFormat="1">
      <c r="AB165" s="201"/>
      <c r="AC165" s="201"/>
      <c r="AD165" s="197"/>
      <c r="AE165" s="197"/>
      <c r="AF165" s="197"/>
      <c r="AG165" s="197"/>
      <c r="AH165" s="197"/>
      <c r="AI165" s="197"/>
      <c r="AJ165" s="197"/>
      <c r="AK165" s="197"/>
      <c r="AL165" s="197"/>
      <c r="AM165" s="197"/>
      <c r="AN165" s="202"/>
      <c r="AO165" s="202"/>
      <c r="AP165" s="202"/>
      <c r="AQ165" s="202"/>
      <c r="AR165" s="202"/>
      <c r="AS165" s="202"/>
      <c r="AT165" s="202"/>
      <c r="AU165" s="202"/>
      <c r="AV165" s="202"/>
      <c r="AW165" s="202"/>
      <c r="AX165" s="203"/>
      <c r="AY165" s="203"/>
      <c r="AZ165" s="203"/>
      <c r="BA165" s="203"/>
      <c r="BB165" s="203"/>
      <c r="BC165" s="203"/>
      <c r="BD165" s="203"/>
      <c r="BE165" s="203"/>
      <c r="BF165" s="203"/>
      <c r="BG165" s="203"/>
      <c r="BH165" s="203"/>
      <c r="BI165" s="203"/>
      <c r="BJ165" s="203"/>
      <c r="BK165" s="203"/>
      <c r="BL165" s="203"/>
      <c r="BM165" s="203"/>
      <c r="BN165" s="203"/>
      <c r="BO165" s="203"/>
      <c r="BP165" s="203"/>
      <c r="BQ165" s="203"/>
      <c r="BR165" s="203"/>
      <c r="BS165" s="203"/>
      <c r="BT165" s="203"/>
      <c r="BU165" s="203"/>
      <c r="BV165" s="203"/>
      <c r="BW165" s="203"/>
      <c r="BX165" s="203"/>
      <c r="BY165" s="203"/>
      <c r="BZ165" s="203"/>
      <c r="CA165" s="203"/>
      <c r="CB165" s="203"/>
      <c r="CC165" s="203"/>
      <c r="CD165" s="203"/>
      <c r="CE165" s="203"/>
      <c r="CF165" s="203"/>
      <c r="CG165" s="203"/>
      <c r="CH165" s="203"/>
      <c r="CI165" s="203"/>
      <c r="CJ165" s="203"/>
      <c r="CK165" s="203"/>
    </row>
    <row r="166" spans="28:89" s="196" customFormat="1">
      <c r="AB166" s="201"/>
      <c r="AC166" s="201"/>
      <c r="AD166" s="197"/>
      <c r="AE166" s="197"/>
      <c r="AF166" s="197"/>
      <c r="AG166" s="197"/>
      <c r="AH166" s="197"/>
      <c r="AI166" s="197"/>
      <c r="AJ166" s="197"/>
      <c r="AK166" s="197"/>
      <c r="AL166" s="197"/>
      <c r="AM166" s="197"/>
      <c r="AN166" s="202"/>
      <c r="AO166" s="202"/>
      <c r="AP166" s="202"/>
      <c r="AQ166" s="202"/>
      <c r="AR166" s="202"/>
      <c r="AS166" s="202"/>
      <c r="AT166" s="202"/>
      <c r="AU166" s="202"/>
      <c r="AV166" s="202"/>
      <c r="AW166" s="202"/>
      <c r="AX166" s="203"/>
      <c r="AY166" s="203"/>
      <c r="AZ166" s="203"/>
      <c r="BA166" s="203"/>
      <c r="BB166" s="203"/>
      <c r="BC166" s="203"/>
      <c r="BD166" s="203"/>
      <c r="BE166" s="203"/>
      <c r="BF166" s="203"/>
      <c r="BG166" s="203"/>
      <c r="BH166" s="203"/>
      <c r="BI166" s="203"/>
      <c r="BJ166" s="203"/>
      <c r="BK166" s="203"/>
      <c r="BL166" s="203"/>
      <c r="BM166" s="203"/>
      <c r="BN166" s="203"/>
      <c r="BO166" s="203"/>
      <c r="BP166" s="203"/>
      <c r="BQ166" s="203"/>
      <c r="BR166" s="203"/>
      <c r="BS166" s="203"/>
      <c r="BT166" s="203"/>
      <c r="BU166" s="203"/>
      <c r="BV166" s="203"/>
      <c r="BW166" s="203"/>
      <c r="BX166" s="203"/>
      <c r="BY166" s="203"/>
      <c r="BZ166" s="203"/>
      <c r="CA166" s="203"/>
      <c r="CB166" s="203"/>
      <c r="CC166" s="203"/>
      <c r="CD166" s="203"/>
      <c r="CE166" s="203"/>
      <c r="CF166" s="203"/>
      <c r="CG166" s="203"/>
      <c r="CH166" s="203"/>
      <c r="CI166" s="203"/>
      <c r="CJ166" s="203"/>
      <c r="CK166" s="203"/>
    </row>
    <row r="167" spans="28:89" s="196" customFormat="1">
      <c r="AB167" s="201"/>
      <c r="AC167" s="201"/>
      <c r="AD167" s="197"/>
      <c r="AE167" s="197"/>
      <c r="AF167" s="197"/>
      <c r="AG167" s="197"/>
      <c r="AH167" s="197"/>
      <c r="AI167" s="197"/>
      <c r="AJ167" s="197"/>
      <c r="AK167" s="197"/>
      <c r="AL167" s="197"/>
      <c r="AM167" s="197"/>
      <c r="AN167" s="202"/>
      <c r="AO167" s="202"/>
      <c r="AP167" s="202"/>
      <c r="AQ167" s="202"/>
      <c r="AR167" s="202"/>
      <c r="AS167" s="202"/>
      <c r="AT167" s="202"/>
      <c r="AU167" s="202"/>
      <c r="AV167" s="202"/>
      <c r="AW167" s="202"/>
      <c r="AX167" s="203"/>
      <c r="AY167" s="203"/>
      <c r="AZ167" s="203"/>
      <c r="BA167" s="203"/>
      <c r="BB167" s="203"/>
      <c r="BC167" s="203"/>
      <c r="BD167" s="203"/>
      <c r="BE167" s="203"/>
      <c r="BF167" s="203"/>
      <c r="BG167" s="203"/>
      <c r="BH167" s="203"/>
      <c r="BI167" s="203"/>
      <c r="BJ167" s="203"/>
      <c r="BK167" s="203"/>
      <c r="BL167" s="203"/>
      <c r="BM167" s="203"/>
      <c r="BN167" s="203"/>
      <c r="BO167" s="203"/>
      <c r="BP167" s="203"/>
      <c r="BQ167" s="203"/>
      <c r="BR167" s="203"/>
      <c r="BS167" s="203"/>
      <c r="BT167" s="203"/>
      <c r="BU167" s="203"/>
      <c r="BV167" s="203"/>
      <c r="BW167" s="203"/>
      <c r="BX167" s="203"/>
      <c r="BY167" s="203"/>
      <c r="BZ167" s="203"/>
      <c r="CA167" s="203"/>
      <c r="CB167" s="203"/>
      <c r="CC167" s="203"/>
      <c r="CD167" s="203"/>
      <c r="CE167" s="203"/>
      <c r="CF167" s="203"/>
      <c r="CG167" s="203"/>
      <c r="CH167" s="203"/>
      <c r="CI167" s="203"/>
      <c r="CJ167" s="203"/>
      <c r="CK167" s="203"/>
    </row>
    <row r="168" spans="28:89" s="196" customFormat="1">
      <c r="AB168" s="201"/>
      <c r="AC168" s="201"/>
      <c r="AD168" s="197"/>
      <c r="AE168" s="197"/>
      <c r="AF168" s="197"/>
      <c r="AG168" s="197"/>
      <c r="AH168" s="197"/>
      <c r="AI168" s="197"/>
      <c r="AJ168" s="197"/>
      <c r="AK168" s="197"/>
      <c r="AL168" s="197"/>
      <c r="AM168" s="197"/>
      <c r="AN168" s="202"/>
      <c r="AO168" s="202"/>
      <c r="AP168" s="202"/>
      <c r="AQ168" s="202"/>
      <c r="AR168" s="202"/>
      <c r="AS168" s="202"/>
      <c r="AT168" s="202"/>
      <c r="AU168" s="202"/>
      <c r="AV168" s="202"/>
      <c r="AW168" s="202"/>
      <c r="AX168" s="203"/>
      <c r="AY168" s="203"/>
      <c r="AZ168" s="203"/>
      <c r="BA168" s="203"/>
      <c r="BB168" s="203"/>
      <c r="BC168" s="203"/>
      <c r="BD168" s="203"/>
      <c r="BE168" s="203"/>
      <c r="BF168" s="203"/>
      <c r="BG168" s="203"/>
      <c r="BH168" s="203"/>
      <c r="BI168" s="203"/>
      <c r="BJ168" s="203"/>
      <c r="BK168" s="203"/>
      <c r="BL168" s="203"/>
      <c r="BM168" s="203"/>
      <c r="BN168" s="203"/>
      <c r="BO168" s="203"/>
      <c r="BP168" s="203"/>
      <c r="BQ168" s="203"/>
      <c r="BR168" s="203"/>
      <c r="BS168" s="203"/>
      <c r="BT168" s="203"/>
      <c r="BU168" s="203"/>
      <c r="BV168" s="203"/>
      <c r="BW168" s="203"/>
      <c r="BX168" s="203"/>
      <c r="BY168" s="203"/>
      <c r="BZ168" s="203"/>
      <c r="CA168" s="203"/>
      <c r="CB168" s="203"/>
      <c r="CC168" s="203"/>
      <c r="CD168" s="203"/>
      <c r="CE168" s="203"/>
      <c r="CF168" s="203"/>
      <c r="CG168" s="203"/>
      <c r="CH168" s="203"/>
      <c r="CI168" s="203"/>
      <c r="CJ168" s="203"/>
      <c r="CK168" s="203"/>
    </row>
    <row r="169" spans="28:89" s="196" customFormat="1">
      <c r="AB169" s="201"/>
      <c r="AC169" s="201"/>
      <c r="AD169" s="197"/>
      <c r="AE169" s="197"/>
      <c r="AF169" s="197"/>
      <c r="AG169" s="197"/>
      <c r="AH169" s="197"/>
      <c r="AI169" s="197"/>
      <c r="AJ169" s="197"/>
      <c r="AK169" s="197"/>
      <c r="AL169" s="197"/>
      <c r="AM169" s="197"/>
      <c r="AN169" s="197"/>
      <c r="AO169" s="197"/>
      <c r="AP169" s="197"/>
      <c r="AQ169" s="197"/>
      <c r="AR169" s="197"/>
      <c r="AS169" s="197"/>
      <c r="AT169" s="197"/>
      <c r="AU169" s="197"/>
      <c r="AV169" s="197"/>
      <c r="AW169" s="197"/>
    </row>
    <row r="170" spans="28:89" s="196" customFormat="1">
      <c r="AB170" s="201"/>
      <c r="AC170" s="201"/>
      <c r="AD170" s="197"/>
      <c r="AE170" s="197"/>
      <c r="AF170" s="197"/>
      <c r="AG170" s="197"/>
      <c r="AH170" s="197"/>
      <c r="AI170" s="197"/>
      <c r="AJ170" s="197"/>
      <c r="AK170" s="197"/>
      <c r="AL170" s="197"/>
      <c r="AM170" s="197"/>
      <c r="AN170" s="197"/>
      <c r="AO170" s="197"/>
      <c r="AP170" s="197"/>
      <c r="AQ170" s="197"/>
      <c r="AR170" s="197"/>
      <c r="AS170" s="197"/>
      <c r="AT170" s="197"/>
      <c r="AU170" s="197"/>
      <c r="AV170" s="197"/>
      <c r="AW170" s="197"/>
    </row>
    <row r="171" spans="28:89" s="196" customFormat="1">
      <c r="AB171" s="201"/>
      <c r="AC171" s="201"/>
      <c r="AD171" s="197"/>
      <c r="AE171" s="197"/>
      <c r="AF171" s="197"/>
      <c r="AG171" s="197"/>
      <c r="AH171" s="197"/>
      <c r="AI171" s="197"/>
      <c r="AJ171" s="197"/>
      <c r="AK171" s="197"/>
      <c r="AL171" s="197"/>
      <c r="AM171" s="197"/>
      <c r="AN171" s="197"/>
      <c r="AO171" s="197"/>
      <c r="AP171" s="197"/>
      <c r="AQ171" s="197"/>
      <c r="AR171" s="197"/>
      <c r="AS171" s="197"/>
      <c r="AT171" s="197"/>
      <c r="AU171" s="197"/>
      <c r="AV171" s="197"/>
      <c r="AW171" s="197"/>
    </row>
    <row r="172" spans="28:89" s="196" customFormat="1">
      <c r="AB172" s="201"/>
      <c r="AC172" s="201"/>
      <c r="AD172" s="197"/>
      <c r="AE172" s="197"/>
      <c r="AF172" s="197"/>
      <c r="AG172" s="197"/>
      <c r="AH172" s="197"/>
      <c r="AI172" s="197"/>
      <c r="AJ172" s="197"/>
      <c r="AK172" s="197"/>
      <c r="AL172" s="197"/>
      <c r="AM172" s="197"/>
      <c r="AN172" s="197"/>
      <c r="AO172" s="197"/>
      <c r="AP172" s="197"/>
      <c r="AQ172" s="197"/>
      <c r="AR172" s="197"/>
      <c r="AS172" s="197"/>
      <c r="AT172" s="197"/>
      <c r="AU172" s="197"/>
      <c r="AV172" s="197"/>
      <c r="AW172" s="197"/>
    </row>
    <row r="173" spans="28:89" s="196" customFormat="1">
      <c r="AB173" s="201"/>
      <c r="AC173" s="201"/>
      <c r="AD173" s="197"/>
      <c r="AE173" s="197"/>
      <c r="AF173" s="197"/>
      <c r="AG173" s="197"/>
      <c r="AH173" s="197"/>
      <c r="AI173" s="197"/>
      <c r="AJ173" s="197"/>
      <c r="AK173" s="197"/>
      <c r="AL173" s="197"/>
      <c r="AM173" s="197"/>
      <c r="AN173" s="197"/>
      <c r="AO173" s="197"/>
      <c r="AP173" s="197"/>
      <c r="AQ173" s="197"/>
      <c r="AR173" s="197"/>
      <c r="AS173" s="197"/>
      <c r="AT173" s="197"/>
      <c r="AU173" s="197"/>
      <c r="AV173" s="197"/>
      <c r="AW173" s="197"/>
    </row>
    <row r="174" spans="28:89" s="196" customFormat="1">
      <c r="AB174" s="201"/>
      <c r="AC174" s="201"/>
      <c r="AD174" s="197"/>
      <c r="AE174" s="197"/>
      <c r="AF174" s="197"/>
      <c r="AG174" s="197"/>
      <c r="AH174" s="197"/>
      <c r="AI174" s="197"/>
      <c r="AJ174" s="197"/>
      <c r="AK174" s="197"/>
      <c r="AL174" s="197"/>
      <c r="AM174" s="197"/>
      <c r="AN174" s="197"/>
      <c r="AO174" s="197"/>
      <c r="AP174" s="197"/>
      <c r="AQ174" s="197"/>
      <c r="AR174" s="197"/>
      <c r="AS174" s="197"/>
      <c r="AT174" s="197"/>
      <c r="AU174" s="197"/>
      <c r="AV174" s="197"/>
      <c r="AW174" s="197"/>
    </row>
    <row r="175" spans="28:89" s="196" customFormat="1">
      <c r="AB175" s="201"/>
      <c r="AC175" s="201"/>
      <c r="AD175" s="197"/>
      <c r="AE175" s="197"/>
      <c r="AF175" s="197"/>
      <c r="AG175" s="197"/>
      <c r="AH175" s="197"/>
      <c r="AI175" s="197"/>
      <c r="AJ175" s="197"/>
      <c r="AK175" s="197"/>
      <c r="AL175" s="197"/>
      <c r="AM175" s="197"/>
      <c r="AN175" s="197"/>
      <c r="AO175" s="197"/>
      <c r="AP175" s="197"/>
      <c r="AQ175" s="197"/>
      <c r="AR175" s="197"/>
      <c r="AS175" s="197"/>
      <c r="AT175" s="197"/>
      <c r="AU175" s="197"/>
      <c r="AV175" s="197"/>
      <c r="AW175" s="197"/>
    </row>
    <row r="176" spans="28:89" s="196" customFormat="1">
      <c r="AB176" s="201"/>
      <c r="AC176" s="201"/>
      <c r="AD176" s="197"/>
      <c r="AE176" s="197"/>
      <c r="AF176" s="197"/>
      <c r="AG176" s="197"/>
      <c r="AH176" s="197"/>
      <c r="AI176" s="197"/>
      <c r="AJ176" s="197"/>
      <c r="AK176" s="197"/>
      <c r="AL176" s="197"/>
      <c r="AM176" s="197"/>
      <c r="AN176" s="197"/>
      <c r="AO176" s="197"/>
      <c r="AP176" s="197"/>
      <c r="AQ176" s="197"/>
      <c r="AR176" s="197"/>
      <c r="AS176" s="197"/>
      <c r="AT176" s="197"/>
      <c r="AU176" s="197"/>
      <c r="AV176" s="197"/>
      <c r="AW176" s="197"/>
    </row>
    <row r="177" spans="28:49" s="196" customFormat="1">
      <c r="AB177" s="201"/>
      <c r="AC177" s="201"/>
      <c r="AD177" s="197"/>
      <c r="AE177" s="197"/>
      <c r="AF177" s="197"/>
      <c r="AG177" s="197"/>
      <c r="AH177" s="197"/>
      <c r="AI177" s="197"/>
      <c r="AJ177" s="197"/>
      <c r="AK177" s="197"/>
      <c r="AL177" s="197"/>
      <c r="AM177" s="197"/>
      <c r="AN177" s="197"/>
      <c r="AO177" s="197"/>
      <c r="AP177" s="197"/>
      <c r="AQ177" s="197"/>
      <c r="AR177" s="197"/>
      <c r="AS177" s="197"/>
      <c r="AT177" s="197"/>
      <c r="AU177" s="197"/>
      <c r="AV177" s="197"/>
      <c r="AW177" s="197"/>
    </row>
    <row r="178" spans="28:49" s="196" customFormat="1">
      <c r="AB178" s="201"/>
      <c r="AC178" s="201"/>
      <c r="AD178" s="197"/>
      <c r="AE178" s="197"/>
      <c r="AF178" s="197"/>
      <c r="AG178" s="197"/>
      <c r="AH178" s="197"/>
      <c r="AI178" s="197"/>
      <c r="AJ178" s="197"/>
      <c r="AK178" s="197"/>
      <c r="AL178" s="197"/>
      <c r="AM178" s="197"/>
      <c r="AN178" s="197"/>
      <c r="AO178" s="197"/>
      <c r="AP178" s="197"/>
      <c r="AQ178" s="197"/>
      <c r="AR178" s="197"/>
      <c r="AS178" s="197"/>
      <c r="AT178" s="197"/>
      <c r="AU178" s="197"/>
      <c r="AV178" s="197"/>
      <c r="AW178" s="197"/>
    </row>
    <row r="179" spans="28:49" s="196" customFormat="1">
      <c r="AB179" s="201"/>
      <c r="AC179" s="201"/>
      <c r="AD179" s="197"/>
      <c r="AE179" s="197"/>
      <c r="AF179" s="197"/>
      <c r="AG179" s="197"/>
      <c r="AH179" s="197"/>
      <c r="AI179" s="197"/>
      <c r="AJ179" s="197"/>
      <c r="AK179" s="197"/>
      <c r="AL179" s="197"/>
      <c r="AM179" s="197"/>
      <c r="AN179" s="197"/>
      <c r="AO179" s="197"/>
      <c r="AP179" s="197"/>
      <c r="AQ179" s="197"/>
      <c r="AR179" s="197"/>
      <c r="AS179" s="197"/>
      <c r="AT179" s="197"/>
      <c r="AU179" s="197"/>
      <c r="AV179" s="197"/>
      <c r="AW179" s="197"/>
    </row>
    <row r="180" spans="28:49" s="196" customFormat="1">
      <c r="AB180" s="201"/>
      <c r="AC180" s="201"/>
      <c r="AD180" s="197"/>
      <c r="AE180" s="197"/>
      <c r="AF180" s="197"/>
      <c r="AG180" s="197"/>
      <c r="AH180" s="197"/>
      <c r="AI180" s="197"/>
      <c r="AJ180" s="197"/>
      <c r="AK180" s="197"/>
      <c r="AL180" s="197"/>
      <c r="AM180" s="197"/>
      <c r="AN180" s="197"/>
      <c r="AO180" s="197"/>
      <c r="AP180" s="197"/>
      <c r="AQ180" s="197"/>
      <c r="AR180" s="197"/>
      <c r="AS180" s="197"/>
      <c r="AT180" s="197"/>
      <c r="AU180" s="197"/>
      <c r="AV180" s="197"/>
      <c r="AW180" s="197"/>
    </row>
    <row r="181" spans="28:49" s="196" customFormat="1">
      <c r="AB181" s="201"/>
      <c r="AC181" s="201"/>
      <c r="AD181" s="197"/>
      <c r="AE181" s="197"/>
      <c r="AF181" s="197"/>
      <c r="AG181" s="197"/>
      <c r="AH181" s="197"/>
      <c r="AI181" s="197"/>
      <c r="AJ181" s="197"/>
      <c r="AK181" s="197"/>
      <c r="AL181" s="197"/>
      <c r="AM181" s="197"/>
      <c r="AN181" s="197"/>
      <c r="AO181" s="197"/>
      <c r="AP181" s="197"/>
      <c r="AQ181" s="197"/>
      <c r="AR181" s="197"/>
      <c r="AS181" s="197"/>
      <c r="AT181" s="197"/>
      <c r="AU181" s="197"/>
      <c r="AV181" s="197"/>
      <c r="AW181" s="197"/>
    </row>
    <row r="182" spans="28:49" s="196" customFormat="1">
      <c r="AB182" s="201"/>
      <c r="AC182" s="201"/>
      <c r="AD182" s="197"/>
      <c r="AE182" s="197"/>
      <c r="AF182" s="197"/>
      <c r="AG182" s="197"/>
      <c r="AH182" s="197"/>
      <c r="AI182" s="197"/>
      <c r="AJ182" s="197"/>
      <c r="AK182" s="197"/>
      <c r="AL182" s="197"/>
      <c r="AM182" s="197"/>
      <c r="AN182" s="197"/>
      <c r="AO182" s="197"/>
      <c r="AP182" s="197"/>
      <c r="AQ182" s="197"/>
      <c r="AR182" s="197"/>
      <c r="AS182" s="197"/>
      <c r="AT182" s="197"/>
      <c r="AU182" s="197"/>
      <c r="AV182" s="197"/>
      <c r="AW182" s="197"/>
    </row>
    <row r="183" spans="28:49" s="196" customFormat="1">
      <c r="AB183" s="201"/>
      <c r="AC183" s="201"/>
      <c r="AD183" s="197"/>
      <c r="AE183" s="197"/>
      <c r="AF183" s="197"/>
      <c r="AG183" s="197"/>
      <c r="AH183" s="197"/>
      <c r="AI183" s="197"/>
      <c r="AJ183" s="197"/>
      <c r="AK183" s="197"/>
      <c r="AL183" s="197"/>
      <c r="AM183" s="197"/>
      <c r="AN183" s="197"/>
      <c r="AO183" s="197"/>
      <c r="AP183" s="197"/>
      <c r="AQ183" s="197"/>
      <c r="AR183" s="197"/>
      <c r="AS183" s="197"/>
      <c r="AT183" s="197"/>
      <c r="AU183" s="197"/>
      <c r="AV183" s="197"/>
      <c r="AW183" s="197"/>
    </row>
    <row r="184" spans="28:49" s="196" customFormat="1">
      <c r="AB184" s="201"/>
      <c r="AC184" s="201"/>
      <c r="AD184" s="197"/>
      <c r="AE184" s="197"/>
      <c r="AF184" s="197"/>
      <c r="AG184" s="197"/>
      <c r="AH184" s="197"/>
      <c r="AI184" s="197"/>
      <c r="AJ184" s="197"/>
      <c r="AK184" s="197"/>
      <c r="AL184" s="197"/>
      <c r="AM184" s="197"/>
      <c r="AN184" s="197"/>
      <c r="AO184" s="197"/>
      <c r="AP184" s="197"/>
      <c r="AQ184" s="197"/>
      <c r="AR184" s="197"/>
      <c r="AS184" s="197"/>
      <c r="AT184" s="197"/>
      <c r="AU184" s="197"/>
      <c r="AV184" s="197"/>
      <c r="AW184" s="197"/>
    </row>
    <row r="185" spans="28:49" s="196" customFormat="1">
      <c r="AB185" s="201"/>
      <c r="AC185" s="201"/>
      <c r="AD185" s="197"/>
      <c r="AE185" s="197"/>
      <c r="AF185" s="197"/>
      <c r="AG185" s="197"/>
      <c r="AH185" s="197"/>
      <c r="AI185" s="197"/>
      <c r="AJ185" s="197"/>
      <c r="AK185" s="197"/>
      <c r="AL185" s="197"/>
      <c r="AM185" s="197"/>
      <c r="AN185" s="197"/>
      <c r="AO185" s="197"/>
      <c r="AP185" s="197"/>
      <c r="AQ185" s="197"/>
      <c r="AR185" s="197"/>
      <c r="AS185" s="197"/>
      <c r="AT185" s="197"/>
      <c r="AU185" s="197"/>
      <c r="AV185" s="197"/>
      <c r="AW185" s="197"/>
    </row>
    <row r="186" spans="28:49" s="196" customFormat="1">
      <c r="AB186" s="201"/>
      <c r="AC186" s="201"/>
      <c r="AD186" s="197"/>
      <c r="AE186" s="197"/>
      <c r="AF186" s="197"/>
      <c r="AG186" s="197"/>
      <c r="AH186" s="197"/>
      <c r="AI186" s="197"/>
      <c r="AJ186" s="197"/>
      <c r="AK186" s="197"/>
      <c r="AL186" s="197"/>
      <c r="AM186" s="197"/>
      <c r="AN186" s="197"/>
      <c r="AO186" s="197"/>
      <c r="AP186" s="197"/>
      <c r="AQ186" s="197"/>
      <c r="AR186" s="197"/>
      <c r="AS186" s="197"/>
      <c r="AT186" s="197"/>
      <c r="AU186" s="197"/>
      <c r="AV186" s="197"/>
      <c r="AW186" s="197"/>
    </row>
    <row r="187" spans="28:49" s="196" customFormat="1">
      <c r="AB187" s="201"/>
      <c r="AC187" s="201"/>
      <c r="AD187" s="197"/>
      <c r="AE187" s="197"/>
      <c r="AF187" s="197"/>
      <c r="AG187" s="197"/>
      <c r="AH187" s="197"/>
      <c r="AI187" s="197"/>
      <c r="AJ187" s="197"/>
      <c r="AK187" s="197"/>
      <c r="AL187" s="197"/>
      <c r="AM187" s="197"/>
      <c r="AN187" s="197"/>
      <c r="AO187" s="197"/>
      <c r="AP187" s="197"/>
      <c r="AQ187" s="197"/>
      <c r="AR187" s="197"/>
      <c r="AS187" s="197"/>
      <c r="AT187" s="197"/>
      <c r="AU187" s="197"/>
      <c r="AV187" s="197"/>
      <c r="AW187" s="197"/>
    </row>
    <row r="188" spans="28:49" s="196" customFormat="1">
      <c r="AB188" s="201"/>
      <c r="AC188" s="201"/>
      <c r="AD188" s="197"/>
      <c r="AE188" s="197"/>
      <c r="AF188" s="197"/>
      <c r="AG188" s="197"/>
      <c r="AH188" s="197"/>
      <c r="AI188" s="197"/>
      <c r="AJ188" s="197"/>
      <c r="AK188" s="197"/>
      <c r="AL188" s="197"/>
      <c r="AM188" s="197"/>
      <c r="AN188" s="197"/>
      <c r="AO188" s="197"/>
      <c r="AP188" s="197"/>
      <c r="AQ188" s="197"/>
      <c r="AR188" s="197"/>
      <c r="AS188" s="197"/>
      <c r="AT188" s="197"/>
      <c r="AU188" s="197"/>
      <c r="AV188" s="197"/>
      <c r="AW188" s="197"/>
    </row>
    <row r="189" spans="28:49" s="196" customFormat="1">
      <c r="AB189" s="201"/>
      <c r="AC189" s="201"/>
      <c r="AD189" s="197"/>
      <c r="AE189" s="197"/>
      <c r="AF189" s="197"/>
      <c r="AG189" s="197"/>
      <c r="AH189" s="197"/>
      <c r="AI189" s="197"/>
      <c r="AJ189" s="197"/>
      <c r="AK189" s="197"/>
      <c r="AL189" s="197"/>
      <c r="AM189" s="197"/>
      <c r="AN189" s="197"/>
      <c r="AO189" s="197"/>
      <c r="AP189" s="197"/>
      <c r="AQ189" s="197"/>
      <c r="AR189" s="197"/>
      <c r="AS189" s="197"/>
      <c r="AT189" s="197"/>
      <c r="AU189" s="197"/>
      <c r="AV189" s="197"/>
      <c r="AW189" s="197"/>
    </row>
    <row r="190" spans="28:49" s="196" customFormat="1">
      <c r="AB190" s="201"/>
      <c r="AC190" s="201"/>
      <c r="AD190" s="197"/>
      <c r="AE190" s="197"/>
      <c r="AF190" s="197"/>
      <c r="AG190" s="197"/>
      <c r="AH190" s="197"/>
      <c r="AI190" s="197"/>
      <c r="AJ190" s="197"/>
      <c r="AK190" s="197"/>
      <c r="AL190" s="197"/>
      <c r="AM190" s="197"/>
      <c r="AN190" s="197"/>
      <c r="AO190" s="197"/>
      <c r="AP190" s="197"/>
      <c r="AQ190" s="197"/>
      <c r="AR190" s="197"/>
      <c r="AS190" s="197"/>
      <c r="AT190" s="197"/>
      <c r="AU190" s="197"/>
      <c r="AV190" s="197"/>
      <c r="AW190" s="197"/>
    </row>
    <row r="191" spans="28:49" s="196" customFormat="1">
      <c r="AB191" s="201"/>
      <c r="AC191" s="201"/>
      <c r="AD191" s="197"/>
      <c r="AE191" s="197"/>
      <c r="AF191" s="197"/>
      <c r="AG191" s="197"/>
      <c r="AH191" s="197"/>
      <c r="AI191" s="197"/>
      <c r="AJ191" s="197"/>
      <c r="AK191" s="197"/>
      <c r="AL191" s="197"/>
      <c r="AM191" s="197"/>
      <c r="AN191" s="197"/>
      <c r="AO191" s="197"/>
      <c r="AP191" s="197"/>
      <c r="AQ191" s="197"/>
      <c r="AR191" s="197"/>
      <c r="AS191" s="197"/>
      <c r="AT191" s="197"/>
      <c r="AU191" s="197"/>
      <c r="AV191" s="197"/>
      <c r="AW191" s="197"/>
    </row>
    <row r="192" spans="28:49" s="196" customFormat="1">
      <c r="AB192" s="201"/>
      <c r="AC192" s="201"/>
      <c r="AD192" s="197"/>
      <c r="AE192" s="197"/>
      <c r="AF192" s="197"/>
      <c r="AG192" s="197"/>
      <c r="AH192" s="197"/>
      <c r="AI192" s="197"/>
      <c r="AJ192" s="197"/>
      <c r="AK192" s="197"/>
      <c r="AL192" s="197"/>
      <c r="AM192" s="197"/>
      <c r="AN192" s="197"/>
      <c r="AO192" s="197"/>
      <c r="AP192" s="197"/>
      <c r="AQ192" s="197"/>
      <c r="AR192" s="197"/>
      <c r="AS192" s="197"/>
      <c r="AT192" s="197"/>
      <c r="AU192" s="197"/>
      <c r="AV192" s="197"/>
      <c r="AW192" s="197"/>
    </row>
    <row r="193" spans="28:49" s="196" customFormat="1">
      <c r="AB193" s="201"/>
      <c r="AC193" s="201"/>
      <c r="AD193" s="197"/>
      <c r="AE193" s="197"/>
      <c r="AF193" s="197"/>
      <c r="AG193" s="197"/>
      <c r="AH193" s="197"/>
      <c r="AI193" s="197"/>
      <c r="AJ193" s="197"/>
      <c r="AK193" s="197"/>
      <c r="AL193" s="197"/>
      <c r="AM193" s="197"/>
      <c r="AN193" s="197"/>
      <c r="AO193" s="197"/>
      <c r="AP193" s="197"/>
      <c r="AQ193" s="197"/>
      <c r="AR193" s="197"/>
      <c r="AS193" s="197"/>
      <c r="AT193" s="197"/>
      <c r="AU193" s="197"/>
      <c r="AV193" s="197"/>
      <c r="AW193" s="197"/>
    </row>
    <row r="194" spans="28:49" s="196" customFormat="1">
      <c r="AB194" s="201"/>
      <c r="AC194" s="201"/>
      <c r="AD194" s="197"/>
      <c r="AE194" s="197"/>
      <c r="AF194" s="197"/>
      <c r="AG194" s="197"/>
      <c r="AH194" s="197"/>
      <c r="AI194" s="197"/>
      <c r="AJ194" s="197"/>
      <c r="AK194" s="197"/>
      <c r="AL194" s="197"/>
      <c r="AM194" s="197"/>
      <c r="AN194" s="197"/>
      <c r="AO194" s="197"/>
      <c r="AP194" s="197"/>
      <c r="AQ194" s="197"/>
      <c r="AR194" s="197"/>
      <c r="AS194" s="197"/>
      <c r="AT194" s="197"/>
      <c r="AU194" s="197"/>
      <c r="AV194" s="197"/>
      <c r="AW194" s="197"/>
    </row>
    <row r="195" spans="28:49" s="196" customFormat="1">
      <c r="AB195" s="201"/>
      <c r="AC195" s="201"/>
      <c r="AD195" s="197"/>
      <c r="AE195" s="197"/>
      <c r="AF195" s="197"/>
      <c r="AG195" s="197"/>
      <c r="AH195" s="197"/>
      <c r="AI195" s="197"/>
      <c r="AJ195" s="197"/>
      <c r="AK195" s="197"/>
      <c r="AL195" s="197"/>
      <c r="AM195" s="197"/>
      <c r="AN195" s="197"/>
      <c r="AO195" s="197"/>
      <c r="AP195" s="197"/>
      <c r="AQ195" s="197"/>
      <c r="AR195" s="197"/>
      <c r="AS195" s="197"/>
      <c r="AT195" s="197"/>
      <c r="AU195" s="197"/>
      <c r="AV195" s="197"/>
      <c r="AW195" s="197"/>
    </row>
    <row r="196" spans="28:49" s="196" customFormat="1">
      <c r="AB196" s="201"/>
      <c r="AC196" s="201"/>
      <c r="AD196" s="197"/>
      <c r="AE196" s="197"/>
      <c r="AF196" s="197"/>
      <c r="AG196" s="197"/>
      <c r="AH196" s="197"/>
      <c r="AI196" s="197"/>
      <c r="AJ196" s="197"/>
      <c r="AK196" s="197"/>
      <c r="AL196" s="197"/>
      <c r="AM196" s="197"/>
      <c r="AN196" s="197"/>
      <c r="AO196" s="197"/>
      <c r="AP196" s="197"/>
      <c r="AQ196" s="197"/>
      <c r="AR196" s="197"/>
      <c r="AS196" s="197"/>
      <c r="AT196" s="197"/>
      <c r="AU196" s="197"/>
      <c r="AV196" s="197"/>
      <c r="AW196" s="197"/>
    </row>
    <row r="197" spans="28:49" s="196" customFormat="1">
      <c r="AB197" s="201"/>
      <c r="AC197" s="201"/>
      <c r="AD197" s="197"/>
      <c r="AE197" s="197"/>
      <c r="AF197" s="197"/>
      <c r="AG197" s="197"/>
      <c r="AH197" s="197"/>
      <c r="AI197" s="197"/>
      <c r="AJ197" s="197"/>
      <c r="AK197" s="197"/>
      <c r="AL197" s="197"/>
      <c r="AM197" s="197"/>
      <c r="AN197" s="197"/>
      <c r="AO197" s="197"/>
      <c r="AP197" s="197"/>
      <c r="AQ197" s="197"/>
      <c r="AR197" s="197"/>
      <c r="AS197" s="197"/>
      <c r="AT197" s="197"/>
      <c r="AU197" s="197"/>
      <c r="AV197" s="197"/>
      <c r="AW197" s="197"/>
    </row>
    <row r="198" spans="28:49" s="196" customFormat="1">
      <c r="AB198" s="201"/>
      <c r="AC198" s="201"/>
      <c r="AD198" s="197"/>
      <c r="AE198" s="197"/>
      <c r="AF198" s="197"/>
      <c r="AG198" s="197"/>
      <c r="AH198" s="197"/>
      <c r="AI198" s="197"/>
      <c r="AJ198" s="197"/>
      <c r="AK198" s="197"/>
      <c r="AL198" s="197"/>
      <c r="AM198" s="197"/>
      <c r="AN198" s="197"/>
      <c r="AO198" s="197"/>
      <c r="AP198" s="197"/>
      <c r="AQ198" s="197"/>
      <c r="AR198" s="197"/>
      <c r="AS198" s="197"/>
      <c r="AT198" s="197"/>
      <c r="AU198" s="197"/>
      <c r="AV198" s="197"/>
      <c r="AW198" s="197"/>
    </row>
    <row r="199" spans="28:49" s="196" customFormat="1">
      <c r="AB199" s="201"/>
      <c r="AC199" s="201"/>
      <c r="AD199" s="197"/>
      <c r="AE199" s="197"/>
      <c r="AF199" s="197"/>
      <c r="AG199" s="197"/>
      <c r="AH199" s="197"/>
      <c r="AI199" s="197"/>
      <c r="AJ199" s="197"/>
      <c r="AK199" s="197"/>
      <c r="AL199" s="197"/>
      <c r="AM199" s="197"/>
      <c r="AN199" s="197"/>
      <c r="AO199" s="197"/>
      <c r="AP199" s="197"/>
      <c r="AQ199" s="197"/>
      <c r="AR199" s="197"/>
      <c r="AS199" s="197"/>
      <c r="AT199" s="197"/>
      <c r="AU199" s="197"/>
      <c r="AV199" s="197"/>
      <c r="AW199" s="197"/>
    </row>
    <row r="200" spans="28:49" s="196" customFormat="1">
      <c r="AB200" s="201"/>
      <c r="AC200" s="201"/>
      <c r="AD200" s="197"/>
      <c r="AE200" s="197"/>
      <c r="AF200" s="197"/>
      <c r="AG200" s="197"/>
      <c r="AH200" s="197"/>
      <c r="AI200" s="197"/>
      <c r="AJ200" s="197"/>
      <c r="AK200" s="197"/>
      <c r="AL200" s="197"/>
      <c r="AM200" s="197"/>
      <c r="AN200" s="197"/>
      <c r="AO200" s="197"/>
      <c r="AP200" s="197"/>
      <c r="AQ200" s="197"/>
      <c r="AR200" s="197"/>
      <c r="AS200" s="197"/>
      <c r="AT200" s="197"/>
      <c r="AU200" s="197"/>
      <c r="AV200" s="197"/>
      <c r="AW200" s="197"/>
    </row>
    <row r="201" spans="28:49" s="196" customFormat="1">
      <c r="AB201" s="201"/>
      <c r="AC201" s="201"/>
      <c r="AD201" s="197"/>
      <c r="AE201" s="197"/>
      <c r="AF201" s="197"/>
      <c r="AG201" s="197"/>
      <c r="AH201" s="197"/>
      <c r="AI201" s="197"/>
      <c r="AJ201" s="197"/>
      <c r="AK201" s="197"/>
      <c r="AL201" s="197"/>
      <c r="AM201" s="197"/>
      <c r="AN201" s="197"/>
      <c r="AO201" s="197"/>
      <c r="AP201" s="197"/>
      <c r="AQ201" s="197"/>
      <c r="AR201" s="197"/>
      <c r="AS201" s="197"/>
      <c r="AT201" s="197"/>
      <c r="AU201" s="197"/>
      <c r="AV201" s="197"/>
      <c r="AW201" s="197"/>
    </row>
    <row r="202" spans="28:49" s="196" customFormat="1">
      <c r="AB202" s="201"/>
      <c r="AC202" s="201"/>
      <c r="AD202" s="197"/>
      <c r="AE202" s="197"/>
      <c r="AF202" s="197"/>
      <c r="AG202" s="197"/>
      <c r="AH202" s="197"/>
      <c r="AI202" s="197"/>
      <c r="AJ202" s="197"/>
      <c r="AK202" s="197"/>
      <c r="AL202" s="197"/>
      <c r="AM202" s="197"/>
      <c r="AN202" s="197"/>
      <c r="AO202" s="197"/>
      <c r="AP202" s="197"/>
      <c r="AQ202" s="197"/>
      <c r="AR202" s="197"/>
      <c r="AS202" s="197"/>
      <c r="AT202" s="197"/>
      <c r="AU202" s="197"/>
      <c r="AV202" s="197"/>
      <c r="AW202" s="197"/>
    </row>
    <row r="203" spans="28:49" s="196" customFormat="1">
      <c r="AB203" s="201"/>
      <c r="AC203" s="201"/>
      <c r="AD203" s="197"/>
      <c r="AE203" s="197"/>
      <c r="AF203" s="197"/>
      <c r="AG203" s="197"/>
      <c r="AH203" s="197"/>
      <c r="AI203" s="197"/>
      <c r="AJ203" s="197"/>
      <c r="AK203" s="197"/>
      <c r="AL203" s="197"/>
      <c r="AM203" s="197"/>
      <c r="AN203" s="197"/>
      <c r="AO203" s="197"/>
      <c r="AP203" s="197"/>
      <c r="AQ203" s="197"/>
      <c r="AR203" s="197"/>
      <c r="AS203" s="197"/>
      <c r="AT203" s="197"/>
      <c r="AU203" s="197"/>
      <c r="AV203" s="197"/>
      <c r="AW203" s="197"/>
    </row>
    <row r="204" spans="28:49" s="196" customFormat="1">
      <c r="AB204" s="201"/>
      <c r="AC204" s="201"/>
      <c r="AD204" s="197"/>
      <c r="AE204" s="197"/>
      <c r="AF204" s="197"/>
      <c r="AG204" s="197"/>
      <c r="AH204" s="197"/>
      <c r="AI204" s="197"/>
      <c r="AJ204" s="197"/>
      <c r="AK204" s="197"/>
      <c r="AL204" s="197"/>
      <c r="AM204" s="197"/>
      <c r="AN204" s="197"/>
      <c r="AO204" s="197"/>
      <c r="AP204" s="197"/>
      <c r="AQ204" s="197"/>
      <c r="AR204" s="197"/>
      <c r="AS204" s="197"/>
      <c r="AT204" s="197"/>
      <c r="AU204" s="197"/>
      <c r="AV204" s="197"/>
      <c r="AW204" s="197"/>
    </row>
    <row r="205" spans="28:49" s="196" customFormat="1">
      <c r="AB205" s="201"/>
      <c r="AC205" s="201"/>
      <c r="AD205" s="197"/>
      <c r="AE205" s="197"/>
      <c r="AF205" s="197"/>
      <c r="AG205" s="197"/>
      <c r="AH205" s="197"/>
      <c r="AI205" s="197"/>
      <c r="AJ205" s="197"/>
      <c r="AK205" s="197"/>
      <c r="AL205" s="197"/>
      <c r="AM205" s="197"/>
      <c r="AN205" s="197"/>
      <c r="AO205" s="197"/>
      <c r="AP205" s="197"/>
      <c r="AQ205" s="197"/>
      <c r="AR205" s="197"/>
      <c r="AS205" s="197"/>
      <c r="AT205" s="197"/>
      <c r="AU205" s="197"/>
      <c r="AV205" s="197"/>
      <c r="AW205" s="197"/>
    </row>
    <row r="206" spans="28:49" s="196" customFormat="1">
      <c r="AB206" s="201"/>
      <c r="AC206" s="201"/>
      <c r="AD206" s="197"/>
      <c r="AE206" s="197"/>
      <c r="AF206" s="197"/>
      <c r="AG206" s="197"/>
      <c r="AH206" s="197"/>
      <c r="AI206" s="197"/>
      <c r="AJ206" s="197"/>
      <c r="AK206" s="197"/>
      <c r="AL206" s="197"/>
      <c r="AM206" s="197"/>
      <c r="AN206" s="197"/>
      <c r="AO206" s="197"/>
      <c r="AP206" s="197"/>
      <c r="AQ206" s="197"/>
      <c r="AR206" s="197"/>
      <c r="AS206" s="197"/>
      <c r="AT206" s="197"/>
      <c r="AU206" s="197"/>
      <c r="AV206" s="197"/>
      <c r="AW206" s="197"/>
    </row>
    <row r="207" spans="28:49" s="196" customFormat="1">
      <c r="AB207" s="201"/>
      <c r="AC207" s="201"/>
      <c r="AD207" s="197"/>
      <c r="AE207" s="197"/>
      <c r="AF207" s="197"/>
      <c r="AG207" s="197"/>
      <c r="AH207" s="197"/>
      <c r="AI207" s="197"/>
      <c r="AJ207" s="197"/>
      <c r="AK207" s="197"/>
      <c r="AL207" s="197"/>
      <c r="AM207" s="197"/>
      <c r="AN207" s="197"/>
      <c r="AO207" s="197"/>
      <c r="AP207" s="197"/>
      <c r="AQ207" s="197"/>
      <c r="AR207" s="197"/>
      <c r="AS207" s="197"/>
      <c r="AT207" s="197"/>
      <c r="AU207" s="197"/>
      <c r="AV207" s="197"/>
      <c r="AW207" s="197"/>
    </row>
    <row r="208" spans="28:49" s="196" customFormat="1">
      <c r="AB208" s="201"/>
      <c r="AC208" s="201"/>
      <c r="AD208" s="197"/>
      <c r="AE208" s="197"/>
      <c r="AF208" s="197"/>
      <c r="AG208" s="197"/>
      <c r="AH208" s="197"/>
      <c r="AI208" s="197"/>
      <c r="AJ208" s="197"/>
      <c r="AK208" s="197"/>
      <c r="AL208" s="197"/>
      <c r="AM208" s="197"/>
      <c r="AN208" s="197"/>
      <c r="AO208" s="197"/>
      <c r="AP208" s="197"/>
      <c r="AQ208" s="197"/>
      <c r="AR208" s="197"/>
      <c r="AS208" s="197"/>
      <c r="AT208" s="197"/>
      <c r="AU208" s="197"/>
      <c r="AV208" s="197"/>
      <c r="AW208" s="197"/>
    </row>
    <row r="209" spans="28:49" s="196" customFormat="1">
      <c r="AB209" s="201"/>
      <c r="AC209" s="201"/>
      <c r="AD209" s="197"/>
      <c r="AE209" s="197"/>
      <c r="AF209" s="197"/>
      <c r="AG209" s="197"/>
      <c r="AH209" s="197"/>
      <c r="AI209" s="197"/>
      <c r="AJ209" s="197"/>
      <c r="AK209" s="197"/>
      <c r="AL209" s="197"/>
      <c r="AM209" s="197"/>
      <c r="AN209" s="197"/>
      <c r="AO209" s="197"/>
      <c r="AP209" s="197"/>
      <c r="AQ209" s="197"/>
      <c r="AR209" s="197"/>
      <c r="AS209" s="197"/>
      <c r="AT209" s="197"/>
      <c r="AU209" s="197"/>
      <c r="AV209" s="197"/>
      <c r="AW209" s="197"/>
    </row>
    <row r="210" spans="28:49" s="196" customFormat="1">
      <c r="AB210" s="201"/>
      <c r="AC210" s="201"/>
      <c r="AD210" s="197"/>
      <c r="AE210" s="197"/>
      <c r="AF210" s="197"/>
      <c r="AG210" s="197"/>
      <c r="AH210" s="197"/>
      <c r="AI210" s="197"/>
      <c r="AJ210" s="197"/>
      <c r="AK210" s="197"/>
      <c r="AL210" s="197"/>
      <c r="AM210" s="197"/>
      <c r="AN210" s="197"/>
      <c r="AO210" s="197"/>
      <c r="AP210" s="197"/>
      <c r="AQ210" s="197"/>
      <c r="AR210" s="197"/>
      <c r="AS210" s="197"/>
      <c r="AT210" s="197"/>
      <c r="AU210" s="197"/>
      <c r="AV210" s="197"/>
      <c r="AW210" s="197"/>
    </row>
    <row r="211" spans="28:49" s="196" customFormat="1">
      <c r="AB211" s="201"/>
      <c r="AC211" s="201"/>
      <c r="AD211" s="197"/>
      <c r="AE211" s="197"/>
      <c r="AF211" s="197"/>
      <c r="AG211" s="197"/>
      <c r="AH211" s="197"/>
      <c r="AI211" s="197"/>
      <c r="AJ211" s="197"/>
      <c r="AK211" s="197"/>
      <c r="AL211" s="197"/>
      <c r="AM211" s="197"/>
      <c r="AN211" s="197"/>
      <c r="AO211" s="197"/>
      <c r="AP211" s="197"/>
      <c r="AQ211" s="197"/>
      <c r="AR211" s="197"/>
      <c r="AS211" s="197"/>
      <c r="AT211" s="197"/>
      <c r="AU211" s="197"/>
      <c r="AV211" s="197"/>
      <c r="AW211" s="197"/>
    </row>
    <row r="212" spans="28:49" s="196" customFormat="1">
      <c r="AB212" s="201"/>
      <c r="AC212" s="201"/>
      <c r="AD212" s="197"/>
      <c r="AE212" s="197"/>
      <c r="AF212" s="197"/>
      <c r="AG212" s="197"/>
      <c r="AH212" s="197"/>
      <c r="AI212" s="197"/>
      <c r="AJ212" s="197"/>
      <c r="AK212" s="197"/>
      <c r="AL212" s="197"/>
      <c r="AM212" s="197"/>
      <c r="AN212" s="197"/>
      <c r="AO212" s="197"/>
      <c r="AP212" s="197"/>
      <c r="AQ212" s="197"/>
      <c r="AR212" s="197"/>
      <c r="AS212" s="197"/>
      <c r="AT212" s="197"/>
      <c r="AU212" s="197"/>
      <c r="AV212" s="197"/>
      <c r="AW212" s="197"/>
    </row>
    <row r="213" spans="28:49" s="196" customFormat="1">
      <c r="AB213" s="201"/>
      <c r="AC213" s="201"/>
      <c r="AD213" s="197"/>
      <c r="AE213" s="197"/>
      <c r="AF213" s="197"/>
      <c r="AG213" s="197"/>
      <c r="AH213" s="197"/>
      <c r="AI213" s="197"/>
      <c r="AJ213" s="197"/>
      <c r="AK213" s="197"/>
      <c r="AL213" s="197"/>
      <c r="AM213" s="197"/>
      <c r="AN213" s="197"/>
      <c r="AO213" s="197"/>
      <c r="AP213" s="197"/>
      <c r="AQ213" s="197"/>
      <c r="AR213" s="197"/>
      <c r="AS213" s="197"/>
      <c r="AT213" s="197"/>
      <c r="AU213" s="197"/>
      <c r="AV213" s="197"/>
      <c r="AW213" s="197"/>
    </row>
    <row r="214" spans="28:49" s="196" customFormat="1">
      <c r="AB214" s="201"/>
      <c r="AC214" s="201"/>
      <c r="AD214" s="197"/>
      <c r="AE214" s="197"/>
      <c r="AF214" s="197"/>
      <c r="AG214" s="197"/>
      <c r="AH214" s="197"/>
      <c r="AI214" s="197"/>
      <c r="AJ214" s="197"/>
      <c r="AK214" s="197"/>
      <c r="AL214" s="197"/>
      <c r="AM214" s="197"/>
      <c r="AN214" s="197"/>
      <c r="AO214" s="197"/>
      <c r="AP214" s="197"/>
      <c r="AQ214" s="197"/>
      <c r="AR214" s="197"/>
      <c r="AS214" s="197"/>
      <c r="AT214" s="197"/>
      <c r="AU214" s="197"/>
      <c r="AV214" s="197"/>
      <c r="AW214" s="197"/>
    </row>
    <row r="215" spans="28:49" s="196" customFormat="1">
      <c r="AB215" s="201"/>
      <c r="AC215" s="201"/>
      <c r="AD215" s="197"/>
      <c r="AE215" s="197"/>
      <c r="AF215" s="197"/>
      <c r="AG215" s="197"/>
      <c r="AH215" s="197"/>
      <c r="AI215" s="197"/>
      <c r="AJ215" s="197"/>
      <c r="AK215" s="197"/>
      <c r="AL215" s="197"/>
      <c r="AM215" s="197"/>
      <c r="AN215" s="197"/>
      <c r="AO215" s="197"/>
      <c r="AP215" s="197"/>
      <c r="AQ215" s="197"/>
      <c r="AR215" s="197"/>
      <c r="AS215" s="197"/>
      <c r="AT215" s="197"/>
      <c r="AU215" s="197"/>
      <c r="AV215" s="197"/>
      <c r="AW215" s="197"/>
    </row>
    <row r="216" spans="28:49" s="196" customFormat="1">
      <c r="AB216" s="201"/>
      <c r="AC216" s="201"/>
      <c r="AD216" s="197"/>
      <c r="AE216" s="197"/>
      <c r="AF216" s="197"/>
      <c r="AG216" s="197"/>
      <c r="AH216" s="197"/>
      <c r="AI216" s="197"/>
      <c r="AJ216" s="197"/>
      <c r="AK216" s="197"/>
      <c r="AL216" s="197"/>
      <c r="AM216" s="197"/>
      <c r="AN216" s="197"/>
      <c r="AO216" s="197"/>
      <c r="AP216" s="197"/>
      <c r="AQ216" s="197"/>
      <c r="AR216" s="197"/>
      <c r="AS216" s="197"/>
      <c r="AT216" s="197"/>
      <c r="AU216" s="197"/>
      <c r="AV216" s="197"/>
      <c r="AW216" s="197"/>
    </row>
    <row r="217" spans="28:49" s="196" customFormat="1">
      <c r="AB217" s="201"/>
      <c r="AC217" s="201"/>
      <c r="AD217" s="197"/>
      <c r="AE217" s="197"/>
      <c r="AF217" s="197"/>
      <c r="AG217" s="197"/>
      <c r="AH217" s="197"/>
      <c r="AI217" s="197"/>
      <c r="AJ217" s="197"/>
      <c r="AK217" s="197"/>
      <c r="AL217" s="197"/>
      <c r="AM217" s="197"/>
      <c r="AN217" s="197"/>
      <c r="AO217" s="197"/>
      <c r="AP217" s="197"/>
      <c r="AQ217" s="197"/>
      <c r="AR217" s="197"/>
      <c r="AS217" s="197"/>
      <c r="AT217" s="197"/>
      <c r="AU217" s="197"/>
      <c r="AV217" s="197"/>
      <c r="AW217" s="197"/>
    </row>
    <row r="218" spans="28:49" s="196" customFormat="1">
      <c r="AB218" s="201"/>
      <c r="AC218" s="201"/>
      <c r="AD218" s="197"/>
      <c r="AE218" s="197"/>
      <c r="AF218" s="197"/>
      <c r="AG218" s="197"/>
      <c r="AH218" s="197"/>
      <c r="AI218" s="197"/>
      <c r="AJ218" s="197"/>
      <c r="AK218" s="197"/>
      <c r="AL218" s="197"/>
      <c r="AM218" s="197"/>
      <c r="AN218" s="197"/>
      <c r="AO218" s="197"/>
      <c r="AP218" s="197"/>
      <c r="AQ218" s="197"/>
      <c r="AR218" s="197"/>
      <c r="AS218" s="197"/>
      <c r="AT218" s="197"/>
      <c r="AU218" s="197"/>
      <c r="AV218" s="197"/>
      <c r="AW218" s="197"/>
    </row>
    <row r="219" spans="28:49" s="196" customFormat="1">
      <c r="AB219" s="201"/>
      <c r="AC219" s="201"/>
      <c r="AD219" s="197"/>
      <c r="AE219" s="197"/>
      <c r="AF219" s="197"/>
      <c r="AG219" s="197"/>
      <c r="AH219" s="197"/>
      <c r="AI219" s="197"/>
      <c r="AJ219" s="197"/>
      <c r="AK219" s="197"/>
      <c r="AL219" s="197"/>
      <c r="AM219" s="197"/>
      <c r="AN219" s="197"/>
      <c r="AO219" s="197"/>
      <c r="AP219" s="197"/>
      <c r="AQ219" s="197"/>
      <c r="AR219" s="197"/>
      <c r="AS219" s="197"/>
      <c r="AT219" s="197"/>
      <c r="AU219" s="197"/>
      <c r="AV219" s="197"/>
      <c r="AW219" s="197"/>
    </row>
    <row r="220" spans="28:49" s="196" customFormat="1">
      <c r="AB220" s="201"/>
      <c r="AC220" s="201"/>
      <c r="AD220" s="197"/>
      <c r="AE220" s="197"/>
      <c r="AF220" s="197"/>
      <c r="AG220" s="197"/>
      <c r="AH220" s="197"/>
      <c r="AI220" s="197"/>
      <c r="AJ220" s="197"/>
      <c r="AK220" s="197"/>
      <c r="AL220" s="197"/>
      <c r="AM220" s="197"/>
      <c r="AN220" s="197"/>
      <c r="AO220" s="197"/>
      <c r="AP220" s="197"/>
      <c r="AQ220" s="197"/>
      <c r="AR220" s="197"/>
      <c r="AS220" s="197"/>
      <c r="AT220" s="197"/>
      <c r="AU220" s="197"/>
      <c r="AV220" s="197"/>
      <c r="AW220" s="197"/>
    </row>
    <row r="221" spans="28:49" s="196" customFormat="1">
      <c r="AB221" s="201"/>
      <c r="AC221" s="201"/>
      <c r="AD221" s="197"/>
      <c r="AE221" s="197"/>
      <c r="AF221" s="197"/>
      <c r="AG221" s="197"/>
      <c r="AH221" s="197"/>
      <c r="AI221" s="197"/>
      <c r="AJ221" s="197"/>
      <c r="AK221" s="197"/>
      <c r="AL221" s="197"/>
      <c r="AM221" s="197"/>
      <c r="AN221" s="197"/>
      <c r="AO221" s="197"/>
      <c r="AP221" s="197"/>
      <c r="AQ221" s="197"/>
      <c r="AR221" s="197"/>
      <c r="AS221" s="197"/>
      <c r="AT221" s="197"/>
      <c r="AU221" s="197"/>
      <c r="AV221" s="197"/>
      <c r="AW221" s="197"/>
    </row>
    <row r="222" spans="28:49" s="196" customFormat="1">
      <c r="AB222" s="201"/>
      <c r="AC222" s="201"/>
      <c r="AD222" s="197"/>
      <c r="AE222" s="197"/>
      <c r="AF222" s="197"/>
      <c r="AG222" s="197"/>
      <c r="AH222" s="197"/>
      <c r="AI222" s="197"/>
      <c r="AJ222" s="197"/>
      <c r="AK222" s="197"/>
      <c r="AL222" s="197"/>
      <c r="AM222" s="197"/>
      <c r="AN222" s="197"/>
      <c r="AO222" s="197"/>
      <c r="AP222" s="197"/>
      <c r="AQ222" s="197"/>
      <c r="AR222" s="197"/>
      <c r="AS222" s="197"/>
      <c r="AT222" s="197"/>
      <c r="AU222" s="197"/>
      <c r="AV222" s="197"/>
      <c r="AW222" s="197"/>
    </row>
    <row r="223" spans="28:49" s="196" customFormat="1">
      <c r="AB223" s="201"/>
      <c r="AC223" s="201"/>
      <c r="AD223" s="197"/>
      <c r="AE223" s="197"/>
      <c r="AF223" s="197"/>
      <c r="AG223" s="197"/>
      <c r="AH223" s="197"/>
      <c r="AI223" s="197"/>
      <c r="AJ223" s="197"/>
      <c r="AK223" s="197"/>
      <c r="AL223" s="197"/>
      <c r="AM223" s="197"/>
      <c r="AN223" s="197"/>
      <c r="AO223" s="197"/>
      <c r="AP223" s="197"/>
      <c r="AQ223" s="197"/>
      <c r="AR223" s="197"/>
      <c r="AS223" s="197"/>
      <c r="AT223" s="197"/>
      <c r="AU223" s="197"/>
      <c r="AV223" s="197"/>
      <c r="AW223" s="197"/>
    </row>
    <row r="224" spans="28:49" s="196" customFormat="1">
      <c r="AB224" s="201"/>
      <c r="AC224" s="201"/>
      <c r="AD224" s="197"/>
      <c r="AE224" s="197"/>
      <c r="AF224" s="197"/>
      <c r="AG224" s="197"/>
      <c r="AH224" s="197"/>
      <c r="AI224" s="197"/>
      <c r="AJ224" s="197"/>
      <c r="AK224" s="197"/>
      <c r="AL224" s="197"/>
      <c r="AM224" s="197"/>
      <c r="AN224" s="197"/>
      <c r="AO224" s="197"/>
      <c r="AP224" s="197"/>
      <c r="AQ224" s="197"/>
      <c r="AR224" s="197"/>
      <c r="AS224" s="197"/>
      <c r="AT224" s="197"/>
      <c r="AU224" s="197"/>
      <c r="AV224" s="197"/>
      <c r="AW224" s="197"/>
    </row>
    <row r="225" spans="28:49" s="196" customFormat="1">
      <c r="AB225" s="201"/>
      <c r="AC225" s="201"/>
      <c r="AD225" s="197"/>
      <c r="AE225" s="197"/>
      <c r="AF225" s="197"/>
      <c r="AG225" s="197"/>
      <c r="AH225" s="197"/>
      <c r="AI225" s="197"/>
      <c r="AJ225" s="197"/>
      <c r="AK225" s="197"/>
      <c r="AL225" s="197"/>
      <c r="AM225" s="197"/>
      <c r="AN225" s="197"/>
      <c r="AO225" s="197"/>
      <c r="AP225" s="197"/>
      <c r="AQ225" s="197"/>
      <c r="AR225" s="197"/>
      <c r="AS225" s="197"/>
      <c r="AT225" s="197"/>
      <c r="AU225" s="197"/>
      <c r="AV225" s="197"/>
      <c r="AW225" s="197"/>
    </row>
    <row r="226" spans="28:49" s="196" customFormat="1">
      <c r="AB226" s="201"/>
      <c r="AC226" s="201"/>
      <c r="AD226" s="197"/>
      <c r="AE226" s="197"/>
      <c r="AF226" s="197"/>
      <c r="AG226" s="197"/>
      <c r="AH226" s="197"/>
      <c r="AI226" s="197"/>
      <c r="AJ226" s="197"/>
      <c r="AK226" s="197"/>
      <c r="AL226" s="197"/>
      <c r="AM226" s="197"/>
      <c r="AN226" s="197"/>
      <c r="AO226" s="197"/>
      <c r="AP226" s="197"/>
      <c r="AQ226" s="197"/>
      <c r="AR226" s="197"/>
      <c r="AS226" s="197"/>
      <c r="AT226" s="197"/>
      <c r="AU226" s="197"/>
      <c r="AV226" s="197"/>
      <c r="AW226" s="197"/>
    </row>
    <row r="227" spans="28:49" s="196" customFormat="1">
      <c r="AB227" s="201"/>
      <c r="AC227" s="201"/>
      <c r="AD227" s="197"/>
      <c r="AE227" s="197"/>
      <c r="AF227" s="197"/>
      <c r="AG227" s="197"/>
      <c r="AH227" s="197"/>
      <c r="AI227" s="197"/>
      <c r="AJ227" s="197"/>
      <c r="AK227" s="197"/>
      <c r="AL227" s="197"/>
      <c r="AM227" s="197"/>
      <c r="AN227" s="197"/>
      <c r="AO227" s="197"/>
      <c r="AP227" s="197"/>
      <c r="AQ227" s="197"/>
      <c r="AR227" s="197"/>
      <c r="AS227" s="197"/>
      <c r="AT227" s="197"/>
      <c r="AU227" s="197"/>
      <c r="AV227" s="197"/>
      <c r="AW227" s="197"/>
    </row>
    <row r="228" spans="28:49" s="196" customFormat="1">
      <c r="AB228" s="201"/>
      <c r="AC228" s="201"/>
      <c r="AD228" s="197"/>
      <c r="AE228" s="197"/>
      <c r="AF228" s="197"/>
      <c r="AG228" s="197"/>
      <c r="AH228" s="197"/>
      <c r="AI228" s="197"/>
      <c r="AJ228" s="197"/>
      <c r="AK228" s="197"/>
      <c r="AL228" s="197"/>
      <c r="AM228" s="197"/>
      <c r="AN228" s="197"/>
      <c r="AO228" s="197"/>
      <c r="AP228" s="197"/>
      <c r="AQ228" s="197"/>
      <c r="AR228" s="197"/>
      <c r="AS228" s="197"/>
      <c r="AT228" s="197"/>
      <c r="AU228" s="197"/>
      <c r="AV228" s="197"/>
      <c r="AW228" s="197"/>
    </row>
    <row r="229" spans="28:49" s="196" customFormat="1">
      <c r="AB229" s="201"/>
      <c r="AC229" s="201"/>
      <c r="AD229" s="197"/>
      <c r="AE229" s="197"/>
      <c r="AF229" s="197"/>
      <c r="AG229" s="197"/>
      <c r="AH229" s="197"/>
      <c r="AI229" s="197"/>
      <c r="AJ229" s="197"/>
      <c r="AK229" s="197"/>
      <c r="AL229" s="197"/>
      <c r="AM229" s="197"/>
      <c r="AN229" s="197"/>
      <c r="AO229" s="197"/>
      <c r="AP229" s="197"/>
      <c r="AQ229" s="197"/>
      <c r="AR229" s="197"/>
      <c r="AS229" s="197"/>
      <c r="AT229" s="197"/>
      <c r="AU229" s="197"/>
      <c r="AV229" s="197"/>
      <c r="AW229" s="197"/>
    </row>
    <row r="230" spans="28:49" s="196" customFormat="1">
      <c r="AB230" s="201"/>
      <c r="AC230" s="201"/>
      <c r="AD230" s="197"/>
      <c r="AE230" s="197"/>
      <c r="AF230" s="197"/>
      <c r="AG230" s="197"/>
      <c r="AH230" s="197"/>
      <c r="AI230" s="197"/>
      <c r="AJ230" s="197"/>
      <c r="AK230" s="197"/>
      <c r="AL230" s="197"/>
      <c r="AM230" s="197"/>
      <c r="AN230" s="197"/>
      <c r="AO230" s="197"/>
      <c r="AP230" s="197"/>
      <c r="AQ230" s="197"/>
      <c r="AR230" s="197"/>
      <c r="AS230" s="197"/>
      <c r="AT230" s="197"/>
      <c r="AU230" s="197"/>
      <c r="AV230" s="197"/>
      <c r="AW230" s="197"/>
    </row>
    <row r="231" spans="28:49" s="196" customFormat="1">
      <c r="AB231" s="201"/>
      <c r="AC231" s="201"/>
      <c r="AD231" s="197"/>
      <c r="AE231" s="197"/>
      <c r="AF231" s="197"/>
      <c r="AG231" s="197"/>
      <c r="AH231" s="197"/>
      <c r="AI231" s="197"/>
      <c r="AJ231" s="197"/>
      <c r="AK231" s="197"/>
      <c r="AL231" s="197"/>
      <c r="AM231" s="197"/>
      <c r="AN231" s="197"/>
      <c r="AO231" s="197"/>
      <c r="AP231" s="197"/>
      <c r="AQ231" s="197"/>
      <c r="AR231" s="197"/>
      <c r="AS231" s="197"/>
      <c r="AT231" s="197"/>
      <c r="AU231" s="197"/>
      <c r="AV231" s="197"/>
      <c r="AW231" s="197"/>
    </row>
    <row r="232" spans="28:49" s="196" customFormat="1">
      <c r="AB232" s="201"/>
      <c r="AC232" s="201"/>
      <c r="AD232" s="197"/>
      <c r="AE232" s="197"/>
      <c r="AF232" s="197"/>
      <c r="AG232" s="197"/>
      <c r="AH232" s="197"/>
      <c r="AI232" s="197"/>
      <c r="AJ232" s="197"/>
      <c r="AK232" s="197"/>
      <c r="AL232" s="197"/>
      <c r="AM232" s="197"/>
      <c r="AN232" s="197"/>
      <c r="AO232" s="197"/>
      <c r="AP232" s="197"/>
      <c r="AQ232" s="197"/>
      <c r="AR232" s="197"/>
      <c r="AS232" s="197"/>
      <c r="AT232" s="197"/>
      <c r="AU232" s="197"/>
      <c r="AV232" s="197"/>
      <c r="AW232" s="197"/>
    </row>
    <row r="233" spans="28:49" s="196" customFormat="1">
      <c r="AB233" s="201"/>
      <c r="AC233" s="201"/>
      <c r="AD233" s="197"/>
      <c r="AE233" s="197"/>
      <c r="AF233" s="197"/>
      <c r="AG233" s="197"/>
      <c r="AH233" s="197"/>
      <c r="AI233" s="197"/>
      <c r="AJ233" s="197"/>
      <c r="AK233" s="197"/>
      <c r="AL233" s="197"/>
      <c r="AM233" s="197"/>
      <c r="AN233" s="197"/>
      <c r="AO233" s="197"/>
      <c r="AP233" s="197"/>
      <c r="AQ233" s="197"/>
      <c r="AR233" s="197"/>
      <c r="AS233" s="197"/>
      <c r="AT233" s="197"/>
      <c r="AU233" s="197"/>
      <c r="AV233" s="197"/>
      <c r="AW233" s="197"/>
    </row>
    <row r="234" spans="28:49" s="196" customFormat="1">
      <c r="AB234" s="201"/>
      <c r="AC234" s="201"/>
      <c r="AD234" s="197"/>
      <c r="AE234" s="197"/>
      <c r="AF234" s="197"/>
      <c r="AG234" s="197"/>
      <c r="AH234" s="197"/>
      <c r="AI234" s="197"/>
      <c r="AJ234" s="197"/>
      <c r="AK234" s="197"/>
      <c r="AL234" s="197"/>
      <c r="AM234" s="197"/>
      <c r="AN234" s="197"/>
      <c r="AO234" s="197"/>
      <c r="AP234" s="197"/>
      <c r="AQ234" s="197"/>
      <c r="AR234" s="197"/>
      <c r="AS234" s="197"/>
      <c r="AT234" s="197"/>
      <c r="AU234" s="197"/>
      <c r="AV234" s="197"/>
      <c r="AW234" s="197"/>
    </row>
    <row r="235" spans="28:49" s="196" customFormat="1">
      <c r="AB235" s="201"/>
      <c r="AC235" s="201"/>
      <c r="AD235" s="197"/>
      <c r="AE235" s="197"/>
      <c r="AF235" s="197"/>
      <c r="AG235" s="197"/>
      <c r="AH235" s="197"/>
      <c r="AI235" s="197"/>
      <c r="AJ235" s="197"/>
      <c r="AK235" s="197"/>
      <c r="AL235" s="197"/>
      <c r="AM235" s="197"/>
      <c r="AN235" s="197"/>
      <c r="AO235" s="197"/>
      <c r="AP235" s="197"/>
      <c r="AQ235" s="197"/>
      <c r="AR235" s="197"/>
      <c r="AS235" s="197"/>
      <c r="AT235" s="197"/>
      <c r="AU235" s="197"/>
      <c r="AV235" s="197"/>
      <c r="AW235" s="197"/>
    </row>
    <row r="236" spans="28:49" s="196" customFormat="1">
      <c r="AB236" s="201"/>
      <c r="AC236" s="201"/>
      <c r="AD236" s="197"/>
      <c r="AE236" s="197"/>
      <c r="AF236" s="197"/>
      <c r="AG236" s="197"/>
      <c r="AH236" s="197"/>
      <c r="AI236" s="197"/>
      <c r="AJ236" s="197"/>
      <c r="AK236" s="197"/>
      <c r="AL236" s="197"/>
      <c r="AM236" s="197"/>
      <c r="AN236" s="197"/>
      <c r="AO236" s="197"/>
      <c r="AP236" s="197"/>
      <c r="AQ236" s="197"/>
      <c r="AR236" s="197"/>
      <c r="AS236" s="197"/>
      <c r="AT236" s="197"/>
      <c r="AU236" s="197"/>
      <c r="AV236" s="197"/>
      <c r="AW236" s="197"/>
    </row>
    <row r="237" spans="28:49" s="196" customFormat="1">
      <c r="AB237" s="201"/>
      <c r="AC237" s="201"/>
      <c r="AD237" s="197"/>
      <c r="AE237" s="197"/>
      <c r="AF237" s="197"/>
      <c r="AG237" s="197"/>
      <c r="AH237" s="197"/>
      <c r="AI237" s="197"/>
      <c r="AJ237" s="197"/>
      <c r="AK237" s="197"/>
      <c r="AL237" s="197"/>
      <c r="AM237" s="197"/>
      <c r="AN237" s="197"/>
      <c r="AO237" s="197"/>
      <c r="AP237" s="197"/>
      <c r="AQ237" s="197"/>
      <c r="AR237" s="197"/>
      <c r="AS237" s="197"/>
      <c r="AT237" s="197"/>
      <c r="AU237" s="197"/>
      <c r="AV237" s="197"/>
      <c r="AW237" s="197"/>
    </row>
    <row r="238" spans="28:49" s="196" customFormat="1">
      <c r="AB238" s="201"/>
      <c r="AC238" s="201"/>
      <c r="AD238" s="197"/>
      <c r="AE238" s="197"/>
      <c r="AF238" s="197"/>
      <c r="AG238" s="197"/>
      <c r="AH238" s="197"/>
      <c r="AI238" s="197"/>
      <c r="AJ238" s="197"/>
      <c r="AK238" s="197"/>
      <c r="AL238" s="197"/>
      <c r="AM238" s="197"/>
      <c r="AN238" s="197"/>
      <c r="AO238" s="197"/>
      <c r="AP238" s="197"/>
      <c r="AQ238" s="197"/>
      <c r="AR238" s="197"/>
      <c r="AS238" s="197"/>
      <c r="AT238" s="197"/>
      <c r="AU238" s="197"/>
      <c r="AV238" s="197"/>
      <c r="AW238" s="197"/>
    </row>
    <row r="239" spans="28:49" s="196" customFormat="1">
      <c r="AB239" s="201"/>
      <c r="AC239" s="201"/>
      <c r="AD239" s="197"/>
      <c r="AE239" s="197"/>
      <c r="AF239" s="197"/>
      <c r="AG239" s="197"/>
      <c r="AH239" s="197"/>
      <c r="AI239" s="197"/>
      <c r="AJ239" s="197"/>
      <c r="AK239" s="197"/>
      <c r="AL239" s="197"/>
      <c r="AM239" s="197"/>
      <c r="AN239" s="197"/>
      <c r="AO239" s="197"/>
      <c r="AP239" s="197"/>
      <c r="AQ239" s="197"/>
      <c r="AR239" s="197"/>
      <c r="AS239" s="197"/>
      <c r="AT239" s="197"/>
      <c r="AU239" s="197"/>
      <c r="AV239" s="197"/>
      <c r="AW239" s="197"/>
    </row>
    <row r="240" spans="28:49" s="196" customFormat="1">
      <c r="AB240" s="201"/>
      <c r="AC240" s="201"/>
      <c r="AD240" s="197"/>
      <c r="AE240" s="197"/>
      <c r="AF240" s="197"/>
      <c r="AG240" s="197"/>
      <c r="AH240" s="197"/>
      <c r="AI240" s="197"/>
      <c r="AJ240" s="197"/>
      <c r="AK240" s="197"/>
      <c r="AL240" s="197"/>
      <c r="AM240" s="197"/>
      <c r="AN240" s="197"/>
      <c r="AO240" s="197"/>
      <c r="AP240" s="197"/>
      <c r="AQ240" s="197"/>
      <c r="AR240" s="197"/>
      <c r="AS240" s="197"/>
      <c r="AT240" s="197"/>
      <c r="AU240" s="197"/>
      <c r="AV240" s="197"/>
      <c r="AW240" s="197"/>
    </row>
    <row r="241" spans="28:49" s="196" customFormat="1">
      <c r="AB241" s="201"/>
      <c r="AC241" s="201"/>
      <c r="AD241" s="197"/>
      <c r="AE241" s="197"/>
      <c r="AF241" s="197"/>
      <c r="AG241" s="197"/>
      <c r="AH241" s="197"/>
      <c r="AI241" s="197"/>
      <c r="AJ241" s="197"/>
      <c r="AK241" s="197"/>
      <c r="AL241" s="197"/>
      <c r="AM241" s="197"/>
      <c r="AN241" s="197"/>
      <c r="AO241" s="197"/>
      <c r="AP241" s="197"/>
      <c r="AQ241" s="197"/>
      <c r="AR241" s="197"/>
      <c r="AS241" s="197"/>
      <c r="AT241" s="197"/>
      <c r="AU241" s="197"/>
      <c r="AV241" s="197"/>
      <c r="AW241" s="197"/>
    </row>
    <row r="242" spans="28:49" s="196" customFormat="1">
      <c r="AB242" s="201"/>
      <c r="AC242" s="201"/>
      <c r="AD242" s="197"/>
      <c r="AE242" s="197"/>
      <c r="AF242" s="197"/>
      <c r="AG242" s="197"/>
      <c r="AH242" s="197"/>
      <c r="AI242" s="197"/>
      <c r="AJ242" s="197"/>
      <c r="AK242" s="197"/>
      <c r="AL242" s="197"/>
      <c r="AM242" s="197"/>
      <c r="AN242" s="197"/>
      <c r="AO242" s="197"/>
      <c r="AP242" s="197"/>
      <c r="AQ242" s="197"/>
      <c r="AR242" s="197"/>
      <c r="AS242" s="197"/>
      <c r="AT242" s="197"/>
      <c r="AU242" s="197"/>
      <c r="AV242" s="197"/>
      <c r="AW242" s="197"/>
    </row>
    <row r="243" spans="28:49" s="196" customFormat="1">
      <c r="AB243" s="201"/>
      <c r="AC243" s="201"/>
      <c r="AD243" s="197"/>
      <c r="AE243" s="197"/>
      <c r="AF243" s="197"/>
      <c r="AG243" s="197"/>
      <c r="AH243" s="197"/>
      <c r="AI243" s="197"/>
      <c r="AJ243" s="197"/>
      <c r="AK243" s="197"/>
      <c r="AL243" s="197"/>
      <c r="AM243" s="197"/>
      <c r="AN243" s="197"/>
      <c r="AO243" s="197"/>
      <c r="AP243" s="197"/>
      <c r="AQ243" s="197"/>
      <c r="AR243" s="197"/>
      <c r="AS243" s="197"/>
      <c r="AT243" s="197"/>
      <c r="AU243" s="197"/>
      <c r="AV243" s="197"/>
      <c r="AW243" s="197"/>
    </row>
    <row r="244" spans="28:49" s="196" customFormat="1">
      <c r="AB244" s="201"/>
      <c r="AC244" s="201"/>
      <c r="AD244" s="197"/>
      <c r="AE244" s="197"/>
      <c r="AF244" s="197"/>
      <c r="AG244" s="197"/>
      <c r="AH244" s="197"/>
      <c r="AI244" s="197"/>
      <c r="AJ244" s="197"/>
      <c r="AK244" s="197"/>
      <c r="AL244" s="197"/>
      <c r="AM244" s="197"/>
      <c r="AN244" s="197"/>
      <c r="AO244" s="197"/>
      <c r="AP244" s="197"/>
      <c r="AQ244" s="197"/>
      <c r="AR244" s="197"/>
      <c r="AS244" s="197"/>
      <c r="AT244" s="197"/>
      <c r="AU244" s="197"/>
      <c r="AV244" s="197"/>
      <c r="AW244" s="197"/>
    </row>
    <row r="245" spans="28:49" s="196" customFormat="1">
      <c r="AB245" s="201"/>
      <c r="AC245" s="201"/>
      <c r="AD245" s="197"/>
      <c r="AE245" s="197"/>
      <c r="AF245" s="197"/>
      <c r="AG245" s="197"/>
      <c r="AH245" s="197"/>
      <c r="AI245" s="197"/>
      <c r="AJ245" s="197"/>
      <c r="AK245" s="197"/>
      <c r="AL245" s="197"/>
      <c r="AM245" s="197"/>
      <c r="AN245" s="197"/>
      <c r="AO245" s="197"/>
      <c r="AP245" s="197"/>
      <c r="AQ245" s="197"/>
      <c r="AR245" s="197"/>
      <c r="AS245" s="197"/>
      <c r="AT245" s="197"/>
      <c r="AU245" s="197"/>
      <c r="AV245" s="197"/>
      <c r="AW245" s="197"/>
    </row>
    <row r="246" spans="28:49" s="196" customFormat="1">
      <c r="AB246" s="201"/>
      <c r="AC246" s="201"/>
      <c r="AD246" s="197"/>
      <c r="AE246" s="197"/>
      <c r="AF246" s="197"/>
      <c r="AG246" s="197"/>
      <c r="AH246" s="197"/>
      <c r="AI246" s="197"/>
      <c r="AJ246" s="197"/>
      <c r="AK246" s="197"/>
      <c r="AL246" s="197"/>
      <c r="AM246" s="197"/>
      <c r="AN246" s="197"/>
      <c r="AO246" s="197"/>
      <c r="AP246" s="197"/>
      <c r="AQ246" s="197"/>
      <c r="AR246" s="197"/>
      <c r="AS246" s="197"/>
      <c r="AT246" s="197"/>
      <c r="AU246" s="197"/>
      <c r="AV246" s="197"/>
      <c r="AW246" s="197"/>
    </row>
    <row r="247" spans="28:49" s="196" customFormat="1">
      <c r="AB247" s="201"/>
      <c r="AC247" s="201"/>
      <c r="AD247" s="197"/>
      <c r="AE247" s="197"/>
      <c r="AF247" s="197"/>
      <c r="AG247" s="197"/>
      <c r="AH247" s="197"/>
      <c r="AI247" s="197"/>
      <c r="AJ247" s="197"/>
      <c r="AK247" s="197"/>
      <c r="AL247" s="197"/>
      <c r="AM247" s="197"/>
      <c r="AN247" s="197"/>
      <c r="AO247" s="197"/>
      <c r="AP247" s="197"/>
      <c r="AQ247" s="197"/>
      <c r="AR247" s="197"/>
      <c r="AS247" s="197"/>
      <c r="AT247" s="197"/>
      <c r="AU247" s="197"/>
      <c r="AV247" s="197"/>
      <c r="AW247" s="197"/>
    </row>
    <row r="248" spans="28:49" s="196" customFormat="1">
      <c r="AB248" s="201"/>
      <c r="AC248" s="201"/>
      <c r="AD248" s="197"/>
      <c r="AE248" s="197"/>
      <c r="AF248" s="197"/>
      <c r="AG248" s="197"/>
      <c r="AH248" s="197"/>
      <c r="AI248" s="197"/>
      <c r="AJ248" s="197"/>
      <c r="AK248" s="197"/>
      <c r="AL248" s="197"/>
      <c r="AM248" s="197"/>
      <c r="AN248" s="197"/>
      <c r="AO248" s="197"/>
      <c r="AP248" s="197"/>
      <c r="AQ248" s="197"/>
      <c r="AR248" s="197"/>
      <c r="AS248" s="197"/>
      <c r="AT248" s="197"/>
      <c r="AU248" s="197"/>
      <c r="AV248" s="197"/>
      <c r="AW248" s="197"/>
    </row>
    <row r="249" spans="28:49" s="196" customFormat="1">
      <c r="AB249" s="201"/>
      <c r="AC249" s="201"/>
      <c r="AD249" s="197"/>
      <c r="AE249" s="197"/>
      <c r="AF249" s="197"/>
      <c r="AG249" s="197"/>
      <c r="AH249" s="197"/>
      <c r="AI249" s="197"/>
      <c r="AJ249" s="197"/>
      <c r="AK249" s="197"/>
      <c r="AL249" s="197"/>
      <c r="AM249" s="197"/>
      <c r="AN249" s="197"/>
      <c r="AO249" s="197"/>
      <c r="AP249" s="197"/>
      <c r="AQ249" s="197"/>
      <c r="AR249" s="197"/>
      <c r="AS249" s="197"/>
      <c r="AT249" s="197"/>
      <c r="AU249" s="197"/>
      <c r="AV249" s="197"/>
      <c r="AW249" s="197"/>
    </row>
    <row r="250" spans="28:49" s="196" customFormat="1">
      <c r="AB250" s="201"/>
      <c r="AC250" s="201"/>
      <c r="AD250" s="197"/>
      <c r="AE250" s="197"/>
      <c r="AF250" s="197"/>
      <c r="AG250" s="197"/>
      <c r="AH250" s="197"/>
      <c r="AI250" s="197"/>
      <c r="AJ250" s="197"/>
      <c r="AK250" s="197"/>
      <c r="AL250" s="197"/>
      <c r="AM250" s="197"/>
      <c r="AN250" s="197"/>
      <c r="AO250" s="197"/>
      <c r="AP250" s="197"/>
      <c r="AQ250" s="197"/>
      <c r="AR250" s="197"/>
      <c r="AS250" s="197"/>
      <c r="AT250" s="197"/>
      <c r="AU250" s="197"/>
      <c r="AV250" s="197"/>
      <c r="AW250" s="197"/>
    </row>
    <row r="251" spans="28:49" s="196" customFormat="1">
      <c r="AB251" s="201"/>
      <c r="AC251" s="201"/>
      <c r="AD251" s="197"/>
      <c r="AE251" s="197"/>
      <c r="AF251" s="197"/>
      <c r="AG251" s="197"/>
      <c r="AH251" s="197"/>
      <c r="AI251" s="197"/>
      <c r="AJ251" s="197"/>
      <c r="AK251" s="197"/>
      <c r="AL251" s="197"/>
      <c r="AM251" s="197"/>
      <c r="AN251" s="197"/>
      <c r="AO251" s="197"/>
      <c r="AP251" s="197"/>
      <c r="AQ251" s="197"/>
      <c r="AR251" s="197"/>
      <c r="AS251" s="197"/>
      <c r="AT251" s="197"/>
      <c r="AU251" s="197"/>
      <c r="AV251" s="197"/>
      <c r="AW251" s="197"/>
    </row>
    <row r="252" spans="28:49" s="196" customFormat="1">
      <c r="AB252" s="201"/>
      <c r="AC252" s="201"/>
      <c r="AD252" s="197"/>
      <c r="AE252" s="197"/>
      <c r="AF252" s="197"/>
      <c r="AG252" s="197"/>
      <c r="AH252" s="197"/>
      <c r="AI252" s="197"/>
      <c r="AJ252" s="197"/>
      <c r="AK252" s="197"/>
      <c r="AL252" s="197"/>
      <c r="AM252" s="197"/>
      <c r="AN252" s="197"/>
      <c r="AO252" s="197"/>
      <c r="AP252" s="197"/>
      <c r="AQ252" s="197"/>
      <c r="AR252" s="197"/>
      <c r="AS252" s="197"/>
      <c r="AT252" s="197"/>
      <c r="AU252" s="197"/>
      <c r="AV252" s="197"/>
      <c r="AW252" s="197"/>
    </row>
    <row r="253" spans="28:49" s="196" customFormat="1">
      <c r="AB253" s="201"/>
      <c r="AC253" s="201"/>
      <c r="AD253" s="197"/>
      <c r="AE253" s="197"/>
      <c r="AF253" s="197"/>
      <c r="AG253" s="197"/>
      <c r="AH253" s="197"/>
      <c r="AI253" s="197"/>
      <c r="AJ253" s="197"/>
      <c r="AK253" s="197"/>
      <c r="AL253" s="197"/>
      <c r="AM253" s="197"/>
      <c r="AN253" s="197"/>
      <c r="AO253" s="197"/>
      <c r="AP253" s="197"/>
      <c r="AQ253" s="197"/>
      <c r="AR253" s="197"/>
      <c r="AS253" s="197"/>
      <c r="AT253" s="197"/>
      <c r="AU253" s="197"/>
      <c r="AV253" s="197"/>
      <c r="AW253" s="197"/>
    </row>
    <row r="254" spans="28:49" s="196" customFormat="1">
      <c r="AB254" s="201"/>
      <c r="AC254" s="201"/>
      <c r="AD254" s="197"/>
      <c r="AE254" s="197"/>
      <c r="AF254" s="197"/>
      <c r="AG254" s="197"/>
      <c r="AH254" s="197"/>
      <c r="AI254" s="197"/>
      <c r="AJ254" s="197"/>
      <c r="AK254" s="197"/>
      <c r="AL254" s="197"/>
      <c r="AM254" s="197"/>
      <c r="AN254" s="197"/>
      <c r="AO254" s="197"/>
      <c r="AP254" s="197"/>
      <c r="AQ254" s="197"/>
      <c r="AR254" s="197"/>
      <c r="AS254" s="197"/>
      <c r="AT254" s="197"/>
      <c r="AU254" s="197"/>
      <c r="AV254" s="197"/>
      <c r="AW254" s="197"/>
    </row>
    <row r="255" spans="28:49" s="196" customFormat="1">
      <c r="AB255" s="201"/>
      <c r="AC255" s="201"/>
      <c r="AD255" s="197"/>
      <c r="AE255" s="197"/>
      <c r="AF255" s="197"/>
      <c r="AG255" s="197"/>
      <c r="AH255" s="197"/>
      <c r="AI255" s="197"/>
      <c r="AJ255" s="197"/>
      <c r="AK255" s="197"/>
      <c r="AL255" s="197"/>
      <c r="AM255" s="197"/>
      <c r="AN255" s="197"/>
      <c r="AO255" s="197"/>
      <c r="AP255" s="197"/>
      <c r="AQ255" s="197"/>
      <c r="AR255" s="197"/>
      <c r="AS255" s="197"/>
      <c r="AT255" s="197"/>
      <c r="AU255" s="197"/>
      <c r="AV255" s="197"/>
      <c r="AW255" s="197"/>
    </row>
    <row r="256" spans="28:49" s="196" customFormat="1">
      <c r="AB256" s="201"/>
      <c r="AC256" s="201"/>
      <c r="AD256" s="197"/>
      <c r="AE256" s="197"/>
      <c r="AF256" s="197"/>
      <c r="AG256" s="197"/>
      <c r="AH256" s="197"/>
      <c r="AI256" s="197"/>
      <c r="AJ256" s="197"/>
      <c r="AK256" s="197"/>
      <c r="AL256" s="197"/>
      <c r="AM256" s="197"/>
      <c r="AN256" s="197"/>
      <c r="AO256" s="197"/>
      <c r="AP256" s="197"/>
      <c r="AQ256" s="197"/>
      <c r="AR256" s="197"/>
      <c r="AS256" s="197"/>
      <c r="AT256" s="197"/>
      <c r="AU256" s="197"/>
      <c r="AV256" s="197"/>
      <c r="AW256" s="197"/>
    </row>
    <row r="257" spans="28:49" s="196" customFormat="1">
      <c r="AB257" s="201"/>
      <c r="AC257" s="201"/>
      <c r="AD257" s="197"/>
      <c r="AE257" s="197"/>
      <c r="AF257" s="197"/>
      <c r="AG257" s="197"/>
      <c r="AH257" s="197"/>
      <c r="AI257" s="197"/>
      <c r="AJ257" s="197"/>
      <c r="AK257" s="197"/>
      <c r="AL257" s="197"/>
      <c r="AM257" s="197"/>
      <c r="AN257" s="197"/>
      <c r="AO257" s="197"/>
      <c r="AP257" s="197"/>
      <c r="AQ257" s="197"/>
      <c r="AR257" s="197"/>
      <c r="AS257" s="197"/>
      <c r="AT257" s="197"/>
      <c r="AU257" s="197"/>
      <c r="AV257" s="197"/>
      <c r="AW257" s="197"/>
    </row>
    <row r="258" spans="28:49" s="196" customFormat="1">
      <c r="AB258" s="201"/>
      <c r="AC258" s="201"/>
      <c r="AD258" s="197"/>
      <c r="AE258" s="197"/>
      <c r="AF258" s="197"/>
      <c r="AG258" s="197"/>
      <c r="AH258" s="197"/>
      <c r="AI258" s="197"/>
      <c r="AJ258" s="197"/>
      <c r="AK258" s="197"/>
      <c r="AL258" s="197"/>
      <c r="AM258" s="197"/>
      <c r="AN258" s="197"/>
      <c r="AO258" s="197"/>
      <c r="AP258" s="197"/>
      <c r="AQ258" s="197"/>
      <c r="AR258" s="197"/>
      <c r="AS258" s="197"/>
      <c r="AT258" s="197"/>
      <c r="AU258" s="197"/>
      <c r="AV258" s="197"/>
      <c r="AW258" s="197"/>
    </row>
    <row r="259" spans="28:49" s="196" customFormat="1">
      <c r="AB259" s="201"/>
      <c r="AC259" s="201"/>
      <c r="AD259" s="197"/>
      <c r="AE259" s="197"/>
      <c r="AF259" s="197"/>
      <c r="AG259" s="197"/>
      <c r="AH259" s="197"/>
      <c r="AI259" s="197"/>
      <c r="AJ259" s="197"/>
      <c r="AK259" s="197"/>
      <c r="AL259" s="197"/>
      <c r="AM259" s="197"/>
      <c r="AN259" s="197"/>
      <c r="AO259" s="197"/>
      <c r="AP259" s="197"/>
      <c r="AQ259" s="197"/>
      <c r="AR259" s="197"/>
      <c r="AS259" s="197"/>
      <c r="AT259" s="197"/>
      <c r="AU259" s="197"/>
      <c r="AV259" s="197"/>
      <c r="AW259" s="197"/>
    </row>
    <row r="260" spans="28:49" s="196" customFormat="1">
      <c r="AB260" s="201"/>
      <c r="AC260" s="201"/>
      <c r="AD260" s="197"/>
      <c r="AE260" s="197"/>
      <c r="AF260" s="197"/>
      <c r="AG260" s="197"/>
      <c r="AH260" s="197"/>
      <c r="AI260" s="197"/>
      <c r="AJ260" s="197"/>
      <c r="AK260" s="197"/>
      <c r="AL260" s="197"/>
      <c r="AM260" s="197"/>
      <c r="AN260" s="197"/>
      <c r="AO260" s="197"/>
      <c r="AP260" s="197"/>
      <c r="AQ260" s="197"/>
      <c r="AR260" s="197"/>
      <c r="AS260" s="197"/>
      <c r="AT260" s="197"/>
      <c r="AU260" s="197"/>
      <c r="AV260" s="197"/>
      <c r="AW260" s="197"/>
    </row>
    <row r="261" spans="28:49" s="196" customFormat="1">
      <c r="AB261" s="201"/>
      <c r="AC261" s="201"/>
      <c r="AD261" s="197"/>
      <c r="AE261" s="197"/>
      <c r="AF261" s="197"/>
      <c r="AG261" s="197"/>
      <c r="AH261" s="197"/>
      <c r="AI261" s="197"/>
      <c r="AJ261" s="197"/>
      <c r="AK261" s="197"/>
      <c r="AL261" s="197"/>
      <c r="AM261" s="197"/>
      <c r="AN261" s="197"/>
      <c r="AO261" s="197"/>
      <c r="AP261" s="197"/>
      <c r="AQ261" s="197"/>
      <c r="AR261" s="197"/>
      <c r="AS261" s="197"/>
      <c r="AT261" s="197"/>
      <c r="AU261" s="197"/>
      <c r="AV261" s="197"/>
      <c r="AW261" s="197"/>
    </row>
    <row r="262" spans="28:49" s="196" customFormat="1">
      <c r="AB262" s="201"/>
      <c r="AC262" s="201"/>
      <c r="AD262" s="197"/>
      <c r="AE262" s="197"/>
      <c r="AF262" s="197"/>
      <c r="AG262" s="197"/>
      <c r="AH262" s="197"/>
      <c r="AI262" s="197"/>
      <c r="AJ262" s="197"/>
      <c r="AK262" s="197"/>
      <c r="AL262" s="197"/>
      <c r="AM262" s="197"/>
      <c r="AN262" s="197"/>
      <c r="AO262" s="197"/>
      <c r="AP262" s="197"/>
      <c r="AQ262" s="197"/>
      <c r="AR262" s="197"/>
      <c r="AS262" s="197"/>
      <c r="AT262" s="197"/>
      <c r="AU262" s="197"/>
      <c r="AV262" s="197"/>
      <c r="AW262" s="197"/>
    </row>
    <row r="263" spans="28:49" s="196" customFormat="1">
      <c r="AB263" s="201"/>
      <c r="AC263" s="201"/>
      <c r="AD263" s="197"/>
      <c r="AE263" s="197"/>
      <c r="AF263" s="197"/>
      <c r="AG263" s="197"/>
      <c r="AH263" s="197"/>
      <c r="AI263" s="197"/>
      <c r="AJ263" s="197"/>
      <c r="AK263" s="197"/>
      <c r="AL263" s="197"/>
      <c r="AM263" s="197"/>
      <c r="AN263" s="197"/>
      <c r="AO263" s="197"/>
      <c r="AP263" s="197"/>
      <c r="AQ263" s="197"/>
      <c r="AR263" s="197"/>
      <c r="AS263" s="197"/>
      <c r="AT263" s="197"/>
      <c r="AU263" s="197"/>
      <c r="AV263" s="197"/>
      <c r="AW263" s="197"/>
    </row>
    <row r="264" spans="28:49" s="196" customFormat="1">
      <c r="AB264" s="201"/>
      <c r="AC264" s="201"/>
      <c r="AD264" s="197"/>
      <c r="AE264" s="197"/>
      <c r="AF264" s="197"/>
      <c r="AG264" s="197"/>
      <c r="AH264" s="197"/>
      <c r="AI264" s="197"/>
      <c r="AJ264" s="197"/>
      <c r="AK264" s="197"/>
      <c r="AL264" s="197"/>
      <c r="AM264" s="197"/>
      <c r="AN264" s="197"/>
      <c r="AO264" s="197"/>
      <c r="AP264" s="197"/>
      <c r="AQ264" s="197"/>
      <c r="AR264" s="197"/>
      <c r="AS264" s="197"/>
      <c r="AT264" s="197"/>
      <c r="AU264" s="197"/>
      <c r="AV264" s="197"/>
      <c r="AW264" s="197"/>
    </row>
    <row r="265" spans="28:49" s="196" customFormat="1">
      <c r="AB265" s="201"/>
      <c r="AC265" s="201"/>
      <c r="AD265" s="197"/>
      <c r="AE265" s="197"/>
      <c r="AF265" s="197"/>
      <c r="AG265" s="197"/>
      <c r="AH265" s="197"/>
      <c r="AI265" s="197"/>
      <c r="AJ265" s="197"/>
      <c r="AK265" s="197"/>
      <c r="AL265" s="197"/>
      <c r="AM265" s="197"/>
      <c r="AN265" s="197"/>
      <c r="AO265" s="197"/>
      <c r="AP265" s="197"/>
      <c r="AQ265" s="197"/>
      <c r="AR265" s="197"/>
      <c r="AS265" s="197"/>
      <c r="AT265" s="197"/>
      <c r="AU265" s="197"/>
      <c r="AV265" s="197"/>
      <c r="AW265" s="197"/>
    </row>
    <row r="266" spans="28:49" s="196" customFormat="1">
      <c r="AB266" s="201"/>
      <c r="AC266" s="201"/>
      <c r="AD266" s="197"/>
      <c r="AE266" s="197"/>
      <c r="AF266" s="197"/>
      <c r="AG266" s="197"/>
      <c r="AH266" s="197"/>
      <c r="AI266" s="197"/>
      <c r="AJ266" s="197"/>
      <c r="AK266" s="197"/>
      <c r="AL266" s="197"/>
      <c r="AM266" s="197"/>
      <c r="AN266" s="197"/>
      <c r="AO266" s="197"/>
      <c r="AP266" s="197"/>
      <c r="AQ266" s="197"/>
      <c r="AR266" s="197"/>
      <c r="AS266" s="197"/>
      <c r="AT266" s="197"/>
      <c r="AU266" s="197"/>
      <c r="AV266" s="197"/>
      <c r="AW266" s="197"/>
    </row>
    <row r="267" spans="28:49" s="196" customFormat="1">
      <c r="AB267" s="201"/>
      <c r="AC267" s="201"/>
      <c r="AD267" s="197"/>
      <c r="AE267" s="197"/>
      <c r="AF267" s="197"/>
      <c r="AG267" s="197"/>
      <c r="AH267" s="197"/>
      <c r="AI267" s="197"/>
      <c r="AJ267" s="197"/>
      <c r="AK267" s="197"/>
      <c r="AL267" s="197"/>
      <c r="AM267" s="197"/>
      <c r="AN267" s="197"/>
      <c r="AO267" s="197"/>
      <c r="AP267" s="197"/>
      <c r="AQ267" s="197"/>
      <c r="AR267" s="197"/>
      <c r="AS267" s="197"/>
      <c r="AT267" s="197"/>
      <c r="AU267" s="197"/>
      <c r="AV267" s="197"/>
      <c r="AW267" s="197"/>
    </row>
    <row r="268" spans="28:49" s="196" customFormat="1">
      <c r="AB268" s="201"/>
      <c r="AC268" s="201"/>
      <c r="AD268" s="197"/>
      <c r="AE268" s="197"/>
      <c r="AF268" s="197"/>
      <c r="AG268" s="197"/>
      <c r="AH268" s="197"/>
      <c r="AI268" s="197"/>
      <c r="AJ268" s="197"/>
      <c r="AK268" s="197"/>
      <c r="AL268" s="197"/>
      <c r="AM268" s="197"/>
      <c r="AN268" s="197"/>
      <c r="AO268" s="197"/>
      <c r="AP268" s="197"/>
      <c r="AQ268" s="197"/>
      <c r="AR268" s="197"/>
      <c r="AS268" s="197"/>
      <c r="AT268" s="197"/>
      <c r="AU268" s="197"/>
      <c r="AV268" s="197"/>
      <c r="AW268" s="197"/>
    </row>
    <row r="269" spans="28:49" s="196" customFormat="1">
      <c r="AB269" s="201"/>
      <c r="AC269" s="201"/>
      <c r="AD269" s="197"/>
      <c r="AE269" s="197"/>
      <c r="AF269" s="197"/>
      <c r="AG269" s="197"/>
      <c r="AH269" s="197"/>
      <c r="AI269" s="197"/>
      <c r="AJ269" s="197"/>
      <c r="AK269" s="197"/>
      <c r="AL269" s="197"/>
      <c r="AM269" s="197"/>
      <c r="AN269" s="197"/>
      <c r="AO269" s="197"/>
      <c r="AP269" s="197"/>
      <c r="AQ269" s="197"/>
      <c r="AR269" s="197"/>
      <c r="AS269" s="197"/>
      <c r="AT269" s="197"/>
      <c r="AU269" s="197"/>
      <c r="AV269" s="197"/>
      <c r="AW269" s="197"/>
    </row>
    <row r="270" spans="28:49" s="196" customFormat="1">
      <c r="AB270" s="201"/>
      <c r="AC270" s="201"/>
      <c r="AD270" s="197"/>
      <c r="AE270" s="197"/>
      <c r="AF270" s="197"/>
      <c r="AG270" s="197"/>
      <c r="AH270" s="197"/>
      <c r="AI270" s="197"/>
      <c r="AJ270" s="197"/>
      <c r="AK270" s="197"/>
      <c r="AL270" s="197"/>
      <c r="AM270" s="197"/>
      <c r="AN270" s="197"/>
      <c r="AO270" s="197"/>
      <c r="AP270" s="197"/>
      <c r="AQ270" s="197"/>
      <c r="AR270" s="197"/>
      <c r="AS270" s="197"/>
      <c r="AT270" s="197"/>
      <c r="AU270" s="197"/>
      <c r="AV270" s="197"/>
      <c r="AW270" s="197"/>
    </row>
    <row r="271" spans="28:49" s="196" customFormat="1">
      <c r="AB271" s="201"/>
      <c r="AC271" s="201"/>
      <c r="AD271" s="197"/>
      <c r="AE271" s="197"/>
      <c r="AF271" s="197"/>
      <c r="AG271" s="197"/>
      <c r="AH271" s="197"/>
      <c r="AI271" s="197"/>
      <c r="AJ271" s="197"/>
      <c r="AK271" s="197"/>
      <c r="AL271" s="197"/>
      <c r="AM271" s="197"/>
      <c r="AN271" s="197"/>
      <c r="AO271" s="197"/>
      <c r="AP271" s="197"/>
      <c r="AQ271" s="197"/>
      <c r="AR271" s="197"/>
      <c r="AS271" s="197"/>
      <c r="AT271" s="197"/>
      <c r="AU271" s="197"/>
      <c r="AV271" s="197"/>
      <c r="AW271" s="197"/>
    </row>
    <row r="272" spans="28:49" s="196" customFormat="1">
      <c r="AB272" s="201"/>
      <c r="AC272" s="201"/>
      <c r="AD272" s="197"/>
      <c r="AE272" s="197"/>
      <c r="AF272" s="197"/>
      <c r="AG272" s="197"/>
      <c r="AH272" s="197"/>
      <c r="AI272" s="197"/>
      <c r="AJ272" s="197"/>
      <c r="AK272" s="197"/>
      <c r="AL272" s="197"/>
      <c r="AM272" s="197"/>
      <c r="AN272" s="197"/>
      <c r="AO272" s="197"/>
      <c r="AP272" s="197"/>
      <c r="AQ272" s="197"/>
      <c r="AR272" s="197"/>
      <c r="AS272" s="197"/>
      <c r="AT272" s="197"/>
      <c r="AU272" s="197"/>
      <c r="AV272" s="197"/>
      <c r="AW272" s="197"/>
    </row>
    <row r="273" spans="28:49" s="196" customFormat="1">
      <c r="AB273" s="201"/>
      <c r="AC273" s="201"/>
      <c r="AD273" s="197"/>
      <c r="AE273" s="197"/>
      <c r="AF273" s="197"/>
      <c r="AG273" s="197"/>
      <c r="AH273" s="197"/>
      <c r="AI273" s="197"/>
      <c r="AJ273" s="197"/>
      <c r="AK273" s="197"/>
      <c r="AL273" s="197"/>
      <c r="AM273" s="197"/>
      <c r="AN273" s="197"/>
      <c r="AO273" s="197"/>
      <c r="AP273" s="197"/>
      <c r="AQ273" s="197"/>
      <c r="AR273" s="197"/>
      <c r="AS273" s="197"/>
      <c r="AT273" s="197"/>
      <c r="AU273" s="197"/>
      <c r="AV273" s="197"/>
      <c r="AW273" s="197"/>
    </row>
    <row r="274" spans="28:49" s="196" customFormat="1">
      <c r="AB274" s="201"/>
      <c r="AC274" s="201"/>
      <c r="AD274" s="197"/>
      <c r="AE274" s="197"/>
      <c r="AF274" s="197"/>
      <c r="AG274" s="197"/>
      <c r="AH274" s="197"/>
      <c r="AI274" s="197"/>
      <c r="AJ274" s="197"/>
      <c r="AK274" s="197"/>
      <c r="AL274" s="197"/>
      <c r="AM274" s="197"/>
      <c r="AN274" s="197"/>
      <c r="AO274" s="197"/>
      <c r="AP274" s="197"/>
      <c r="AQ274" s="197"/>
      <c r="AR274" s="197"/>
      <c r="AS274" s="197"/>
      <c r="AT274" s="197"/>
      <c r="AU274" s="197"/>
      <c r="AV274" s="197"/>
      <c r="AW274" s="197"/>
    </row>
    <row r="275" spans="28:49" s="196" customFormat="1">
      <c r="AB275" s="201"/>
      <c r="AC275" s="201"/>
      <c r="AD275" s="197"/>
      <c r="AE275" s="197"/>
      <c r="AF275" s="197"/>
      <c r="AG275" s="197"/>
      <c r="AH275" s="197"/>
      <c r="AI275" s="197"/>
      <c r="AJ275" s="197"/>
      <c r="AK275" s="197"/>
      <c r="AL275" s="197"/>
      <c r="AM275" s="197"/>
      <c r="AN275" s="197"/>
      <c r="AO275" s="197"/>
      <c r="AP275" s="197"/>
      <c r="AQ275" s="197"/>
      <c r="AR275" s="197"/>
      <c r="AS275" s="197"/>
      <c r="AT275" s="197"/>
      <c r="AU275" s="197"/>
      <c r="AV275" s="197"/>
      <c r="AW275" s="197"/>
    </row>
    <row r="276" spans="28:49" s="196" customFormat="1">
      <c r="AB276" s="201"/>
      <c r="AC276" s="201"/>
      <c r="AD276" s="197"/>
      <c r="AE276" s="197"/>
      <c r="AF276" s="197"/>
      <c r="AG276" s="197"/>
      <c r="AH276" s="197"/>
      <c r="AI276" s="197"/>
      <c r="AJ276" s="197"/>
      <c r="AK276" s="197"/>
      <c r="AL276" s="197"/>
      <c r="AM276" s="197"/>
      <c r="AN276" s="197"/>
      <c r="AO276" s="197"/>
      <c r="AP276" s="197"/>
      <c r="AQ276" s="197"/>
      <c r="AR276" s="197"/>
      <c r="AS276" s="197"/>
      <c r="AT276" s="197"/>
      <c r="AU276" s="197"/>
      <c r="AV276" s="197"/>
      <c r="AW276" s="197"/>
    </row>
    <row r="277" spans="28:49" s="196" customFormat="1">
      <c r="AB277" s="201"/>
      <c r="AC277" s="201"/>
      <c r="AD277" s="197"/>
      <c r="AE277" s="197"/>
      <c r="AF277" s="197"/>
      <c r="AG277" s="197"/>
      <c r="AH277" s="197"/>
      <c r="AI277" s="197"/>
      <c r="AJ277" s="197"/>
      <c r="AK277" s="197"/>
      <c r="AL277" s="197"/>
      <c r="AM277" s="197"/>
      <c r="AN277" s="197"/>
      <c r="AO277" s="197"/>
      <c r="AP277" s="197"/>
      <c r="AQ277" s="197"/>
      <c r="AR277" s="197"/>
      <c r="AS277" s="197"/>
      <c r="AT277" s="197"/>
      <c r="AU277" s="197"/>
      <c r="AV277" s="197"/>
      <c r="AW277" s="197"/>
    </row>
    <row r="278" spans="28:49" s="196" customFormat="1">
      <c r="AB278" s="201"/>
      <c r="AC278" s="201"/>
      <c r="AD278" s="197"/>
      <c r="AE278" s="197"/>
      <c r="AF278" s="197"/>
      <c r="AG278" s="197"/>
      <c r="AH278" s="197"/>
      <c r="AI278" s="197"/>
      <c r="AJ278" s="197"/>
      <c r="AK278" s="197"/>
      <c r="AL278" s="197"/>
      <c r="AM278" s="197"/>
      <c r="AN278" s="197"/>
      <c r="AO278" s="197"/>
      <c r="AP278" s="197"/>
      <c r="AQ278" s="197"/>
      <c r="AR278" s="197"/>
      <c r="AS278" s="197"/>
      <c r="AT278" s="197"/>
      <c r="AU278" s="197"/>
      <c r="AV278" s="197"/>
      <c r="AW278" s="197"/>
    </row>
    <row r="279" spans="28:49" s="196" customFormat="1">
      <c r="AB279" s="201"/>
      <c r="AC279" s="201"/>
      <c r="AD279" s="197"/>
      <c r="AE279" s="197"/>
      <c r="AF279" s="197"/>
      <c r="AG279" s="197"/>
      <c r="AH279" s="197"/>
      <c r="AI279" s="197"/>
      <c r="AJ279" s="197"/>
      <c r="AK279" s="197"/>
      <c r="AL279" s="197"/>
      <c r="AM279" s="197"/>
      <c r="AN279" s="197"/>
      <c r="AO279" s="197"/>
      <c r="AP279" s="197"/>
      <c r="AQ279" s="197"/>
      <c r="AR279" s="197"/>
      <c r="AS279" s="197"/>
      <c r="AT279" s="197"/>
      <c r="AU279" s="197"/>
      <c r="AV279" s="197"/>
      <c r="AW279" s="197"/>
    </row>
    <row r="280" spans="28:49" s="196" customFormat="1">
      <c r="AB280" s="201"/>
      <c r="AC280" s="201"/>
      <c r="AD280" s="197"/>
      <c r="AE280" s="197"/>
      <c r="AF280" s="197"/>
      <c r="AG280" s="197"/>
      <c r="AH280" s="197"/>
      <c r="AI280" s="197"/>
      <c r="AJ280" s="197"/>
      <c r="AK280" s="197"/>
      <c r="AL280" s="197"/>
      <c r="AM280" s="197"/>
      <c r="AN280" s="197"/>
      <c r="AO280" s="197"/>
      <c r="AP280" s="197"/>
      <c r="AQ280" s="197"/>
      <c r="AR280" s="197"/>
      <c r="AS280" s="197"/>
      <c r="AT280" s="197"/>
      <c r="AU280" s="197"/>
      <c r="AV280" s="197"/>
      <c r="AW280" s="197"/>
    </row>
    <row r="281" spans="28:49" s="196" customFormat="1">
      <c r="AB281" s="201"/>
      <c r="AC281" s="201"/>
      <c r="AD281" s="197"/>
      <c r="AE281" s="197"/>
      <c r="AF281" s="197"/>
      <c r="AG281" s="197"/>
      <c r="AH281" s="197"/>
      <c r="AI281" s="197"/>
      <c r="AJ281" s="197"/>
      <c r="AK281" s="197"/>
      <c r="AL281" s="197"/>
      <c r="AM281" s="197"/>
      <c r="AN281" s="197"/>
      <c r="AO281" s="197"/>
      <c r="AP281" s="197"/>
      <c r="AQ281" s="197"/>
      <c r="AR281" s="197"/>
      <c r="AS281" s="197"/>
      <c r="AT281" s="197"/>
      <c r="AU281" s="197"/>
      <c r="AV281" s="197"/>
      <c r="AW281" s="197"/>
    </row>
    <row r="282" spans="28:49" s="196" customFormat="1">
      <c r="AB282" s="201"/>
      <c r="AC282" s="201"/>
      <c r="AD282" s="197"/>
      <c r="AE282" s="197"/>
      <c r="AF282" s="197"/>
      <c r="AG282" s="197"/>
      <c r="AH282" s="197"/>
      <c r="AI282" s="197"/>
      <c r="AJ282" s="197"/>
      <c r="AK282" s="197"/>
      <c r="AL282" s="197"/>
      <c r="AM282" s="197"/>
      <c r="AN282" s="197"/>
      <c r="AO282" s="197"/>
      <c r="AP282" s="197"/>
      <c r="AQ282" s="197"/>
      <c r="AR282" s="197"/>
      <c r="AS282" s="197"/>
      <c r="AT282" s="197"/>
      <c r="AU282" s="197"/>
      <c r="AV282" s="197"/>
      <c r="AW282" s="197"/>
    </row>
    <row r="283" spans="28:49" s="196" customFormat="1">
      <c r="AB283" s="201"/>
      <c r="AC283" s="201"/>
      <c r="AD283" s="197"/>
      <c r="AE283" s="197"/>
      <c r="AF283" s="197"/>
      <c r="AG283" s="197"/>
      <c r="AH283" s="197"/>
      <c r="AI283" s="197"/>
      <c r="AJ283" s="197"/>
      <c r="AK283" s="197"/>
      <c r="AL283" s="197"/>
      <c r="AM283" s="197"/>
      <c r="AN283" s="197"/>
      <c r="AO283" s="197"/>
      <c r="AP283" s="197"/>
      <c r="AQ283" s="197"/>
      <c r="AR283" s="197"/>
      <c r="AS283" s="197"/>
      <c r="AT283" s="197"/>
      <c r="AU283" s="197"/>
      <c r="AV283" s="197"/>
      <c r="AW283" s="197"/>
    </row>
    <row r="284" spans="28:49" s="196" customFormat="1">
      <c r="AB284" s="201"/>
      <c r="AC284" s="201"/>
      <c r="AD284" s="197"/>
      <c r="AE284" s="197"/>
      <c r="AF284" s="197"/>
      <c r="AG284" s="197"/>
      <c r="AH284" s="197"/>
      <c r="AI284" s="197"/>
      <c r="AJ284" s="197"/>
      <c r="AK284" s="197"/>
      <c r="AL284" s="197"/>
      <c r="AM284" s="197"/>
      <c r="AN284" s="197"/>
      <c r="AO284" s="197"/>
      <c r="AP284" s="197"/>
      <c r="AQ284" s="197"/>
      <c r="AR284" s="197"/>
      <c r="AS284" s="197"/>
      <c r="AT284" s="197"/>
      <c r="AU284" s="197"/>
      <c r="AV284" s="197"/>
      <c r="AW284" s="197"/>
    </row>
    <row r="285" spans="28:49" s="196" customFormat="1">
      <c r="AB285" s="201"/>
      <c r="AC285" s="201"/>
      <c r="AD285" s="197"/>
      <c r="AE285" s="197"/>
      <c r="AF285" s="197"/>
      <c r="AG285" s="197"/>
      <c r="AH285" s="197"/>
      <c r="AI285" s="197"/>
      <c r="AJ285" s="197"/>
      <c r="AK285" s="197"/>
      <c r="AL285" s="197"/>
      <c r="AM285" s="197"/>
      <c r="AN285" s="197"/>
      <c r="AO285" s="197"/>
      <c r="AP285" s="197"/>
      <c r="AQ285" s="197"/>
      <c r="AR285" s="197"/>
      <c r="AS285" s="197"/>
      <c r="AT285" s="197"/>
      <c r="AU285" s="197"/>
      <c r="AV285" s="197"/>
      <c r="AW285" s="197"/>
    </row>
    <row r="286" spans="28:49" s="196" customFormat="1">
      <c r="AB286" s="201"/>
      <c r="AC286" s="201"/>
      <c r="AD286" s="197"/>
      <c r="AE286" s="197"/>
      <c r="AF286" s="197"/>
      <c r="AG286" s="197"/>
      <c r="AH286" s="197"/>
      <c r="AI286" s="197"/>
      <c r="AJ286" s="197"/>
      <c r="AK286" s="197"/>
      <c r="AL286" s="197"/>
      <c r="AM286" s="197"/>
      <c r="AN286" s="197"/>
      <c r="AO286" s="197"/>
      <c r="AP286" s="197"/>
      <c r="AQ286" s="197"/>
      <c r="AR286" s="197"/>
      <c r="AS286" s="197"/>
      <c r="AT286" s="197"/>
      <c r="AU286" s="197"/>
      <c r="AV286" s="197"/>
      <c r="AW286" s="197"/>
    </row>
    <row r="287" spans="28:49" s="196" customFormat="1">
      <c r="AB287" s="201"/>
      <c r="AC287" s="201"/>
      <c r="AD287" s="197"/>
      <c r="AE287" s="197"/>
      <c r="AF287" s="197"/>
      <c r="AG287" s="197"/>
      <c r="AH287" s="197"/>
      <c r="AI287" s="197"/>
      <c r="AJ287" s="197"/>
      <c r="AK287" s="197"/>
      <c r="AL287" s="197"/>
      <c r="AM287" s="197"/>
      <c r="AN287" s="197"/>
      <c r="AO287" s="197"/>
      <c r="AP287" s="197"/>
      <c r="AQ287" s="197"/>
      <c r="AR287" s="197"/>
      <c r="AS287" s="197"/>
      <c r="AT287" s="197"/>
      <c r="AU287" s="197"/>
      <c r="AV287" s="197"/>
      <c r="AW287" s="197"/>
    </row>
    <row r="288" spans="28:49" s="196" customFormat="1">
      <c r="AB288" s="201"/>
      <c r="AC288" s="201"/>
      <c r="AD288" s="197"/>
      <c r="AE288" s="197"/>
      <c r="AF288" s="197"/>
      <c r="AG288" s="197"/>
      <c r="AH288" s="197"/>
      <c r="AI288" s="197"/>
      <c r="AJ288" s="197"/>
      <c r="AK288" s="197"/>
      <c r="AL288" s="197"/>
      <c r="AM288" s="197"/>
      <c r="AN288" s="197"/>
      <c r="AO288" s="197"/>
      <c r="AP288" s="197"/>
      <c r="AQ288" s="197"/>
      <c r="AR288" s="197"/>
      <c r="AS288" s="197"/>
      <c r="AT288" s="197"/>
      <c r="AU288" s="197"/>
      <c r="AV288" s="197"/>
      <c r="AW288" s="197"/>
    </row>
    <row r="289" spans="28:49" s="196" customFormat="1">
      <c r="AB289" s="201"/>
      <c r="AC289" s="201"/>
      <c r="AD289" s="197"/>
      <c r="AE289" s="197"/>
      <c r="AF289" s="197"/>
      <c r="AG289" s="197"/>
      <c r="AH289" s="197"/>
      <c r="AI289" s="197"/>
      <c r="AJ289" s="197"/>
      <c r="AK289" s="197"/>
      <c r="AL289" s="197"/>
      <c r="AM289" s="197"/>
      <c r="AN289" s="197"/>
      <c r="AO289" s="197"/>
      <c r="AP289" s="197"/>
      <c r="AQ289" s="197"/>
      <c r="AR289" s="197"/>
      <c r="AS289" s="197"/>
      <c r="AT289" s="197"/>
      <c r="AU289" s="197"/>
      <c r="AV289" s="197"/>
      <c r="AW289" s="197"/>
    </row>
    <row r="290" spans="28:49" s="196" customFormat="1">
      <c r="AB290" s="201"/>
      <c r="AC290" s="201"/>
      <c r="AD290" s="197"/>
      <c r="AE290" s="197"/>
      <c r="AF290" s="197"/>
      <c r="AG290" s="197"/>
      <c r="AH290" s="197"/>
      <c r="AI290" s="197"/>
      <c r="AJ290" s="197"/>
      <c r="AK290" s="197"/>
      <c r="AL290" s="197"/>
      <c r="AM290" s="197"/>
      <c r="AN290" s="197"/>
      <c r="AO290" s="197"/>
      <c r="AP290" s="197"/>
      <c r="AQ290" s="197"/>
      <c r="AR290" s="197"/>
      <c r="AS290" s="197"/>
      <c r="AT290" s="197"/>
      <c r="AU290" s="197"/>
      <c r="AV290" s="197"/>
      <c r="AW290" s="197"/>
    </row>
    <row r="291" spans="28:49" s="196" customFormat="1">
      <c r="AB291" s="201"/>
      <c r="AC291" s="201"/>
      <c r="AD291" s="197"/>
      <c r="AE291" s="197"/>
      <c r="AF291" s="197"/>
      <c r="AG291" s="197"/>
      <c r="AH291" s="197"/>
      <c r="AI291" s="197"/>
      <c r="AJ291" s="197"/>
      <c r="AK291" s="197"/>
      <c r="AL291" s="197"/>
      <c r="AM291" s="197"/>
      <c r="AN291" s="197"/>
      <c r="AO291" s="197"/>
      <c r="AP291" s="197"/>
      <c r="AQ291" s="197"/>
      <c r="AR291" s="197"/>
      <c r="AS291" s="197"/>
      <c r="AT291" s="197"/>
      <c r="AU291" s="197"/>
      <c r="AV291" s="197"/>
      <c r="AW291" s="197"/>
    </row>
    <row r="292" spans="28:49" s="196" customFormat="1">
      <c r="AB292" s="201"/>
      <c r="AC292" s="201"/>
      <c r="AD292" s="197"/>
      <c r="AE292" s="197"/>
      <c r="AF292" s="197"/>
      <c r="AG292" s="197"/>
      <c r="AH292" s="197"/>
      <c r="AI292" s="197"/>
      <c r="AJ292" s="197"/>
      <c r="AK292" s="197"/>
      <c r="AL292" s="197"/>
      <c r="AM292" s="197"/>
      <c r="AN292" s="197"/>
      <c r="AO292" s="197"/>
      <c r="AP292" s="197"/>
      <c r="AQ292" s="197"/>
      <c r="AR292" s="197"/>
      <c r="AS292" s="197"/>
      <c r="AT292" s="197"/>
      <c r="AU292" s="197"/>
      <c r="AV292" s="197"/>
      <c r="AW292" s="197"/>
    </row>
    <row r="293" spans="28:49" s="196" customFormat="1">
      <c r="AB293" s="201"/>
      <c r="AC293" s="201"/>
      <c r="AD293" s="197"/>
      <c r="AE293" s="197"/>
      <c r="AF293" s="197"/>
      <c r="AG293" s="197"/>
      <c r="AH293" s="197"/>
      <c r="AI293" s="197"/>
      <c r="AJ293" s="197"/>
      <c r="AK293" s="197"/>
      <c r="AL293" s="197"/>
      <c r="AM293" s="197"/>
      <c r="AN293" s="197"/>
      <c r="AO293" s="197"/>
      <c r="AP293" s="197"/>
      <c r="AQ293" s="197"/>
      <c r="AR293" s="197"/>
      <c r="AS293" s="197"/>
      <c r="AT293" s="197"/>
      <c r="AU293" s="197"/>
      <c r="AV293" s="197"/>
      <c r="AW293" s="197"/>
    </row>
    <row r="294" spans="28:49" s="196" customFormat="1">
      <c r="AB294" s="201"/>
      <c r="AC294" s="201"/>
      <c r="AD294" s="197"/>
      <c r="AE294" s="197"/>
      <c r="AF294" s="197"/>
      <c r="AG294" s="197"/>
      <c r="AH294" s="197"/>
      <c r="AI294" s="197"/>
      <c r="AJ294" s="197"/>
      <c r="AK294" s="197"/>
      <c r="AL294" s="197"/>
      <c r="AM294" s="197"/>
      <c r="AN294" s="197"/>
      <c r="AO294" s="197"/>
      <c r="AP294" s="197"/>
      <c r="AQ294" s="197"/>
      <c r="AR294" s="197"/>
      <c r="AS294" s="197"/>
      <c r="AT294" s="197"/>
      <c r="AU294" s="197"/>
      <c r="AV294" s="197"/>
      <c r="AW294" s="197"/>
    </row>
    <row r="295" spans="28:49" s="196" customFormat="1">
      <c r="AB295" s="201"/>
      <c r="AC295" s="201"/>
      <c r="AD295" s="197"/>
      <c r="AE295" s="197"/>
      <c r="AF295" s="197"/>
      <c r="AG295" s="197"/>
      <c r="AH295" s="197"/>
      <c r="AI295" s="197"/>
      <c r="AJ295" s="197"/>
      <c r="AK295" s="197"/>
      <c r="AL295" s="197"/>
      <c r="AM295" s="197"/>
      <c r="AN295" s="197"/>
      <c r="AO295" s="197"/>
      <c r="AP295" s="197"/>
      <c r="AQ295" s="197"/>
      <c r="AR295" s="197"/>
      <c r="AS295" s="197"/>
      <c r="AT295" s="197"/>
      <c r="AU295" s="197"/>
      <c r="AV295" s="197"/>
      <c r="AW295" s="197"/>
    </row>
    <row r="296" spans="28:49" s="196" customFormat="1">
      <c r="AB296" s="201"/>
      <c r="AC296" s="201"/>
      <c r="AD296" s="197"/>
      <c r="AE296" s="197"/>
      <c r="AF296" s="197"/>
      <c r="AG296" s="197"/>
      <c r="AH296" s="197"/>
      <c r="AI296" s="197"/>
      <c r="AJ296" s="197"/>
      <c r="AK296" s="197"/>
      <c r="AL296" s="197"/>
      <c r="AM296" s="197"/>
      <c r="AN296" s="197"/>
      <c r="AO296" s="197"/>
      <c r="AP296" s="197"/>
      <c r="AQ296" s="197"/>
      <c r="AR296" s="197"/>
      <c r="AS296" s="197"/>
      <c r="AT296" s="197"/>
      <c r="AU296" s="197"/>
      <c r="AV296" s="197"/>
      <c r="AW296" s="197"/>
    </row>
    <row r="297" spans="28:49" s="196" customFormat="1">
      <c r="AB297" s="201"/>
      <c r="AC297" s="201"/>
      <c r="AD297" s="197"/>
      <c r="AE297" s="197"/>
      <c r="AF297" s="197"/>
      <c r="AG297" s="197"/>
      <c r="AH297" s="197"/>
      <c r="AI297" s="197"/>
      <c r="AJ297" s="197"/>
      <c r="AK297" s="197"/>
      <c r="AL297" s="197"/>
      <c r="AM297" s="197"/>
      <c r="AN297" s="197"/>
      <c r="AO297" s="197"/>
      <c r="AP297" s="197"/>
      <c r="AQ297" s="197"/>
      <c r="AR297" s="197"/>
      <c r="AS297" s="197"/>
      <c r="AT297" s="197"/>
      <c r="AU297" s="197"/>
      <c r="AV297" s="197"/>
      <c r="AW297" s="197"/>
    </row>
    <row r="298" spans="28:49" s="196" customFormat="1">
      <c r="AB298" s="201"/>
      <c r="AC298" s="201"/>
      <c r="AD298" s="197"/>
      <c r="AE298" s="197"/>
      <c r="AF298" s="197"/>
      <c r="AG298" s="197"/>
      <c r="AH298" s="197"/>
      <c r="AI298" s="197"/>
      <c r="AJ298" s="197"/>
      <c r="AK298" s="197"/>
      <c r="AL298" s="197"/>
      <c r="AM298" s="197"/>
      <c r="AN298" s="197"/>
      <c r="AO298" s="197"/>
      <c r="AP298" s="197"/>
      <c r="AQ298" s="197"/>
      <c r="AR298" s="197"/>
      <c r="AS298" s="197"/>
      <c r="AT298" s="197"/>
      <c r="AU298" s="197"/>
      <c r="AV298" s="197"/>
      <c r="AW298" s="197"/>
    </row>
    <row r="299" spans="28:49" s="196" customFormat="1">
      <c r="AB299" s="201"/>
      <c r="AC299" s="201"/>
      <c r="AD299" s="197"/>
      <c r="AE299" s="197"/>
      <c r="AF299" s="197"/>
      <c r="AG299" s="197"/>
      <c r="AH299" s="197"/>
      <c r="AI299" s="197"/>
      <c r="AJ299" s="197"/>
      <c r="AK299" s="197"/>
      <c r="AL299" s="197"/>
      <c r="AM299" s="197"/>
      <c r="AN299" s="197"/>
      <c r="AO299" s="197"/>
      <c r="AP299" s="197"/>
      <c r="AQ299" s="197"/>
      <c r="AR299" s="197"/>
      <c r="AS299" s="197"/>
      <c r="AT299" s="197"/>
      <c r="AU299" s="197"/>
      <c r="AV299" s="197"/>
      <c r="AW299" s="197"/>
    </row>
    <row r="300" spans="28:49" s="196" customFormat="1">
      <c r="AB300" s="201"/>
      <c r="AC300" s="201"/>
      <c r="AD300" s="197"/>
      <c r="AE300" s="197"/>
      <c r="AF300" s="197"/>
      <c r="AG300" s="197"/>
      <c r="AH300" s="197"/>
      <c r="AI300" s="197"/>
      <c r="AJ300" s="197"/>
      <c r="AK300" s="197"/>
      <c r="AL300" s="197"/>
      <c r="AM300" s="197"/>
      <c r="AN300" s="197"/>
      <c r="AO300" s="197"/>
      <c r="AP300" s="197"/>
      <c r="AQ300" s="197"/>
      <c r="AR300" s="197"/>
      <c r="AS300" s="197"/>
      <c r="AT300" s="197"/>
      <c r="AU300" s="197"/>
      <c r="AV300" s="197"/>
      <c r="AW300" s="197"/>
    </row>
    <row r="301" spans="28:49" s="196" customFormat="1">
      <c r="AB301" s="201"/>
      <c r="AC301" s="201"/>
      <c r="AD301" s="197"/>
      <c r="AE301" s="197"/>
      <c r="AF301" s="197"/>
      <c r="AG301" s="197"/>
      <c r="AH301" s="197"/>
      <c r="AI301" s="197"/>
      <c r="AJ301" s="197"/>
      <c r="AK301" s="197"/>
      <c r="AL301" s="197"/>
      <c r="AM301" s="197"/>
      <c r="AN301" s="197"/>
      <c r="AO301" s="197"/>
      <c r="AP301" s="197"/>
      <c r="AQ301" s="197"/>
      <c r="AR301" s="197"/>
      <c r="AS301" s="197"/>
      <c r="AT301" s="197"/>
      <c r="AU301" s="197"/>
      <c r="AV301" s="197"/>
      <c r="AW301" s="197"/>
    </row>
    <row r="302" spans="28:49" s="196" customFormat="1">
      <c r="AB302" s="201"/>
      <c r="AC302" s="201"/>
      <c r="AD302" s="197"/>
      <c r="AE302" s="197"/>
      <c r="AF302" s="197"/>
      <c r="AG302" s="197"/>
      <c r="AH302" s="197"/>
      <c r="AI302" s="197"/>
      <c r="AJ302" s="197"/>
      <c r="AK302" s="197"/>
      <c r="AL302" s="197"/>
      <c r="AM302" s="197"/>
      <c r="AN302" s="197"/>
      <c r="AO302" s="197"/>
      <c r="AP302" s="197"/>
      <c r="AQ302" s="197"/>
      <c r="AR302" s="197"/>
      <c r="AS302" s="197"/>
      <c r="AT302" s="197"/>
      <c r="AU302" s="197"/>
      <c r="AV302" s="197"/>
      <c r="AW302" s="197"/>
    </row>
    <row r="303" spans="28:49" s="196" customFormat="1">
      <c r="AB303" s="201"/>
      <c r="AC303" s="201"/>
      <c r="AD303" s="197"/>
      <c r="AE303" s="197"/>
      <c r="AF303" s="197"/>
      <c r="AG303" s="197"/>
      <c r="AH303" s="197"/>
      <c r="AI303" s="197"/>
      <c r="AJ303" s="197"/>
      <c r="AK303" s="197"/>
      <c r="AL303" s="197"/>
      <c r="AM303" s="197"/>
      <c r="AN303" s="197"/>
      <c r="AO303" s="197"/>
      <c r="AP303" s="197"/>
      <c r="AQ303" s="197"/>
      <c r="AR303" s="197"/>
      <c r="AS303" s="197"/>
      <c r="AT303" s="197"/>
      <c r="AU303" s="197"/>
      <c r="AV303" s="197"/>
      <c r="AW303" s="197"/>
    </row>
    <row r="304" spans="28:49" s="196" customFormat="1">
      <c r="AB304" s="201"/>
      <c r="AC304" s="201"/>
      <c r="AD304" s="197"/>
      <c r="AE304" s="197"/>
      <c r="AF304" s="197"/>
      <c r="AG304" s="197"/>
      <c r="AH304" s="197"/>
      <c r="AI304" s="197"/>
      <c r="AJ304" s="197"/>
      <c r="AK304" s="197"/>
      <c r="AL304" s="197"/>
      <c r="AM304" s="197"/>
      <c r="AN304" s="197"/>
      <c r="AO304" s="197"/>
      <c r="AP304" s="197"/>
      <c r="AQ304" s="197"/>
      <c r="AR304" s="197"/>
      <c r="AS304" s="197"/>
      <c r="AT304" s="197"/>
      <c r="AU304" s="197"/>
      <c r="AV304" s="197"/>
      <c r="AW304" s="197"/>
    </row>
    <row r="305" spans="28:49" s="196" customFormat="1">
      <c r="AB305" s="201"/>
      <c r="AC305" s="201"/>
      <c r="AD305" s="197"/>
      <c r="AE305" s="197"/>
      <c r="AF305" s="197"/>
      <c r="AG305" s="197"/>
      <c r="AH305" s="197"/>
      <c r="AI305" s="197"/>
      <c r="AJ305" s="197"/>
      <c r="AK305" s="197"/>
      <c r="AL305" s="197"/>
      <c r="AM305" s="197"/>
      <c r="AN305" s="197"/>
      <c r="AO305" s="197"/>
      <c r="AP305" s="197"/>
      <c r="AQ305" s="197"/>
      <c r="AR305" s="197"/>
      <c r="AS305" s="197"/>
      <c r="AT305" s="197"/>
      <c r="AU305" s="197"/>
      <c r="AV305" s="197"/>
      <c r="AW305" s="197"/>
    </row>
    <row r="306" spans="28:49" s="196" customFormat="1">
      <c r="AB306" s="201"/>
      <c r="AC306" s="201"/>
      <c r="AD306" s="197"/>
      <c r="AE306" s="197"/>
      <c r="AF306" s="197"/>
      <c r="AG306" s="197"/>
      <c r="AH306" s="197"/>
      <c r="AI306" s="197"/>
      <c r="AJ306" s="197"/>
      <c r="AK306" s="197"/>
      <c r="AL306" s="197"/>
      <c r="AM306" s="197"/>
      <c r="AN306" s="197"/>
      <c r="AO306" s="197"/>
      <c r="AP306" s="197"/>
      <c r="AQ306" s="197"/>
      <c r="AR306" s="197"/>
      <c r="AS306" s="197"/>
      <c r="AT306" s="197"/>
      <c r="AU306" s="197"/>
      <c r="AV306" s="197"/>
      <c r="AW306" s="197"/>
    </row>
    <row r="307" spans="28:49" s="196" customFormat="1">
      <c r="AB307" s="201"/>
      <c r="AC307" s="201"/>
      <c r="AD307" s="197"/>
      <c r="AE307" s="197"/>
      <c r="AF307" s="197"/>
      <c r="AG307" s="197"/>
      <c r="AH307" s="197"/>
      <c r="AI307" s="197"/>
      <c r="AJ307" s="197"/>
      <c r="AK307" s="197"/>
      <c r="AL307" s="197"/>
      <c r="AM307" s="197"/>
      <c r="AN307" s="197"/>
      <c r="AO307" s="197"/>
      <c r="AP307" s="197"/>
      <c r="AQ307" s="197"/>
      <c r="AR307" s="197"/>
      <c r="AS307" s="197"/>
      <c r="AT307" s="197"/>
      <c r="AU307" s="197"/>
      <c r="AV307" s="197"/>
      <c r="AW307" s="197"/>
    </row>
    <row r="308" spans="28:49" s="196" customFormat="1">
      <c r="AB308" s="201"/>
      <c r="AC308" s="201"/>
      <c r="AD308" s="197"/>
      <c r="AE308" s="197"/>
      <c r="AF308" s="197"/>
      <c r="AG308" s="197"/>
      <c r="AH308" s="197"/>
      <c r="AI308" s="197"/>
      <c r="AJ308" s="197"/>
      <c r="AK308" s="197"/>
      <c r="AL308" s="197"/>
      <c r="AM308" s="197"/>
      <c r="AN308" s="197"/>
      <c r="AO308" s="197"/>
      <c r="AP308" s="197"/>
      <c r="AQ308" s="197"/>
      <c r="AR308" s="197"/>
      <c r="AS308" s="197"/>
      <c r="AT308" s="197"/>
      <c r="AU308" s="197"/>
      <c r="AV308" s="197"/>
      <c r="AW308" s="197"/>
    </row>
    <row r="309" spans="28:49" s="196" customFormat="1">
      <c r="AB309" s="201"/>
      <c r="AC309" s="201"/>
      <c r="AD309" s="197"/>
      <c r="AE309" s="197"/>
      <c r="AF309" s="197"/>
      <c r="AG309" s="197"/>
      <c r="AH309" s="197"/>
      <c r="AI309" s="197"/>
      <c r="AJ309" s="197"/>
      <c r="AK309" s="197"/>
      <c r="AL309" s="197"/>
      <c r="AM309" s="197"/>
      <c r="AN309" s="197"/>
      <c r="AO309" s="197"/>
      <c r="AP309" s="197"/>
      <c r="AQ309" s="197"/>
      <c r="AR309" s="197"/>
      <c r="AS309" s="197"/>
      <c r="AT309" s="197"/>
      <c r="AU309" s="197"/>
      <c r="AV309" s="197"/>
      <c r="AW309" s="197"/>
    </row>
    <row r="310" spans="28:49" s="196" customFormat="1">
      <c r="AB310" s="201"/>
      <c r="AC310" s="201"/>
      <c r="AD310" s="197"/>
      <c r="AE310" s="197"/>
      <c r="AF310" s="197"/>
      <c r="AG310" s="197"/>
      <c r="AH310" s="197"/>
      <c r="AI310" s="197"/>
      <c r="AJ310" s="197"/>
      <c r="AK310" s="197"/>
      <c r="AL310" s="197"/>
      <c r="AM310" s="197"/>
      <c r="AN310" s="197"/>
      <c r="AO310" s="197"/>
      <c r="AP310" s="197"/>
      <c r="AQ310" s="197"/>
      <c r="AR310" s="197"/>
      <c r="AS310" s="197"/>
      <c r="AT310" s="197"/>
      <c r="AU310" s="197"/>
      <c r="AV310" s="197"/>
      <c r="AW310" s="197"/>
    </row>
    <row r="311" spans="28:49" s="196" customFormat="1">
      <c r="AB311" s="201"/>
      <c r="AC311" s="201"/>
      <c r="AD311" s="197"/>
      <c r="AE311" s="197"/>
      <c r="AF311" s="197"/>
      <c r="AG311" s="197"/>
      <c r="AH311" s="197"/>
      <c r="AI311" s="197"/>
      <c r="AJ311" s="197"/>
      <c r="AK311" s="197"/>
      <c r="AL311" s="197"/>
      <c r="AM311" s="197"/>
      <c r="AN311" s="197"/>
      <c r="AO311" s="197"/>
      <c r="AP311" s="197"/>
      <c r="AQ311" s="197"/>
      <c r="AR311" s="197"/>
      <c r="AS311" s="197"/>
      <c r="AT311" s="197"/>
      <c r="AU311" s="197"/>
      <c r="AV311" s="197"/>
      <c r="AW311" s="197"/>
    </row>
    <row r="312" spans="28:49" s="196" customFormat="1">
      <c r="AB312" s="201"/>
      <c r="AC312" s="201"/>
      <c r="AD312" s="197"/>
      <c r="AE312" s="197"/>
      <c r="AF312" s="197"/>
      <c r="AG312" s="197"/>
      <c r="AH312" s="197"/>
      <c r="AI312" s="197"/>
      <c r="AJ312" s="197"/>
      <c r="AK312" s="197"/>
      <c r="AL312" s="197"/>
      <c r="AM312" s="197"/>
      <c r="AN312" s="197"/>
      <c r="AO312" s="197"/>
      <c r="AP312" s="197"/>
      <c r="AQ312" s="197"/>
      <c r="AR312" s="197"/>
      <c r="AS312" s="197"/>
      <c r="AT312" s="197"/>
      <c r="AU312" s="197"/>
      <c r="AV312" s="197"/>
      <c r="AW312" s="197"/>
    </row>
    <row r="313" spans="28:49" s="196" customFormat="1">
      <c r="AB313" s="201"/>
      <c r="AC313" s="201"/>
      <c r="AD313" s="197"/>
      <c r="AE313" s="197"/>
      <c r="AF313" s="197"/>
      <c r="AG313" s="197"/>
      <c r="AH313" s="197"/>
      <c r="AI313" s="197"/>
      <c r="AJ313" s="197"/>
      <c r="AK313" s="197"/>
      <c r="AL313" s="197"/>
      <c r="AM313" s="197"/>
      <c r="AN313" s="197"/>
      <c r="AO313" s="197"/>
      <c r="AP313" s="197"/>
      <c r="AQ313" s="197"/>
      <c r="AR313" s="197"/>
      <c r="AS313" s="197"/>
      <c r="AT313" s="197"/>
      <c r="AU313" s="197"/>
      <c r="AV313" s="197"/>
      <c r="AW313" s="197"/>
    </row>
    <row r="314" spans="28:49" s="196" customFormat="1">
      <c r="AB314" s="201"/>
      <c r="AC314" s="201"/>
      <c r="AD314" s="197"/>
      <c r="AE314" s="197"/>
      <c r="AF314" s="197"/>
      <c r="AG314" s="197"/>
      <c r="AH314" s="197"/>
      <c r="AI314" s="197"/>
      <c r="AJ314" s="197"/>
      <c r="AK314" s="197"/>
      <c r="AL314" s="197"/>
      <c r="AM314" s="197"/>
      <c r="AN314" s="197"/>
      <c r="AO314" s="197"/>
      <c r="AP314" s="197"/>
      <c r="AQ314" s="197"/>
      <c r="AR314" s="197"/>
      <c r="AS314" s="197"/>
      <c r="AT314" s="197"/>
      <c r="AU314" s="197"/>
      <c r="AV314" s="197"/>
      <c r="AW314" s="197"/>
    </row>
    <row r="315" spans="28:49" s="196" customFormat="1">
      <c r="AB315" s="201"/>
      <c r="AC315" s="201"/>
      <c r="AD315" s="197"/>
      <c r="AE315" s="197"/>
      <c r="AF315" s="197"/>
      <c r="AG315" s="197"/>
      <c r="AH315" s="197"/>
      <c r="AI315" s="197"/>
      <c r="AJ315" s="197"/>
      <c r="AK315" s="197"/>
      <c r="AL315" s="197"/>
      <c r="AM315" s="197"/>
      <c r="AN315" s="197"/>
      <c r="AO315" s="197"/>
      <c r="AP315" s="197"/>
      <c r="AQ315" s="197"/>
      <c r="AR315" s="197"/>
      <c r="AS315" s="197"/>
      <c r="AT315" s="197"/>
      <c r="AU315" s="197"/>
      <c r="AV315" s="197"/>
      <c r="AW315" s="197"/>
    </row>
    <row r="316" spans="28:49" s="196" customFormat="1">
      <c r="AB316" s="201"/>
      <c r="AC316" s="201"/>
      <c r="AD316" s="197"/>
      <c r="AE316" s="197"/>
      <c r="AF316" s="197"/>
      <c r="AG316" s="197"/>
      <c r="AH316" s="197"/>
      <c r="AI316" s="197"/>
      <c r="AJ316" s="197"/>
      <c r="AK316" s="197"/>
      <c r="AL316" s="197"/>
      <c r="AM316" s="197"/>
      <c r="AN316" s="197"/>
      <c r="AO316" s="197"/>
      <c r="AP316" s="197"/>
      <c r="AQ316" s="197"/>
      <c r="AR316" s="197"/>
      <c r="AS316" s="197"/>
      <c r="AT316" s="197"/>
      <c r="AU316" s="197"/>
      <c r="AV316" s="197"/>
      <c r="AW316" s="197"/>
    </row>
    <row r="317" spans="28:49" s="196" customFormat="1">
      <c r="AB317" s="201"/>
      <c r="AC317" s="201"/>
      <c r="AD317" s="197"/>
      <c r="AE317" s="197"/>
      <c r="AF317" s="197"/>
      <c r="AG317" s="197"/>
      <c r="AH317" s="197"/>
      <c r="AI317" s="197"/>
      <c r="AJ317" s="197"/>
      <c r="AK317" s="197"/>
      <c r="AL317" s="197"/>
      <c r="AM317" s="197"/>
      <c r="AN317" s="197"/>
      <c r="AO317" s="197"/>
      <c r="AP317" s="197"/>
      <c r="AQ317" s="197"/>
      <c r="AR317" s="197"/>
      <c r="AS317" s="197"/>
      <c r="AT317" s="197"/>
      <c r="AU317" s="197"/>
      <c r="AV317" s="197"/>
      <c r="AW317" s="197"/>
    </row>
    <row r="318" spans="28:49" s="196" customFormat="1">
      <c r="AB318" s="201"/>
      <c r="AC318" s="201"/>
      <c r="AD318" s="197"/>
      <c r="AE318" s="197"/>
      <c r="AF318" s="197"/>
      <c r="AG318" s="197"/>
      <c r="AH318" s="197"/>
      <c r="AI318" s="197"/>
      <c r="AJ318" s="197"/>
      <c r="AK318" s="197"/>
      <c r="AL318" s="197"/>
      <c r="AM318" s="197"/>
      <c r="AN318" s="197"/>
      <c r="AO318" s="197"/>
      <c r="AP318" s="197"/>
      <c r="AQ318" s="197"/>
      <c r="AR318" s="197"/>
      <c r="AS318" s="197"/>
      <c r="AT318" s="197"/>
      <c r="AU318" s="197"/>
      <c r="AV318" s="197"/>
      <c r="AW318" s="197"/>
    </row>
    <row r="319" spans="28:49" s="196" customFormat="1">
      <c r="AB319" s="201"/>
      <c r="AC319" s="201"/>
      <c r="AD319" s="197"/>
      <c r="AE319" s="197"/>
      <c r="AF319" s="197"/>
      <c r="AG319" s="197"/>
      <c r="AH319" s="197"/>
      <c r="AI319" s="197"/>
      <c r="AJ319" s="197"/>
      <c r="AK319" s="197"/>
      <c r="AL319" s="197"/>
      <c r="AM319" s="197"/>
      <c r="AN319" s="197"/>
      <c r="AO319" s="197"/>
      <c r="AP319" s="197"/>
      <c r="AQ319" s="197"/>
      <c r="AR319" s="197"/>
      <c r="AS319" s="197"/>
      <c r="AT319" s="197"/>
      <c r="AU319" s="197"/>
      <c r="AV319" s="197"/>
      <c r="AW319" s="197"/>
    </row>
    <row r="320" spans="28:49" s="196" customFormat="1">
      <c r="AB320" s="201"/>
      <c r="AC320" s="201"/>
      <c r="AD320" s="197"/>
      <c r="AE320" s="197"/>
      <c r="AF320" s="197"/>
      <c r="AG320" s="197"/>
      <c r="AH320" s="197"/>
      <c r="AI320" s="197"/>
      <c r="AJ320" s="197"/>
      <c r="AK320" s="197"/>
      <c r="AL320" s="197"/>
      <c r="AM320" s="197"/>
      <c r="AN320" s="197"/>
      <c r="AO320" s="197"/>
      <c r="AP320" s="197"/>
      <c r="AQ320" s="197"/>
      <c r="AR320" s="197"/>
      <c r="AS320" s="197"/>
      <c r="AT320" s="197"/>
      <c r="AU320" s="197"/>
      <c r="AV320" s="197"/>
      <c r="AW320" s="197"/>
    </row>
    <row r="321" spans="28:49" s="196" customFormat="1">
      <c r="AB321" s="201"/>
      <c r="AC321" s="201"/>
      <c r="AD321" s="197"/>
      <c r="AE321" s="197"/>
      <c r="AF321" s="197"/>
      <c r="AG321" s="197"/>
      <c r="AH321" s="197"/>
      <c r="AI321" s="197"/>
      <c r="AJ321" s="197"/>
      <c r="AK321" s="197"/>
      <c r="AL321" s="197"/>
      <c r="AM321" s="197"/>
      <c r="AN321" s="197"/>
      <c r="AO321" s="197"/>
      <c r="AP321" s="197"/>
      <c r="AQ321" s="197"/>
      <c r="AR321" s="197"/>
      <c r="AS321" s="197"/>
      <c r="AT321" s="197"/>
      <c r="AU321" s="197"/>
      <c r="AV321" s="197"/>
      <c r="AW321" s="197"/>
    </row>
    <row r="322" spans="28:49" s="196" customFormat="1">
      <c r="AB322" s="201"/>
      <c r="AC322" s="201"/>
      <c r="AD322" s="197"/>
      <c r="AE322" s="197"/>
      <c r="AF322" s="197"/>
      <c r="AG322" s="197"/>
      <c r="AH322" s="197"/>
      <c r="AI322" s="197"/>
      <c r="AJ322" s="197"/>
      <c r="AK322" s="197"/>
      <c r="AL322" s="197"/>
      <c r="AM322" s="197"/>
      <c r="AN322" s="197"/>
      <c r="AO322" s="197"/>
      <c r="AP322" s="197"/>
      <c r="AQ322" s="197"/>
      <c r="AR322" s="197"/>
      <c r="AS322" s="197"/>
      <c r="AT322" s="197"/>
      <c r="AU322" s="197"/>
      <c r="AV322" s="197"/>
      <c r="AW322" s="197"/>
    </row>
    <row r="323" spans="28:49" s="196" customFormat="1">
      <c r="AB323" s="201"/>
      <c r="AC323" s="201"/>
      <c r="AD323" s="197"/>
      <c r="AE323" s="197"/>
      <c r="AF323" s="197"/>
      <c r="AG323" s="197"/>
      <c r="AH323" s="197"/>
      <c r="AI323" s="197"/>
      <c r="AJ323" s="197"/>
      <c r="AK323" s="197"/>
      <c r="AL323" s="197"/>
      <c r="AM323" s="197"/>
      <c r="AN323" s="197"/>
      <c r="AO323" s="197"/>
      <c r="AP323" s="197"/>
      <c r="AQ323" s="197"/>
      <c r="AR323" s="197"/>
      <c r="AS323" s="197"/>
      <c r="AT323" s="197"/>
      <c r="AU323" s="197"/>
      <c r="AV323" s="197"/>
      <c r="AW323" s="197"/>
    </row>
    <row r="324" spans="28:49" s="196" customFormat="1">
      <c r="AB324" s="201"/>
      <c r="AC324" s="201"/>
      <c r="AD324" s="197"/>
      <c r="AE324" s="197"/>
      <c r="AF324" s="197"/>
      <c r="AG324" s="197"/>
      <c r="AH324" s="197"/>
      <c r="AI324" s="197"/>
      <c r="AJ324" s="197"/>
      <c r="AK324" s="197"/>
      <c r="AL324" s="197"/>
      <c r="AM324" s="197"/>
      <c r="AN324" s="197"/>
      <c r="AO324" s="197"/>
      <c r="AP324" s="197"/>
      <c r="AQ324" s="197"/>
      <c r="AR324" s="197"/>
      <c r="AS324" s="197"/>
      <c r="AT324" s="197"/>
      <c r="AU324" s="197"/>
      <c r="AV324" s="197"/>
      <c r="AW324" s="197"/>
    </row>
    <row r="325" spans="28:49" s="196" customFormat="1">
      <c r="AB325" s="201"/>
      <c r="AC325" s="201"/>
      <c r="AD325" s="197"/>
      <c r="AE325" s="197"/>
      <c r="AF325" s="197"/>
      <c r="AG325" s="197"/>
      <c r="AH325" s="197"/>
      <c r="AI325" s="197"/>
      <c r="AJ325" s="197"/>
      <c r="AK325" s="197"/>
      <c r="AL325" s="197"/>
      <c r="AM325" s="197"/>
      <c r="AN325" s="197"/>
      <c r="AO325" s="197"/>
      <c r="AP325" s="197"/>
      <c r="AQ325" s="197"/>
      <c r="AR325" s="197"/>
      <c r="AS325" s="197"/>
      <c r="AT325" s="197"/>
      <c r="AU325" s="197"/>
      <c r="AV325" s="197"/>
      <c r="AW325" s="197"/>
    </row>
    <row r="326" spans="28:49" s="196" customFormat="1">
      <c r="AB326" s="201"/>
      <c r="AC326" s="201"/>
      <c r="AD326" s="197"/>
      <c r="AE326" s="197"/>
      <c r="AF326" s="197"/>
      <c r="AG326" s="197"/>
      <c r="AH326" s="197"/>
      <c r="AI326" s="197"/>
      <c r="AJ326" s="197"/>
      <c r="AK326" s="197"/>
      <c r="AL326" s="197"/>
      <c r="AM326" s="197"/>
      <c r="AN326" s="197"/>
      <c r="AO326" s="197"/>
      <c r="AP326" s="197"/>
      <c r="AQ326" s="197"/>
      <c r="AR326" s="197"/>
      <c r="AS326" s="197"/>
      <c r="AT326" s="197"/>
      <c r="AU326" s="197"/>
      <c r="AV326" s="197"/>
      <c r="AW326" s="197"/>
    </row>
    <row r="327" spans="28:49" s="196" customFormat="1">
      <c r="AB327" s="201"/>
      <c r="AC327" s="201"/>
      <c r="AD327" s="197"/>
      <c r="AE327" s="197"/>
      <c r="AF327" s="197"/>
      <c r="AG327" s="197"/>
      <c r="AH327" s="197"/>
      <c r="AI327" s="197"/>
      <c r="AJ327" s="197"/>
      <c r="AK327" s="197"/>
      <c r="AL327" s="197"/>
      <c r="AM327" s="197"/>
      <c r="AN327" s="197"/>
      <c r="AO327" s="197"/>
      <c r="AP327" s="197"/>
      <c r="AQ327" s="197"/>
      <c r="AR327" s="197"/>
      <c r="AS327" s="197"/>
      <c r="AT327" s="197"/>
      <c r="AU327" s="197"/>
      <c r="AV327" s="197"/>
      <c r="AW327" s="197"/>
    </row>
    <row r="328" spans="28:49" s="196" customFormat="1">
      <c r="AB328" s="201"/>
      <c r="AC328" s="201"/>
      <c r="AD328" s="197"/>
      <c r="AE328" s="197"/>
      <c r="AF328" s="197"/>
      <c r="AG328" s="197"/>
      <c r="AH328" s="197"/>
      <c r="AI328" s="197"/>
      <c r="AJ328" s="197"/>
      <c r="AK328" s="197"/>
      <c r="AL328" s="197"/>
      <c r="AM328" s="197"/>
      <c r="AN328" s="197"/>
      <c r="AO328" s="197"/>
      <c r="AP328" s="197"/>
      <c r="AQ328" s="197"/>
      <c r="AR328" s="197"/>
      <c r="AS328" s="197"/>
      <c r="AT328" s="197"/>
      <c r="AU328" s="197"/>
      <c r="AV328" s="197"/>
      <c r="AW328" s="197"/>
    </row>
    <row r="329" spans="28:49" s="196" customFormat="1">
      <c r="AB329" s="201"/>
      <c r="AC329" s="201"/>
      <c r="AD329" s="197"/>
      <c r="AE329" s="197"/>
      <c r="AF329" s="197"/>
      <c r="AG329" s="197"/>
      <c r="AH329" s="197"/>
      <c r="AI329" s="197"/>
      <c r="AJ329" s="197"/>
      <c r="AK329" s="197"/>
      <c r="AL329" s="197"/>
      <c r="AM329" s="197"/>
      <c r="AN329" s="197"/>
      <c r="AO329" s="197"/>
      <c r="AP329" s="197"/>
      <c r="AQ329" s="197"/>
      <c r="AR329" s="197"/>
      <c r="AS329" s="197"/>
      <c r="AT329" s="197"/>
      <c r="AU329" s="197"/>
      <c r="AV329" s="197"/>
      <c r="AW329" s="197"/>
    </row>
    <row r="330" spans="28:49" s="196" customFormat="1">
      <c r="AB330" s="201"/>
      <c r="AC330" s="201"/>
      <c r="AD330" s="197"/>
      <c r="AE330" s="197"/>
      <c r="AF330" s="197"/>
      <c r="AG330" s="197"/>
      <c r="AH330" s="197"/>
      <c r="AI330" s="197"/>
      <c r="AJ330" s="197"/>
      <c r="AK330" s="197"/>
      <c r="AL330" s="197"/>
      <c r="AM330" s="197"/>
      <c r="AN330" s="197"/>
      <c r="AO330" s="197"/>
      <c r="AP330" s="197"/>
      <c r="AQ330" s="197"/>
      <c r="AR330" s="197"/>
      <c r="AS330" s="197"/>
      <c r="AT330" s="197"/>
      <c r="AU330" s="197"/>
      <c r="AV330" s="197"/>
      <c r="AW330" s="197"/>
    </row>
    <row r="331" spans="28:49" s="196" customFormat="1">
      <c r="AB331" s="201"/>
      <c r="AC331" s="201"/>
      <c r="AD331" s="197"/>
      <c r="AE331" s="197"/>
      <c r="AF331" s="197"/>
      <c r="AG331" s="197"/>
      <c r="AH331" s="197"/>
      <c r="AI331" s="197"/>
      <c r="AJ331" s="197"/>
      <c r="AK331" s="197"/>
      <c r="AL331" s="197"/>
      <c r="AM331" s="197"/>
      <c r="AN331" s="197"/>
      <c r="AO331" s="197"/>
      <c r="AP331" s="197"/>
      <c r="AQ331" s="197"/>
      <c r="AR331" s="197"/>
      <c r="AS331" s="197"/>
      <c r="AT331" s="197"/>
      <c r="AU331" s="197"/>
      <c r="AV331" s="197"/>
      <c r="AW331" s="197"/>
    </row>
    <row r="332" spans="28:49" s="196" customFormat="1">
      <c r="AB332" s="201"/>
      <c r="AC332" s="201"/>
      <c r="AD332" s="197"/>
      <c r="AE332" s="197"/>
      <c r="AF332" s="197"/>
      <c r="AG332" s="197"/>
      <c r="AH332" s="197"/>
      <c r="AI332" s="197"/>
      <c r="AJ332" s="197"/>
      <c r="AK332" s="197"/>
      <c r="AL332" s="197"/>
      <c r="AM332" s="197"/>
      <c r="AN332" s="197"/>
      <c r="AO332" s="197"/>
      <c r="AP332" s="197"/>
      <c r="AQ332" s="197"/>
      <c r="AR332" s="197"/>
      <c r="AS332" s="197"/>
      <c r="AT332" s="197"/>
      <c r="AU332" s="197"/>
      <c r="AV332" s="197"/>
      <c r="AW332" s="197"/>
    </row>
    <row r="333" spans="28:49" s="196" customFormat="1">
      <c r="AB333" s="201"/>
      <c r="AC333" s="201"/>
      <c r="AD333" s="197"/>
      <c r="AE333" s="197"/>
      <c r="AF333" s="197"/>
      <c r="AG333" s="197"/>
      <c r="AH333" s="197"/>
      <c r="AI333" s="197"/>
      <c r="AJ333" s="197"/>
      <c r="AK333" s="197"/>
      <c r="AL333" s="197"/>
      <c r="AM333" s="197"/>
      <c r="AN333" s="197"/>
      <c r="AO333" s="197"/>
      <c r="AP333" s="197"/>
      <c r="AQ333" s="197"/>
      <c r="AR333" s="197"/>
      <c r="AS333" s="197"/>
      <c r="AT333" s="197"/>
      <c r="AU333" s="197"/>
      <c r="AV333" s="197"/>
      <c r="AW333" s="197"/>
    </row>
    <row r="334" spans="28:49" s="196" customFormat="1">
      <c r="AB334" s="201"/>
      <c r="AC334" s="201"/>
      <c r="AD334" s="197"/>
      <c r="AE334" s="197"/>
      <c r="AF334" s="197"/>
      <c r="AG334" s="197"/>
      <c r="AH334" s="197"/>
      <c r="AI334" s="197"/>
      <c r="AJ334" s="197"/>
      <c r="AK334" s="197"/>
      <c r="AL334" s="197"/>
      <c r="AM334" s="197"/>
      <c r="AN334" s="197"/>
      <c r="AO334" s="197"/>
      <c r="AP334" s="197"/>
      <c r="AQ334" s="197"/>
      <c r="AR334" s="197"/>
      <c r="AS334" s="197"/>
      <c r="AT334" s="197"/>
      <c r="AU334" s="197"/>
      <c r="AV334" s="197"/>
      <c r="AW334" s="197"/>
    </row>
    <row r="335" spans="28:49" s="196" customFormat="1">
      <c r="AB335" s="201"/>
      <c r="AC335" s="201"/>
      <c r="AD335" s="197"/>
      <c r="AE335" s="197"/>
      <c r="AF335" s="197"/>
      <c r="AG335" s="197"/>
      <c r="AH335" s="197"/>
      <c r="AI335" s="197"/>
      <c r="AJ335" s="197"/>
      <c r="AK335" s="197"/>
      <c r="AL335" s="197"/>
      <c r="AM335" s="197"/>
      <c r="AN335" s="197"/>
      <c r="AO335" s="197"/>
      <c r="AP335" s="197"/>
      <c r="AQ335" s="197"/>
      <c r="AR335" s="197"/>
      <c r="AS335" s="197"/>
      <c r="AT335" s="197"/>
      <c r="AU335" s="197"/>
      <c r="AV335" s="197"/>
      <c r="AW335" s="197"/>
    </row>
    <row r="336" spans="28:49" s="196" customFormat="1">
      <c r="AB336" s="201"/>
      <c r="AC336" s="201"/>
      <c r="AD336" s="197"/>
      <c r="AE336" s="197"/>
      <c r="AF336" s="197"/>
      <c r="AG336" s="197"/>
      <c r="AH336" s="197"/>
      <c r="AI336" s="197"/>
      <c r="AJ336" s="197"/>
      <c r="AK336" s="197"/>
      <c r="AL336" s="197"/>
      <c r="AM336" s="197"/>
      <c r="AN336" s="197"/>
      <c r="AO336" s="197"/>
      <c r="AP336" s="197"/>
      <c r="AQ336" s="197"/>
      <c r="AR336" s="197"/>
      <c r="AS336" s="197"/>
      <c r="AT336" s="197"/>
      <c r="AU336" s="197"/>
      <c r="AV336" s="197"/>
      <c r="AW336" s="197"/>
    </row>
    <row r="337" spans="28:49" s="196" customFormat="1">
      <c r="AB337" s="201"/>
      <c r="AC337" s="201"/>
      <c r="AD337" s="197"/>
      <c r="AE337" s="197"/>
      <c r="AF337" s="197"/>
      <c r="AG337" s="197"/>
      <c r="AH337" s="197"/>
      <c r="AI337" s="197"/>
      <c r="AJ337" s="197"/>
      <c r="AK337" s="197"/>
      <c r="AL337" s="197"/>
      <c r="AM337" s="197"/>
      <c r="AN337" s="197"/>
      <c r="AO337" s="197"/>
      <c r="AP337" s="197"/>
      <c r="AQ337" s="197"/>
      <c r="AR337" s="197"/>
      <c r="AS337" s="197"/>
      <c r="AT337" s="197"/>
      <c r="AU337" s="197"/>
      <c r="AV337" s="197"/>
      <c r="AW337" s="197"/>
    </row>
    <row r="338" spans="28:49" s="196" customFormat="1">
      <c r="AB338" s="201"/>
      <c r="AC338" s="201"/>
      <c r="AD338" s="197"/>
      <c r="AE338" s="197"/>
      <c r="AF338" s="197"/>
      <c r="AG338" s="197"/>
      <c r="AH338" s="197"/>
      <c r="AI338" s="197"/>
      <c r="AJ338" s="197"/>
      <c r="AK338" s="197"/>
      <c r="AL338" s="197"/>
      <c r="AM338" s="197"/>
      <c r="AN338" s="197"/>
      <c r="AO338" s="197"/>
      <c r="AP338" s="197"/>
      <c r="AQ338" s="197"/>
      <c r="AR338" s="197"/>
      <c r="AS338" s="197"/>
      <c r="AT338" s="197"/>
      <c r="AU338" s="197"/>
      <c r="AV338" s="197"/>
      <c r="AW338" s="197"/>
    </row>
    <row r="339" spans="28:49" s="196" customFormat="1">
      <c r="AB339" s="201"/>
      <c r="AC339" s="201"/>
      <c r="AD339" s="197"/>
      <c r="AE339" s="197"/>
      <c r="AF339" s="197"/>
      <c r="AG339" s="197"/>
      <c r="AH339" s="197"/>
      <c r="AI339" s="197"/>
      <c r="AJ339" s="197"/>
      <c r="AK339" s="197"/>
      <c r="AL339" s="197"/>
      <c r="AM339" s="197"/>
      <c r="AN339" s="197"/>
      <c r="AO339" s="197"/>
      <c r="AP339" s="197"/>
      <c r="AQ339" s="197"/>
      <c r="AR339" s="197"/>
      <c r="AS339" s="197"/>
      <c r="AT339" s="197"/>
      <c r="AU339" s="197"/>
      <c r="AV339" s="197"/>
      <c r="AW339" s="197"/>
    </row>
    <row r="340" spans="28:49" s="196" customFormat="1">
      <c r="AB340" s="201"/>
      <c r="AC340" s="201"/>
      <c r="AD340" s="197"/>
      <c r="AE340" s="197"/>
      <c r="AF340" s="197"/>
      <c r="AG340" s="197"/>
      <c r="AH340" s="197"/>
      <c r="AI340" s="197"/>
      <c r="AJ340" s="197"/>
      <c r="AK340" s="197"/>
      <c r="AL340" s="197"/>
      <c r="AM340" s="197"/>
      <c r="AN340" s="197"/>
      <c r="AO340" s="197"/>
      <c r="AP340" s="197"/>
      <c r="AQ340" s="197"/>
      <c r="AR340" s="197"/>
      <c r="AS340" s="197"/>
      <c r="AT340" s="197"/>
      <c r="AU340" s="197"/>
      <c r="AV340" s="197"/>
      <c r="AW340" s="197"/>
    </row>
    <row r="341" spans="28:49" s="196" customFormat="1">
      <c r="AB341" s="201"/>
      <c r="AC341" s="201"/>
      <c r="AD341" s="197"/>
      <c r="AE341" s="197"/>
      <c r="AF341" s="197"/>
      <c r="AG341" s="197"/>
      <c r="AH341" s="197"/>
      <c r="AI341" s="197"/>
      <c r="AJ341" s="197"/>
      <c r="AK341" s="197"/>
      <c r="AL341" s="197"/>
      <c r="AM341" s="197"/>
      <c r="AN341" s="197"/>
      <c r="AO341" s="197"/>
      <c r="AP341" s="197"/>
      <c r="AQ341" s="197"/>
      <c r="AR341" s="197"/>
      <c r="AS341" s="197"/>
      <c r="AT341" s="197"/>
      <c r="AU341" s="197"/>
      <c r="AV341" s="197"/>
      <c r="AW341" s="197"/>
    </row>
    <row r="342" spans="28:49" s="196" customFormat="1">
      <c r="AB342" s="201"/>
      <c r="AC342" s="201"/>
      <c r="AD342" s="197"/>
      <c r="AE342" s="197"/>
      <c r="AF342" s="197"/>
      <c r="AG342" s="197"/>
      <c r="AH342" s="197"/>
      <c r="AI342" s="197"/>
      <c r="AJ342" s="197"/>
      <c r="AK342" s="197"/>
      <c r="AL342" s="197"/>
      <c r="AM342" s="197"/>
      <c r="AN342" s="197"/>
      <c r="AO342" s="197"/>
      <c r="AP342" s="197"/>
      <c r="AQ342" s="197"/>
      <c r="AR342" s="197"/>
      <c r="AS342" s="197"/>
      <c r="AT342" s="197"/>
      <c r="AU342" s="197"/>
      <c r="AV342" s="197"/>
      <c r="AW342" s="197"/>
    </row>
    <row r="343" spans="28:49" s="196" customFormat="1">
      <c r="AB343" s="201"/>
      <c r="AC343" s="201"/>
      <c r="AD343" s="197"/>
      <c r="AE343" s="197"/>
      <c r="AF343" s="197"/>
      <c r="AG343" s="197"/>
      <c r="AH343" s="197"/>
      <c r="AI343" s="197"/>
      <c r="AJ343" s="197"/>
      <c r="AK343" s="197"/>
      <c r="AL343" s="197"/>
      <c r="AM343" s="197"/>
      <c r="AN343" s="197"/>
      <c r="AO343" s="197"/>
      <c r="AP343" s="197"/>
      <c r="AQ343" s="197"/>
      <c r="AR343" s="197"/>
      <c r="AS343" s="197"/>
      <c r="AT343" s="197"/>
      <c r="AU343" s="197"/>
      <c r="AV343" s="197"/>
      <c r="AW343" s="197"/>
    </row>
    <row r="344" spans="28:49" s="196" customFormat="1">
      <c r="AB344" s="201"/>
      <c r="AC344" s="201"/>
      <c r="AD344" s="197"/>
      <c r="AE344" s="197"/>
      <c r="AF344" s="197"/>
      <c r="AG344" s="197"/>
      <c r="AH344" s="197"/>
      <c r="AI344" s="197"/>
      <c r="AJ344" s="197"/>
      <c r="AK344" s="197"/>
      <c r="AL344" s="197"/>
      <c r="AM344" s="197"/>
      <c r="AN344" s="197"/>
      <c r="AO344" s="197"/>
      <c r="AP344" s="197"/>
      <c r="AQ344" s="197"/>
      <c r="AR344" s="197"/>
      <c r="AS344" s="197"/>
      <c r="AT344" s="197"/>
      <c r="AU344" s="197"/>
      <c r="AV344" s="197"/>
      <c r="AW344" s="197"/>
    </row>
    <row r="345" spans="28:49" s="196" customFormat="1">
      <c r="AB345" s="201"/>
      <c r="AC345" s="201"/>
      <c r="AD345" s="197"/>
      <c r="AE345" s="197"/>
      <c r="AF345" s="197"/>
      <c r="AG345" s="197"/>
      <c r="AH345" s="197"/>
      <c r="AI345" s="197"/>
      <c r="AJ345" s="197"/>
      <c r="AK345" s="197"/>
      <c r="AL345" s="197"/>
      <c r="AM345" s="197"/>
      <c r="AN345" s="197"/>
      <c r="AO345" s="197"/>
      <c r="AP345" s="197"/>
      <c r="AQ345" s="197"/>
      <c r="AR345" s="197"/>
      <c r="AS345" s="197"/>
      <c r="AT345" s="197"/>
      <c r="AU345" s="197"/>
      <c r="AV345" s="197"/>
      <c r="AW345" s="197"/>
    </row>
    <row r="346" spans="28:49" s="196" customFormat="1">
      <c r="AB346" s="201"/>
      <c r="AC346" s="201"/>
      <c r="AD346" s="197"/>
      <c r="AE346" s="197"/>
      <c r="AF346" s="197"/>
      <c r="AG346" s="197"/>
      <c r="AH346" s="197"/>
      <c r="AI346" s="197"/>
      <c r="AJ346" s="197"/>
      <c r="AK346" s="197"/>
      <c r="AL346" s="197"/>
      <c r="AM346" s="197"/>
      <c r="AN346" s="197"/>
      <c r="AO346" s="197"/>
      <c r="AP346" s="197"/>
      <c r="AQ346" s="197"/>
      <c r="AR346" s="197"/>
      <c r="AS346" s="197"/>
      <c r="AT346" s="197"/>
      <c r="AU346" s="197"/>
      <c r="AV346" s="197"/>
      <c r="AW346" s="197"/>
    </row>
    <row r="347" spans="28:49" s="196" customFormat="1">
      <c r="AB347" s="201"/>
      <c r="AC347" s="201"/>
      <c r="AD347" s="197"/>
      <c r="AE347" s="197"/>
      <c r="AF347" s="197"/>
      <c r="AG347" s="197"/>
      <c r="AH347" s="197"/>
      <c r="AI347" s="197"/>
      <c r="AJ347" s="197"/>
      <c r="AK347" s="197"/>
      <c r="AL347" s="197"/>
      <c r="AM347" s="197"/>
      <c r="AN347" s="197"/>
      <c r="AO347" s="197"/>
      <c r="AP347" s="197"/>
      <c r="AQ347" s="197"/>
      <c r="AR347" s="197"/>
      <c r="AS347" s="197"/>
      <c r="AT347" s="197"/>
      <c r="AU347" s="197"/>
      <c r="AV347" s="197"/>
      <c r="AW347" s="197"/>
    </row>
    <row r="348" spans="28:49" s="196" customFormat="1">
      <c r="AB348" s="201"/>
      <c r="AC348" s="201"/>
      <c r="AD348" s="197"/>
      <c r="AE348" s="197"/>
      <c r="AF348" s="197"/>
      <c r="AG348" s="197"/>
      <c r="AH348" s="197"/>
      <c r="AI348" s="197"/>
      <c r="AJ348" s="197"/>
      <c r="AK348" s="197"/>
      <c r="AL348" s="197"/>
      <c r="AM348" s="197"/>
      <c r="AN348" s="197"/>
      <c r="AO348" s="197"/>
      <c r="AP348" s="197"/>
      <c r="AQ348" s="197"/>
      <c r="AR348" s="197"/>
      <c r="AS348" s="197"/>
      <c r="AT348" s="197"/>
      <c r="AU348" s="197"/>
      <c r="AV348" s="197"/>
      <c r="AW348" s="197"/>
    </row>
    <row r="349" spans="28:49" s="196" customFormat="1">
      <c r="AB349" s="201"/>
      <c r="AC349" s="201"/>
      <c r="AD349" s="197"/>
      <c r="AE349" s="197"/>
      <c r="AF349" s="197"/>
      <c r="AG349" s="197"/>
      <c r="AH349" s="197"/>
      <c r="AI349" s="197"/>
      <c r="AJ349" s="197"/>
      <c r="AK349" s="197"/>
      <c r="AL349" s="197"/>
      <c r="AM349" s="197"/>
      <c r="AN349" s="197"/>
      <c r="AO349" s="197"/>
      <c r="AP349" s="197"/>
      <c r="AQ349" s="197"/>
      <c r="AR349" s="197"/>
      <c r="AS349" s="197"/>
      <c r="AT349" s="197"/>
      <c r="AU349" s="197"/>
      <c r="AV349" s="197"/>
      <c r="AW349" s="197"/>
    </row>
    <row r="350" spans="28:49" s="196" customFormat="1">
      <c r="AB350" s="201"/>
      <c r="AC350" s="201"/>
      <c r="AD350" s="197"/>
      <c r="AE350" s="197"/>
      <c r="AF350" s="197"/>
      <c r="AG350" s="197"/>
      <c r="AH350" s="197"/>
      <c r="AI350" s="197"/>
      <c r="AJ350" s="197"/>
      <c r="AK350" s="197"/>
      <c r="AL350" s="197"/>
      <c r="AM350" s="197"/>
      <c r="AN350" s="197"/>
      <c r="AO350" s="197"/>
      <c r="AP350" s="197"/>
      <c r="AQ350" s="197"/>
      <c r="AR350" s="197"/>
      <c r="AS350" s="197"/>
      <c r="AT350" s="197"/>
      <c r="AU350" s="197"/>
      <c r="AV350" s="197"/>
      <c r="AW350" s="197"/>
    </row>
    <row r="351" spans="28:49" s="196" customFormat="1">
      <c r="AB351" s="201"/>
      <c r="AC351" s="201"/>
      <c r="AD351" s="197"/>
      <c r="AE351" s="197"/>
      <c r="AF351" s="197"/>
      <c r="AG351" s="197"/>
      <c r="AH351" s="197"/>
      <c r="AI351" s="197"/>
      <c r="AJ351" s="197"/>
      <c r="AK351" s="197"/>
      <c r="AL351" s="197"/>
      <c r="AM351" s="197"/>
      <c r="AN351" s="197"/>
      <c r="AO351" s="197"/>
      <c r="AP351" s="197"/>
      <c r="AQ351" s="197"/>
      <c r="AR351" s="197"/>
      <c r="AS351" s="197"/>
      <c r="AT351" s="197"/>
      <c r="AU351" s="197"/>
      <c r="AV351" s="197"/>
      <c r="AW351" s="197"/>
    </row>
    <row r="352" spans="28:49" s="196" customFormat="1">
      <c r="AB352" s="201"/>
      <c r="AC352" s="201"/>
      <c r="AD352" s="197"/>
      <c r="AE352" s="197"/>
      <c r="AF352" s="197"/>
      <c r="AG352" s="197"/>
      <c r="AH352" s="197"/>
      <c r="AI352" s="197"/>
      <c r="AJ352" s="197"/>
      <c r="AK352" s="197"/>
      <c r="AL352" s="197"/>
      <c r="AM352" s="197"/>
      <c r="AN352" s="197"/>
      <c r="AO352" s="197"/>
      <c r="AP352" s="197"/>
      <c r="AQ352" s="197"/>
      <c r="AR352" s="197"/>
      <c r="AS352" s="197"/>
      <c r="AT352" s="197"/>
      <c r="AU352" s="197"/>
      <c r="AV352" s="197"/>
      <c r="AW352" s="197"/>
    </row>
    <row r="353" spans="28:49" s="196" customFormat="1">
      <c r="AB353" s="201"/>
      <c r="AC353" s="201"/>
      <c r="AD353" s="197"/>
      <c r="AE353" s="197"/>
      <c r="AF353" s="197"/>
      <c r="AG353" s="197"/>
      <c r="AH353" s="197"/>
      <c r="AI353" s="197"/>
      <c r="AJ353" s="197"/>
      <c r="AK353" s="197"/>
      <c r="AL353" s="197"/>
      <c r="AM353" s="197"/>
      <c r="AN353" s="197"/>
      <c r="AO353" s="197"/>
      <c r="AP353" s="197"/>
      <c r="AQ353" s="197"/>
      <c r="AR353" s="197"/>
      <c r="AS353" s="197"/>
      <c r="AT353" s="197"/>
      <c r="AU353" s="197"/>
      <c r="AV353" s="197"/>
      <c r="AW353" s="197"/>
    </row>
    <row r="354" spans="28:49" s="196" customFormat="1">
      <c r="AB354" s="201"/>
      <c r="AC354" s="201"/>
      <c r="AD354" s="197"/>
      <c r="AE354" s="197"/>
      <c r="AF354" s="197"/>
      <c r="AG354" s="197"/>
      <c r="AH354" s="197"/>
      <c r="AI354" s="197"/>
      <c r="AJ354" s="197"/>
      <c r="AK354" s="197"/>
      <c r="AL354" s="197"/>
      <c r="AM354" s="197"/>
      <c r="AN354" s="197"/>
      <c r="AO354" s="197"/>
      <c r="AP354" s="197"/>
      <c r="AQ354" s="197"/>
      <c r="AR354" s="197"/>
      <c r="AS354" s="197"/>
      <c r="AT354" s="197"/>
      <c r="AU354" s="197"/>
      <c r="AV354" s="197"/>
      <c r="AW354" s="197"/>
    </row>
    <row r="355" spans="28:49" s="196" customFormat="1">
      <c r="AB355" s="201"/>
      <c r="AC355" s="201"/>
      <c r="AD355" s="197"/>
      <c r="AE355" s="197"/>
      <c r="AF355" s="197"/>
      <c r="AG355" s="197"/>
      <c r="AH355" s="197"/>
      <c r="AI355" s="197"/>
      <c r="AJ355" s="197"/>
      <c r="AK355" s="197"/>
      <c r="AL355" s="197"/>
      <c r="AM355" s="197"/>
      <c r="AN355" s="197"/>
      <c r="AO355" s="197"/>
      <c r="AP355" s="197"/>
      <c r="AQ355" s="197"/>
      <c r="AR355" s="197"/>
      <c r="AS355" s="197"/>
      <c r="AT355" s="197"/>
      <c r="AU355" s="197"/>
      <c r="AV355" s="197"/>
      <c r="AW355" s="197"/>
    </row>
    <row r="356" spans="28:49" s="196" customFormat="1">
      <c r="AB356" s="201"/>
      <c r="AC356" s="201"/>
      <c r="AD356" s="197"/>
      <c r="AE356" s="197"/>
      <c r="AF356" s="197"/>
      <c r="AG356" s="197"/>
      <c r="AH356" s="197"/>
      <c r="AI356" s="197"/>
      <c r="AJ356" s="197"/>
      <c r="AK356" s="197"/>
      <c r="AL356" s="197"/>
      <c r="AM356" s="197"/>
      <c r="AN356" s="197"/>
      <c r="AO356" s="197"/>
      <c r="AP356" s="197"/>
      <c r="AQ356" s="197"/>
      <c r="AR356" s="197"/>
      <c r="AS356" s="197"/>
      <c r="AT356" s="197"/>
      <c r="AU356" s="197"/>
      <c r="AV356" s="197"/>
      <c r="AW356" s="197"/>
    </row>
    <row r="357" spans="28:49" s="196" customFormat="1">
      <c r="AB357" s="201"/>
      <c r="AC357" s="201"/>
      <c r="AD357" s="197"/>
      <c r="AE357" s="197"/>
      <c r="AF357" s="197"/>
      <c r="AG357" s="197"/>
      <c r="AH357" s="197"/>
      <c r="AI357" s="197"/>
      <c r="AJ357" s="197"/>
      <c r="AK357" s="197"/>
      <c r="AL357" s="197"/>
      <c r="AM357" s="197"/>
      <c r="AN357" s="197"/>
      <c r="AO357" s="197"/>
      <c r="AP357" s="197"/>
      <c r="AQ357" s="197"/>
      <c r="AR357" s="197"/>
      <c r="AS357" s="197"/>
      <c r="AT357" s="197"/>
      <c r="AU357" s="197"/>
      <c r="AV357" s="197"/>
      <c r="AW357" s="197"/>
    </row>
    <row r="358" spans="28:49" s="196" customFormat="1">
      <c r="AB358" s="201"/>
      <c r="AC358" s="201"/>
      <c r="AD358" s="197"/>
      <c r="AE358" s="197"/>
      <c r="AF358" s="197"/>
      <c r="AG358" s="197"/>
      <c r="AH358" s="197"/>
      <c r="AI358" s="197"/>
      <c r="AJ358" s="197"/>
      <c r="AK358" s="197"/>
      <c r="AL358" s="197"/>
      <c r="AM358" s="197"/>
      <c r="AN358" s="197"/>
      <c r="AO358" s="197"/>
      <c r="AP358" s="197"/>
      <c r="AQ358" s="197"/>
      <c r="AR358" s="197"/>
      <c r="AS358" s="197"/>
      <c r="AT358" s="197"/>
      <c r="AU358" s="197"/>
      <c r="AV358" s="197"/>
      <c r="AW358" s="197"/>
    </row>
    <row r="359" spans="28:49" s="196" customFormat="1">
      <c r="AB359" s="201"/>
      <c r="AC359" s="201"/>
      <c r="AD359" s="197"/>
      <c r="AE359" s="197"/>
      <c r="AF359" s="197"/>
      <c r="AG359" s="197"/>
      <c r="AH359" s="197"/>
      <c r="AI359" s="197"/>
      <c r="AJ359" s="197"/>
      <c r="AK359" s="197"/>
      <c r="AL359" s="197"/>
      <c r="AM359" s="197"/>
      <c r="AN359" s="197"/>
      <c r="AO359" s="197"/>
      <c r="AP359" s="197"/>
      <c r="AQ359" s="197"/>
      <c r="AR359" s="197"/>
      <c r="AS359" s="197"/>
      <c r="AT359" s="197"/>
      <c r="AU359" s="197"/>
      <c r="AV359" s="197"/>
      <c r="AW359" s="197"/>
    </row>
    <row r="360" spans="28:49" s="196" customFormat="1">
      <c r="AB360" s="201"/>
      <c r="AC360" s="201"/>
      <c r="AD360" s="197"/>
      <c r="AE360" s="197"/>
      <c r="AF360" s="197"/>
      <c r="AG360" s="197"/>
      <c r="AH360" s="197"/>
      <c r="AI360" s="197"/>
      <c r="AJ360" s="197"/>
      <c r="AK360" s="197"/>
      <c r="AL360" s="197"/>
      <c r="AM360" s="197"/>
      <c r="AN360" s="197"/>
      <c r="AO360" s="197"/>
      <c r="AP360" s="197"/>
      <c r="AQ360" s="197"/>
      <c r="AR360" s="197"/>
      <c r="AS360" s="197"/>
      <c r="AT360" s="197"/>
      <c r="AU360" s="197"/>
      <c r="AV360" s="197"/>
      <c r="AW360" s="197"/>
    </row>
    <row r="361" spans="28:49" s="196" customFormat="1">
      <c r="AB361" s="201"/>
      <c r="AC361" s="201"/>
      <c r="AD361" s="197"/>
      <c r="AE361" s="197"/>
      <c r="AF361" s="197"/>
      <c r="AG361" s="197"/>
      <c r="AH361" s="197"/>
      <c r="AI361" s="197"/>
      <c r="AJ361" s="197"/>
      <c r="AK361" s="197"/>
      <c r="AL361" s="197"/>
      <c r="AM361" s="197"/>
      <c r="AN361" s="197"/>
      <c r="AO361" s="197"/>
      <c r="AP361" s="197"/>
      <c r="AQ361" s="197"/>
      <c r="AR361" s="197"/>
      <c r="AS361" s="197"/>
      <c r="AT361" s="197"/>
      <c r="AU361" s="197"/>
      <c r="AV361" s="197"/>
      <c r="AW361" s="197"/>
    </row>
    <row r="362" spans="28:49" s="196" customFormat="1">
      <c r="AB362" s="201"/>
      <c r="AC362" s="201"/>
      <c r="AD362" s="197"/>
      <c r="AE362" s="197"/>
      <c r="AF362" s="197"/>
      <c r="AG362" s="197"/>
      <c r="AH362" s="197"/>
      <c r="AI362" s="197"/>
      <c r="AJ362" s="197"/>
      <c r="AK362" s="197"/>
      <c r="AL362" s="197"/>
      <c r="AM362" s="197"/>
      <c r="AN362" s="197"/>
      <c r="AO362" s="197"/>
      <c r="AP362" s="197"/>
      <c r="AQ362" s="197"/>
      <c r="AR362" s="197"/>
      <c r="AS362" s="197"/>
      <c r="AT362" s="197"/>
      <c r="AU362" s="197"/>
      <c r="AV362" s="197"/>
      <c r="AW362" s="197"/>
    </row>
    <row r="363" spans="28:49" s="196" customFormat="1">
      <c r="AB363" s="201"/>
      <c r="AC363" s="201"/>
      <c r="AD363" s="197"/>
      <c r="AE363" s="197"/>
      <c r="AF363" s="197"/>
      <c r="AG363" s="197"/>
      <c r="AH363" s="197"/>
      <c r="AI363" s="197"/>
      <c r="AJ363" s="197"/>
      <c r="AK363" s="197"/>
      <c r="AL363" s="197"/>
      <c r="AM363" s="197"/>
      <c r="AN363" s="197"/>
      <c r="AO363" s="197"/>
      <c r="AP363" s="197"/>
      <c r="AQ363" s="197"/>
      <c r="AR363" s="197"/>
      <c r="AS363" s="197"/>
      <c r="AT363" s="197"/>
      <c r="AU363" s="197"/>
      <c r="AV363" s="197"/>
      <c r="AW363" s="197"/>
    </row>
    <row r="364" spans="28:49" s="196" customFormat="1">
      <c r="AB364" s="201"/>
      <c r="AC364" s="201"/>
      <c r="AD364" s="197"/>
      <c r="AE364" s="197"/>
      <c r="AF364" s="197"/>
      <c r="AG364" s="197"/>
      <c r="AH364" s="197"/>
      <c r="AI364" s="197"/>
      <c r="AJ364" s="197"/>
      <c r="AK364" s="197"/>
      <c r="AL364" s="197"/>
      <c r="AM364" s="197"/>
      <c r="AN364" s="197"/>
      <c r="AO364" s="197"/>
      <c r="AP364" s="197"/>
      <c r="AQ364" s="197"/>
      <c r="AR364" s="197"/>
      <c r="AS364" s="197"/>
      <c r="AT364" s="197"/>
      <c r="AU364" s="197"/>
      <c r="AV364" s="197"/>
      <c r="AW364" s="197"/>
    </row>
    <row r="365" spans="28:49" s="196" customFormat="1">
      <c r="AB365" s="201"/>
      <c r="AC365" s="201"/>
      <c r="AD365" s="197"/>
      <c r="AE365" s="197"/>
      <c r="AF365" s="197"/>
      <c r="AG365" s="197"/>
      <c r="AH365" s="197"/>
      <c r="AI365" s="197"/>
      <c r="AJ365" s="197"/>
      <c r="AK365" s="197"/>
      <c r="AL365" s="197"/>
      <c r="AM365" s="197"/>
      <c r="AN365" s="197"/>
      <c r="AO365" s="197"/>
      <c r="AP365" s="197"/>
      <c r="AQ365" s="197"/>
      <c r="AR365" s="197"/>
      <c r="AS365" s="197"/>
      <c r="AT365" s="197"/>
      <c r="AU365" s="197"/>
      <c r="AV365" s="197"/>
      <c r="AW365" s="197"/>
    </row>
    <row r="366" spans="28:49" s="196" customFormat="1">
      <c r="AB366" s="201"/>
      <c r="AC366" s="201"/>
      <c r="AD366" s="197"/>
      <c r="AE366" s="197"/>
      <c r="AF366" s="197"/>
      <c r="AG366" s="197"/>
      <c r="AH366" s="197"/>
      <c r="AI366" s="197"/>
      <c r="AJ366" s="197"/>
      <c r="AK366" s="197"/>
      <c r="AL366" s="197"/>
      <c r="AM366" s="197"/>
      <c r="AN366" s="197"/>
      <c r="AO366" s="197"/>
      <c r="AP366" s="197"/>
      <c r="AQ366" s="197"/>
      <c r="AR366" s="197"/>
      <c r="AS366" s="197"/>
      <c r="AT366" s="197"/>
      <c r="AU366" s="197"/>
      <c r="AV366" s="197"/>
      <c r="AW366" s="197"/>
    </row>
    <row r="367" spans="28:49" s="196" customFormat="1">
      <c r="AB367" s="201"/>
      <c r="AC367" s="201"/>
      <c r="AD367" s="197"/>
      <c r="AE367" s="197"/>
      <c r="AF367" s="197"/>
      <c r="AG367" s="197"/>
      <c r="AH367" s="197"/>
      <c r="AI367" s="197"/>
      <c r="AJ367" s="197"/>
      <c r="AK367" s="197"/>
      <c r="AL367" s="197"/>
      <c r="AM367" s="197"/>
      <c r="AN367" s="197"/>
      <c r="AO367" s="197"/>
      <c r="AP367" s="197"/>
      <c r="AQ367" s="197"/>
      <c r="AR367" s="197"/>
      <c r="AS367" s="197"/>
      <c r="AT367" s="197"/>
      <c r="AU367" s="197"/>
      <c r="AV367" s="197"/>
      <c r="AW367" s="197"/>
    </row>
    <row r="368" spans="28:49" s="196" customFormat="1">
      <c r="AB368" s="201"/>
      <c r="AC368" s="201"/>
      <c r="AD368" s="197"/>
      <c r="AE368" s="197"/>
      <c r="AF368" s="197"/>
      <c r="AG368" s="197"/>
      <c r="AH368" s="197"/>
      <c r="AI368" s="197"/>
      <c r="AJ368" s="197"/>
      <c r="AK368" s="197"/>
      <c r="AL368" s="197"/>
      <c r="AM368" s="197"/>
      <c r="AN368" s="197"/>
      <c r="AO368" s="197"/>
      <c r="AP368" s="197"/>
      <c r="AQ368" s="197"/>
      <c r="AR368" s="197"/>
      <c r="AS368" s="197"/>
      <c r="AT368" s="197"/>
      <c r="AU368" s="197"/>
      <c r="AV368" s="197"/>
      <c r="AW368" s="197"/>
    </row>
    <row r="369" spans="28:49" s="196" customFormat="1">
      <c r="AB369" s="201"/>
      <c r="AC369" s="201"/>
      <c r="AD369" s="197"/>
      <c r="AE369" s="197"/>
      <c r="AF369" s="197"/>
      <c r="AG369" s="197"/>
      <c r="AH369" s="197"/>
      <c r="AI369" s="197"/>
      <c r="AJ369" s="197"/>
      <c r="AK369" s="197"/>
      <c r="AL369" s="197"/>
      <c r="AM369" s="197"/>
      <c r="AN369" s="197"/>
      <c r="AO369" s="197"/>
      <c r="AP369" s="197"/>
      <c r="AQ369" s="197"/>
      <c r="AR369" s="197"/>
      <c r="AS369" s="197"/>
      <c r="AT369" s="197"/>
      <c r="AU369" s="197"/>
      <c r="AV369" s="197"/>
      <c r="AW369" s="197"/>
    </row>
    <row r="370" spans="28:49" s="196" customFormat="1">
      <c r="AB370" s="201"/>
      <c r="AC370" s="201"/>
      <c r="AD370" s="197"/>
      <c r="AE370" s="197"/>
      <c r="AF370" s="197"/>
      <c r="AG370" s="197"/>
      <c r="AH370" s="197"/>
      <c r="AI370" s="197"/>
      <c r="AJ370" s="197"/>
      <c r="AK370" s="197"/>
      <c r="AL370" s="197"/>
      <c r="AM370" s="197"/>
      <c r="AN370" s="197"/>
      <c r="AO370" s="197"/>
      <c r="AP370" s="197"/>
      <c r="AQ370" s="197"/>
      <c r="AR370" s="197"/>
      <c r="AS370" s="197"/>
      <c r="AT370" s="197"/>
      <c r="AU370" s="197"/>
      <c r="AV370" s="197"/>
      <c r="AW370" s="197"/>
    </row>
    <row r="371" spans="28:49" s="196" customFormat="1">
      <c r="AB371" s="201"/>
      <c r="AC371" s="201"/>
      <c r="AD371" s="197"/>
      <c r="AE371" s="197"/>
      <c r="AF371" s="197"/>
      <c r="AG371" s="197"/>
      <c r="AH371" s="197"/>
      <c r="AI371" s="197"/>
      <c r="AJ371" s="197"/>
      <c r="AK371" s="197"/>
      <c r="AL371" s="197"/>
      <c r="AM371" s="197"/>
      <c r="AN371" s="197"/>
      <c r="AO371" s="197"/>
      <c r="AP371" s="197"/>
      <c r="AQ371" s="197"/>
      <c r="AR371" s="197"/>
      <c r="AS371" s="197"/>
      <c r="AT371" s="197"/>
      <c r="AU371" s="197"/>
      <c r="AV371" s="197"/>
      <c r="AW371" s="197"/>
    </row>
    <row r="372" spans="28:49" s="196" customFormat="1">
      <c r="AB372" s="201"/>
      <c r="AC372" s="201"/>
      <c r="AD372" s="197"/>
      <c r="AE372" s="197"/>
      <c r="AF372" s="197"/>
      <c r="AG372" s="197"/>
      <c r="AH372" s="197"/>
      <c r="AI372" s="197"/>
      <c r="AJ372" s="197"/>
      <c r="AK372" s="197"/>
      <c r="AL372" s="197"/>
      <c r="AM372" s="197"/>
      <c r="AN372" s="197"/>
      <c r="AO372" s="197"/>
      <c r="AP372" s="197"/>
      <c r="AQ372" s="197"/>
      <c r="AR372" s="197"/>
      <c r="AS372" s="197"/>
      <c r="AT372" s="197"/>
      <c r="AU372" s="197"/>
      <c r="AV372" s="197"/>
      <c r="AW372" s="197"/>
    </row>
    <row r="373" spans="28:49" s="196" customFormat="1">
      <c r="AB373" s="201"/>
      <c r="AC373" s="201"/>
      <c r="AD373" s="197"/>
      <c r="AE373" s="197"/>
      <c r="AF373" s="197"/>
      <c r="AG373" s="197"/>
      <c r="AH373" s="197"/>
      <c r="AI373" s="197"/>
      <c r="AJ373" s="197"/>
      <c r="AK373" s="197"/>
      <c r="AL373" s="197"/>
      <c r="AM373" s="197"/>
      <c r="AN373" s="197"/>
      <c r="AO373" s="197"/>
      <c r="AP373" s="197"/>
      <c r="AQ373" s="197"/>
      <c r="AR373" s="197"/>
      <c r="AS373" s="197"/>
      <c r="AT373" s="197"/>
      <c r="AU373" s="197"/>
      <c r="AV373" s="197"/>
      <c r="AW373" s="197"/>
    </row>
    <row r="374" spans="28:49" s="196" customFormat="1">
      <c r="AB374" s="201"/>
      <c r="AC374" s="201"/>
      <c r="AD374" s="197"/>
      <c r="AE374" s="197"/>
      <c r="AF374" s="197"/>
      <c r="AG374" s="197"/>
      <c r="AH374" s="197"/>
      <c r="AI374" s="197"/>
      <c r="AJ374" s="197"/>
      <c r="AK374" s="197"/>
      <c r="AL374" s="197"/>
      <c r="AM374" s="197"/>
      <c r="AN374" s="197"/>
      <c r="AO374" s="197"/>
      <c r="AP374" s="197"/>
      <c r="AQ374" s="197"/>
      <c r="AR374" s="197"/>
      <c r="AS374" s="197"/>
      <c r="AT374" s="197"/>
      <c r="AU374" s="197"/>
      <c r="AV374" s="197"/>
      <c r="AW374" s="197"/>
    </row>
    <row r="375" spans="28:49" s="196" customFormat="1">
      <c r="AB375" s="201"/>
      <c r="AC375" s="201"/>
      <c r="AD375" s="197"/>
      <c r="AE375" s="197"/>
      <c r="AF375" s="197"/>
      <c r="AG375" s="197"/>
      <c r="AH375" s="197"/>
      <c r="AI375" s="197"/>
      <c r="AJ375" s="197"/>
      <c r="AK375" s="197"/>
      <c r="AL375" s="197"/>
      <c r="AM375" s="197"/>
      <c r="AN375" s="197"/>
      <c r="AO375" s="197"/>
      <c r="AP375" s="197"/>
      <c r="AQ375" s="197"/>
      <c r="AR375" s="197"/>
      <c r="AS375" s="197"/>
      <c r="AT375" s="197"/>
      <c r="AU375" s="197"/>
      <c r="AV375" s="197"/>
      <c r="AW375" s="197"/>
    </row>
    <row r="376" spans="28:49" s="196" customFormat="1">
      <c r="AB376" s="201"/>
      <c r="AC376" s="201"/>
      <c r="AD376" s="197"/>
      <c r="AE376" s="197"/>
      <c r="AF376" s="197"/>
      <c r="AG376" s="197"/>
      <c r="AH376" s="197"/>
      <c r="AI376" s="197"/>
      <c r="AJ376" s="197"/>
      <c r="AK376" s="197"/>
      <c r="AL376" s="197"/>
      <c r="AM376" s="197"/>
      <c r="AN376" s="197"/>
      <c r="AO376" s="197"/>
      <c r="AP376" s="197"/>
      <c r="AQ376" s="197"/>
      <c r="AR376" s="197"/>
      <c r="AS376" s="197"/>
      <c r="AT376" s="197"/>
      <c r="AU376" s="197"/>
      <c r="AV376" s="197"/>
      <c r="AW376" s="197"/>
    </row>
    <row r="377" spans="28:49" s="196" customFormat="1">
      <c r="AB377" s="201"/>
      <c r="AC377" s="201"/>
      <c r="AD377" s="197"/>
      <c r="AE377" s="197"/>
      <c r="AF377" s="197"/>
      <c r="AG377" s="197"/>
      <c r="AH377" s="197"/>
      <c r="AI377" s="197"/>
      <c r="AJ377" s="197"/>
      <c r="AK377" s="197"/>
      <c r="AL377" s="197"/>
      <c r="AM377" s="197"/>
      <c r="AN377" s="197"/>
      <c r="AO377" s="197"/>
      <c r="AP377" s="197"/>
      <c r="AQ377" s="197"/>
      <c r="AR377" s="197"/>
      <c r="AS377" s="197"/>
      <c r="AT377" s="197"/>
      <c r="AU377" s="197"/>
      <c r="AV377" s="197"/>
      <c r="AW377" s="197"/>
    </row>
    <row r="378" spans="28:49" s="196" customFormat="1">
      <c r="AB378" s="201"/>
      <c r="AC378" s="201"/>
      <c r="AD378" s="197"/>
      <c r="AE378" s="197"/>
      <c r="AF378" s="197"/>
      <c r="AG378" s="197"/>
      <c r="AH378" s="197"/>
      <c r="AI378" s="197"/>
      <c r="AJ378" s="197"/>
      <c r="AK378" s="197"/>
      <c r="AL378" s="197"/>
      <c r="AM378" s="197"/>
      <c r="AN378" s="197"/>
      <c r="AO378" s="197"/>
      <c r="AP378" s="197"/>
      <c r="AQ378" s="197"/>
      <c r="AR378" s="197"/>
      <c r="AS378" s="197"/>
      <c r="AT378" s="197"/>
      <c r="AU378" s="197"/>
      <c r="AV378" s="197"/>
      <c r="AW378" s="197"/>
    </row>
    <row r="379" spans="28:49" s="196" customFormat="1">
      <c r="AB379" s="201"/>
      <c r="AC379" s="201"/>
      <c r="AD379" s="197"/>
      <c r="AE379" s="197"/>
      <c r="AF379" s="197"/>
      <c r="AG379" s="197"/>
      <c r="AH379" s="197"/>
      <c r="AI379" s="197"/>
      <c r="AJ379" s="197"/>
      <c r="AK379" s="197"/>
      <c r="AL379" s="197"/>
      <c r="AM379" s="197"/>
      <c r="AN379" s="197"/>
      <c r="AO379" s="197"/>
      <c r="AP379" s="197"/>
      <c r="AQ379" s="197"/>
      <c r="AR379" s="197"/>
      <c r="AS379" s="197"/>
      <c r="AT379" s="197"/>
      <c r="AU379" s="197"/>
      <c r="AV379" s="197"/>
      <c r="AW379" s="197"/>
    </row>
    <row r="380" spans="28:49" s="196" customFormat="1">
      <c r="AB380" s="201"/>
      <c r="AC380" s="201"/>
      <c r="AD380" s="197"/>
      <c r="AE380" s="197"/>
      <c r="AF380" s="197"/>
      <c r="AG380" s="197"/>
      <c r="AH380" s="197"/>
      <c r="AI380" s="197"/>
      <c r="AJ380" s="197"/>
      <c r="AK380" s="197"/>
      <c r="AL380" s="197"/>
      <c r="AM380" s="197"/>
      <c r="AN380" s="197"/>
      <c r="AO380" s="197"/>
      <c r="AP380" s="197"/>
      <c r="AQ380" s="197"/>
      <c r="AR380" s="197"/>
      <c r="AS380" s="197"/>
      <c r="AT380" s="197"/>
      <c r="AU380" s="197"/>
      <c r="AV380" s="197"/>
      <c r="AW380" s="197"/>
    </row>
    <row r="381" spans="28:49" s="196" customFormat="1">
      <c r="AB381" s="201"/>
      <c r="AC381" s="201"/>
      <c r="AD381" s="197"/>
      <c r="AE381" s="197"/>
      <c r="AF381" s="197"/>
      <c r="AG381" s="197"/>
      <c r="AH381" s="197"/>
      <c r="AI381" s="197"/>
      <c r="AJ381" s="197"/>
      <c r="AK381" s="197"/>
      <c r="AL381" s="197"/>
      <c r="AM381" s="197"/>
      <c r="AN381" s="197"/>
      <c r="AO381" s="197"/>
      <c r="AP381" s="197"/>
      <c r="AQ381" s="197"/>
      <c r="AR381" s="197"/>
      <c r="AS381" s="197"/>
      <c r="AT381" s="197"/>
      <c r="AU381" s="197"/>
      <c r="AV381" s="197"/>
      <c r="AW381" s="197"/>
    </row>
    <row r="382" spans="28:49" s="196" customFormat="1">
      <c r="AB382" s="201"/>
      <c r="AC382" s="201"/>
      <c r="AD382" s="197"/>
      <c r="AE382" s="197"/>
      <c r="AF382" s="197"/>
      <c r="AG382" s="197"/>
      <c r="AH382" s="197"/>
      <c r="AI382" s="197"/>
      <c r="AJ382" s="197"/>
      <c r="AK382" s="197"/>
      <c r="AL382" s="197"/>
      <c r="AM382" s="197"/>
      <c r="AN382" s="197"/>
      <c r="AO382" s="197"/>
      <c r="AP382" s="197"/>
      <c r="AQ382" s="197"/>
      <c r="AR382" s="197"/>
      <c r="AS382" s="197"/>
      <c r="AT382" s="197"/>
      <c r="AU382" s="197"/>
      <c r="AV382" s="197"/>
      <c r="AW382" s="197"/>
    </row>
    <row r="383" spans="28:49" s="196" customFormat="1">
      <c r="AB383" s="201"/>
      <c r="AC383" s="201"/>
      <c r="AD383" s="197"/>
      <c r="AE383" s="197"/>
      <c r="AF383" s="197"/>
      <c r="AG383" s="197"/>
      <c r="AH383" s="197"/>
      <c r="AI383" s="197"/>
      <c r="AJ383" s="197"/>
      <c r="AK383" s="197"/>
      <c r="AL383" s="197"/>
      <c r="AM383" s="197"/>
      <c r="AN383" s="197"/>
      <c r="AO383" s="197"/>
      <c r="AP383" s="197"/>
      <c r="AQ383" s="197"/>
      <c r="AR383" s="197"/>
      <c r="AS383" s="197"/>
      <c r="AT383" s="197"/>
      <c r="AU383" s="197"/>
      <c r="AV383" s="197"/>
      <c r="AW383" s="197"/>
    </row>
    <row r="384" spans="28:49" s="196" customFormat="1">
      <c r="AB384" s="201"/>
      <c r="AC384" s="201"/>
      <c r="AD384" s="197"/>
      <c r="AE384" s="197"/>
      <c r="AF384" s="197"/>
      <c r="AG384" s="197"/>
      <c r="AH384" s="197"/>
      <c r="AI384" s="197"/>
      <c r="AJ384" s="197"/>
      <c r="AK384" s="197"/>
      <c r="AL384" s="197"/>
      <c r="AM384" s="197"/>
      <c r="AN384" s="197"/>
      <c r="AO384" s="197"/>
      <c r="AP384" s="197"/>
      <c r="AQ384" s="197"/>
      <c r="AR384" s="197"/>
      <c r="AS384" s="197"/>
      <c r="AT384" s="197"/>
      <c r="AU384" s="197"/>
      <c r="AV384" s="197"/>
      <c r="AW384" s="197"/>
    </row>
    <row r="385" spans="28:49" s="196" customFormat="1">
      <c r="AB385" s="201"/>
      <c r="AC385" s="201"/>
      <c r="AD385" s="197"/>
      <c r="AE385" s="197"/>
      <c r="AF385" s="197"/>
      <c r="AG385" s="197"/>
      <c r="AH385" s="197"/>
      <c r="AI385" s="197"/>
      <c r="AJ385" s="197"/>
      <c r="AK385" s="197"/>
      <c r="AL385" s="197"/>
      <c r="AM385" s="197"/>
      <c r="AN385" s="197"/>
      <c r="AO385" s="197"/>
      <c r="AP385" s="197"/>
      <c r="AQ385" s="197"/>
      <c r="AR385" s="197"/>
      <c r="AS385" s="197"/>
      <c r="AT385" s="197"/>
      <c r="AU385" s="197"/>
      <c r="AV385" s="197"/>
      <c r="AW385" s="197"/>
    </row>
    <row r="386" spans="28:49" s="196" customFormat="1">
      <c r="AB386" s="201"/>
      <c r="AC386" s="201"/>
      <c r="AD386" s="197"/>
      <c r="AE386" s="197"/>
      <c r="AF386" s="197"/>
      <c r="AG386" s="197"/>
      <c r="AH386" s="197"/>
      <c r="AI386" s="197"/>
      <c r="AJ386" s="197"/>
      <c r="AK386" s="197"/>
      <c r="AL386" s="197"/>
      <c r="AM386" s="197"/>
      <c r="AN386" s="197"/>
      <c r="AO386" s="197"/>
      <c r="AP386" s="197"/>
      <c r="AQ386" s="197"/>
      <c r="AR386" s="197"/>
      <c r="AS386" s="197"/>
      <c r="AT386" s="197"/>
      <c r="AU386" s="197"/>
      <c r="AV386" s="197"/>
      <c r="AW386" s="197"/>
    </row>
    <row r="387" spans="28:49" s="196" customFormat="1">
      <c r="AB387" s="201"/>
      <c r="AC387" s="201"/>
      <c r="AD387" s="197"/>
      <c r="AE387" s="197"/>
      <c r="AF387" s="197"/>
      <c r="AG387" s="197"/>
      <c r="AH387" s="197"/>
      <c r="AI387" s="197"/>
      <c r="AJ387" s="197"/>
      <c r="AK387" s="197"/>
      <c r="AL387" s="197"/>
      <c r="AM387" s="197"/>
      <c r="AN387" s="197"/>
      <c r="AO387" s="197"/>
      <c r="AP387" s="197"/>
      <c r="AQ387" s="197"/>
      <c r="AR387" s="197"/>
      <c r="AS387" s="197"/>
      <c r="AT387" s="197"/>
      <c r="AU387" s="197"/>
      <c r="AV387" s="197"/>
      <c r="AW387" s="197"/>
    </row>
    <row r="388" spans="28:49" s="196" customFormat="1">
      <c r="AB388" s="201"/>
      <c r="AC388" s="201"/>
      <c r="AD388" s="197"/>
      <c r="AE388" s="197"/>
      <c r="AF388" s="197"/>
      <c r="AG388" s="197"/>
      <c r="AH388" s="197"/>
      <c r="AI388" s="197"/>
      <c r="AJ388" s="197"/>
      <c r="AK388" s="197"/>
      <c r="AL388" s="197"/>
      <c r="AM388" s="197"/>
      <c r="AN388" s="197"/>
      <c r="AO388" s="197"/>
      <c r="AP388" s="197"/>
      <c r="AQ388" s="197"/>
      <c r="AR388" s="197"/>
      <c r="AS388" s="197"/>
      <c r="AT388" s="197"/>
      <c r="AU388" s="197"/>
      <c r="AV388" s="197"/>
      <c r="AW388" s="197"/>
    </row>
    <row r="389" spans="28:49" s="196" customFormat="1">
      <c r="AB389" s="201"/>
      <c r="AC389" s="201"/>
      <c r="AD389" s="197"/>
      <c r="AE389" s="197"/>
      <c r="AF389" s="197"/>
      <c r="AG389" s="197"/>
      <c r="AH389" s="197"/>
      <c r="AI389" s="197"/>
      <c r="AJ389" s="197"/>
      <c r="AK389" s="197"/>
      <c r="AL389" s="197"/>
      <c r="AM389" s="197"/>
      <c r="AN389" s="197"/>
      <c r="AO389" s="197"/>
      <c r="AP389" s="197"/>
      <c r="AQ389" s="197"/>
      <c r="AR389" s="197"/>
      <c r="AS389" s="197"/>
      <c r="AT389" s="197"/>
      <c r="AU389" s="197"/>
      <c r="AV389" s="197"/>
      <c r="AW389" s="197"/>
    </row>
    <row r="390" spans="28:49" s="196" customFormat="1">
      <c r="AB390" s="201"/>
      <c r="AC390" s="201"/>
      <c r="AD390" s="197"/>
      <c r="AE390" s="197"/>
      <c r="AF390" s="197"/>
      <c r="AG390" s="197"/>
      <c r="AH390" s="197"/>
      <c r="AI390" s="197"/>
      <c r="AJ390" s="197"/>
      <c r="AK390" s="197"/>
      <c r="AL390" s="197"/>
      <c r="AM390" s="197"/>
      <c r="AN390" s="197"/>
      <c r="AO390" s="197"/>
      <c r="AP390" s="197"/>
      <c r="AQ390" s="197"/>
      <c r="AR390" s="197"/>
      <c r="AS390" s="197"/>
      <c r="AT390" s="197"/>
      <c r="AU390" s="197"/>
      <c r="AV390" s="197"/>
      <c r="AW390" s="197"/>
    </row>
    <row r="391" spans="28:49" s="196" customFormat="1">
      <c r="AB391" s="201"/>
      <c r="AC391" s="201"/>
      <c r="AD391" s="197"/>
      <c r="AE391" s="197"/>
      <c r="AF391" s="197"/>
      <c r="AG391" s="197"/>
      <c r="AH391" s="197"/>
      <c r="AI391" s="197"/>
      <c r="AJ391" s="197"/>
      <c r="AK391" s="197"/>
      <c r="AL391" s="197"/>
      <c r="AM391" s="197"/>
      <c r="AN391" s="197"/>
      <c r="AO391" s="197"/>
      <c r="AP391" s="197"/>
      <c r="AQ391" s="197"/>
      <c r="AR391" s="197"/>
      <c r="AS391" s="197"/>
      <c r="AT391" s="197"/>
      <c r="AU391" s="197"/>
      <c r="AV391" s="197"/>
      <c r="AW391" s="197"/>
    </row>
    <row r="392" spans="28:49" s="196" customFormat="1">
      <c r="AB392" s="201"/>
      <c r="AC392" s="201"/>
      <c r="AD392" s="197"/>
      <c r="AE392" s="197"/>
      <c r="AF392" s="197"/>
      <c r="AG392" s="197"/>
      <c r="AH392" s="197"/>
      <c r="AI392" s="197"/>
      <c r="AJ392" s="197"/>
      <c r="AK392" s="197"/>
      <c r="AL392" s="197"/>
      <c r="AM392" s="197"/>
      <c r="AN392" s="197"/>
      <c r="AO392" s="197"/>
      <c r="AP392" s="197"/>
      <c r="AQ392" s="197"/>
      <c r="AR392" s="197"/>
      <c r="AS392" s="197"/>
      <c r="AT392" s="197"/>
      <c r="AU392" s="197"/>
      <c r="AV392" s="197"/>
      <c r="AW392" s="197"/>
    </row>
    <row r="393" spans="28:49" s="196" customFormat="1">
      <c r="AB393" s="201"/>
      <c r="AC393" s="201"/>
      <c r="AD393" s="197"/>
      <c r="AE393" s="197"/>
      <c r="AF393" s="197"/>
      <c r="AG393" s="197"/>
      <c r="AH393" s="197"/>
      <c r="AI393" s="197"/>
      <c r="AJ393" s="197"/>
      <c r="AK393" s="197"/>
      <c r="AL393" s="197"/>
      <c r="AM393" s="197"/>
      <c r="AN393" s="197"/>
      <c r="AO393" s="197"/>
      <c r="AP393" s="197"/>
      <c r="AQ393" s="197"/>
      <c r="AR393" s="197"/>
      <c r="AS393" s="197"/>
      <c r="AT393" s="197"/>
      <c r="AU393" s="197"/>
      <c r="AV393" s="197"/>
      <c r="AW393" s="197"/>
    </row>
    <row r="394" spans="28:49" s="196" customFormat="1">
      <c r="AB394" s="201"/>
      <c r="AC394" s="201"/>
      <c r="AD394" s="197"/>
      <c r="AE394" s="197"/>
      <c r="AF394" s="197"/>
      <c r="AG394" s="197"/>
      <c r="AH394" s="197"/>
      <c r="AI394" s="197"/>
      <c r="AJ394" s="197"/>
      <c r="AK394" s="197"/>
      <c r="AL394" s="197"/>
      <c r="AM394" s="197"/>
      <c r="AN394" s="197"/>
      <c r="AO394" s="197"/>
      <c r="AP394" s="197"/>
      <c r="AQ394" s="197"/>
      <c r="AR394" s="197"/>
      <c r="AS394" s="197"/>
      <c r="AT394" s="197"/>
      <c r="AU394" s="197"/>
      <c r="AV394" s="197"/>
      <c r="AW394" s="197"/>
    </row>
    <row r="395" spans="28:49" s="196" customFormat="1">
      <c r="AB395" s="201"/>
      <c r="AC395" s="201"/>
      <c r="AD395" s="197"/>
      <c r="AE395" s="197"/>
      <c r="AF395" s="197"/>
      <c r="AG395" s="197"/>
      <c r="AH395" s="197"/>
      <c r="AI395" s="197"/>
      <c r="AJ395" s="197"/>
      <c r="AK395" s="197"/>
      <c r="AL395" s="197"/>
      <c r="AM395" s="197"/>
      <c r="AN395" s="197"/>
      <c r="AO395" s="197"/>
      <c r="AP395" s="197"/>
      <c r="AQ395" s="197"/>
      <c r="AR395" s="197"/>
      <c r="AS395" s="197"/>
      <c r="AT395" s="197"/>
      <c r="AU395" s="197"/>
      <c r="AV395" s="197"/>
      <c r="AW395" s="197"/>
    </row>
    <row r="396" spans="28:49" s="196" customFormat="1">
      <c r="AB396" s="201"/>
      <c r="AC396" s="201"/>
      <c r="AD396" s="197"/>
      <c r="AE396" s="197"/>
      <c r="AF396" s="197"/>
      <c r="AG396" s="197"/>
      <c r="AH396" s="197"/>
      <c r="AI396" s="197"/>
      <c r="AJ396" s="197"/>
      <c r="AK396" s="197"/>
      <c r="AL396" s="197"/>
      <c r="AM396" s="197"/>
      <c r="AN396" s="197"/>
      <c r="AO396" s="197"/>
      <c r="AP396" s="197"/>
      <c r="AQ396" s="197"/>
      <c r="AR396" s="197"/>
      <c r="AS396" s="197"/>
      <c r="AT396" s="197"/>
      <c r="AU396" s="197"/>
      <c r="AV396" s="197"/>
      <c r="AW396" s="197"/>
    </row>
    <row r="397" spans="28:49" s="196" customFormat="1">
      <c r="AB397" s="201"/>
      <c r="AC397" s="201"/>
      <c r="AD397" s="197"/>
      <c r="AE397" s="197"/>
      <c r="AF397" s="197"/>
      <c r="AG397" s="197"/>
      <c r="AH397" s="197"/>
      <c r="AI397" s="197"/>
      <c r="AJ397" s="197"/>
      <c r="AK397" s="197"/>
      <c r="AL397" s="197"/>
      <c r="AM397" s="197"/>
      <c r="AN397" s="197"/>
      <c r="AO397" s="197"/>
      <c r="AP397" s="197"/>
      <c r="AQ397" s="197"/>
      <c r="AR397" s="197"/>
      <c r="AS397" s="197"/>
      <c r="AT397" s="197"/>
      <c r="AU397" s="197"/>
      <c r="AV397" s="197"/>
      <c r="AW397" s="197"/>
    </row>
    <row r="398" spans="28:49" s="196" customFormat="1">
      <c r="AB398" s="201"/>
      <c r="AC398" s="201"/>
      <c r="AD398" s="197"/>
      <c r="AE398" s="197"/>
      <c r="AF398" s="197"/>
      <c r="AG398" s="197"/>
      <c r="AH398" s="197"/>
      <c r="AI398" s="197"/>
      <c r="AJ398" s="197"/>
      <c r="AK398" s="197"/>
      <c r="AL398" s="197"/>
      <c r="AM398" s="197"/>
      <c r="AN398" s="197"/>
      <c r="AO398" s="197"/>
      <c r="AP398" s="197"/>
      <c r="AQ398" s="197"/>
      <c r="AR398" s="197"/>
      <c r="AS398" s="197"/>
      <c r="AT398" s="197"/>
      <c r="AU398" s="197"/>
      <c r="AV398" s="197"/>
      <c r="AW398" s="197"/>
    </row>
    <row r="399" spans="28:49" s="196" customFormat="1">
      <c r="AB399" s="201"/>
      <c r="AC399" s="201"/>
      <c r="AD399" s="197"/>
      <c r="AE399" s="197"/>
      <c r="AF399" s="197"/>
      <c r="AG399" s="197"/>
      <c r="AH399" s="197"/>
      <c r="AI399" s="197"/>
      <c r="AJ399" s="197"/>
      <c r="AK399" s="197"/>
      <c r="AL399" s="197"/>
      <c r="AM399" s="197"/>
      <c r="AN399" s="197"/>
      <c r="AO399" s="197"/>
      <c r="AP399" s="197"/>
      <c r="AQ399" s="197"/>
      <c r="AR399" s="197"/>
      <c r="AS399" s="197"/>
      <c r="AT399" s="197"/>
      <c r="AU399" s="197"/>
      <c r="AV399" s="197"/>
      <c r="AW399" s="197"/>
    </row>
    <row r="400" spans="28:49" s="196" customFormat="1">
      <c r="AB400" s="201"/>
      <c r="AC400" s="201"/>
      <c r="AD400" s="197"/>
      <c r="AE400" s="197"/>
      <c r="AF400" s="197"/>
      <c r="AG400" s="197"/>
      <c r="AH400" s="197"/>
      <c r="AI400" s="197"/>
      <c r="AJ400" s="197"/>
      <c r="AK400" s="197"/>
      <c r="AL400" s="197"/>
      <c r="AM400" s="197"/>
      <c r="AN400" s="197"/>
      <c r="AO400" s="197"/>
      <c r="AP400" s="197"/>
      <c r="AQ400" s="197"/>
      <c r="AR400" s="197"/>
      <c r="AS400" s="197"/>
      <c r="AT400" s="197"/>
      <c r="AU400" s="197"/>
      <c r="AV400" s="197"/>
      <c r="AW400" s="197"/>
    </row>
    <row r="401" spans="28:49" s="196" customFormat="1">
      <c r="AB401" s="201"/>
      <c r="AC401" s="201"/>
      <c r="AD401" s="197"/>
      <c r="AE401" s="197"/>
      <c r="AF401" s="197"/>
      <c r="AG401" s="197"/>
      <c r="AH401" s="197"/>
      <c r="AI401" s="197"/>
      <c r="AJ401" s="197"/>
      <c r="AK401" s="197"/>
      <c r="AL401" s="197"/>
      <c r="AM401" s="197"/>
      <c r="AN401" s="197"/>
      <c r="AO401" s="197"/>
      <c r="AP401" s="197"/>
      <c r="AQ401" s="197"/>
      <c r="AR401" s="197"/>
      <c r="AS401" s="197"/>
      <c r="AT401" s="197"/>
      <c r="AU401" s="197"/>
      <c r="AV401" s="197"/>
      <c r="AW401" s="197"/>
    </row>
    <row r="402" spans="28:49" s="196" customFormat="1">
      <c r="AB402" s="201"/>
      <c r="AC402" s="201"/>
      <c r="AD402" s="197"/>
      <c r="AE402" s="197"/>
      <c r="AF402" s="197"/>
      <c r="AG402" s="197"/>
      <c r="AH402" s="197"/>
      <c r="AI402" s="197"/>
      <c r="AJ402" s="197"/>
      <c r="AK402" s="197"/>
      <c r="AL402" s="197"/>
      <c r="AM402" s="197"/>
      <c r="AN402" s="197"/>
      <c r="AO402" s="197"/>
      <c r="AP402" s="197"/>
      <c r="AQ402" s="197"/>
      <c r="AR402" s="197"/>
      <c r="AS402" s="197"/>
      <c r="AT402" s="197"/>
      <c r="AU402" s="197"/>
      <c r="AV402" s="197"/>
      <c r="AW402" s="197"/>
    </row>
    <row r="403" spans="28:49" s="196" customFormat="1">
      <c r="AB403" s="201"/>
      <c r="AC403" s="201"/>
      <c r="AD403" s="197"/>
      <c r="AE403" s="197"/>
      <c r="AF403" s="197"/>
      <c r="AG403" s="197"/>
      <c r="AH403" s="197"/>
      <c r="AI403" s="197"/>
      <c r="AJ403" s="197"/>
      <c r="AK403" s="197"/>
      <c r="AL403" s="197"/>
      <c r="AM403" s="197"/>
      <c r="AN403" s="197"/>
      <c r="AO403" s="197"/>
      <c r="AP403" s="197"/>
      <c r="AQ403" s="197"/>
      <c r="AR403" s="197"/>
      <c r="AS403" s="197"/>
      <c r="AT403" s="197"/>
      <c r="AU403" s="197"/>
      <c r="AV403" s="197"/>
      <c r="AW403" s="197"/>
    </row>
    <row r="404" spans="28:49" s="196" customFormat="1">
      <c r="AB404" s="201"/>
      <c r="AC404" s="201"/>
      <c r="AD404" s="197"/>
      <c r="AE404" s="197"/>
      <c r="AF404" s="197"/>
      <c r="AG404" s="197"/>
      <c r="AH404" s="197"/>
      <c r="AI404" s="197"/>
      <c r="AJ404" s="197"/>
      <c r="AK404" s="197"/>
      <c r="AL404" s="197"/>
      <c r="AM404" s="197"/>
      <c r="AN404" s="197"/>
      <c r="AO404" s="197"/>
      <c r="AP404" s="197"/>
      <c r="AQ404" s="197"/>
      <c r="AR404" s="197"/>
      <c r="AS404" s="197"/>
      <c r="AT404" s="197"/>
      <c r="AU404" s="197"/>
      <c r="AV404" s="197"/>
      <c r="AW404" s="197"/>
    </row>
    <row r="405" spans="28:49" s="196" customFormat="1">
      <c r="AB405" s="201"/>
      <c r="AC405" s="201"/>
      <c r="AD405" s="197"/>
      <c r="AE405" s="197"/>
      <c r="AF405" s="197"/>
      <c r="AG405" s="197"/>
      <c r="AH405" s="197"/>
      <c r="AI405" s="197"/>
      <c r="AJ405" s="197"/>
      <c r="AK405" s="197"/>
      <c r="AL405" s="197"/>
      <c r="AM405" s="197"/>
      <c r="AN405" s="197"/>
      <c r="AO405" s="197"/>
      <c r="AP405" s="197"/>
      <c r="AQ405" s="197"/>
      <c r="AR405" s="197"/>
      <c r="AS405" s="197"/>
      <c r="AT405" s="197"/>
      <c r="AU405" s="197"/>
      <c r="AV405" s="197"/>
      <c r="AW405" s="197"/>
    </row>
    <row r="406" spans="28:49" s="196" customFormat="1">
      <c r="AB406" s="201"/>
      <c r="AC406" s="201"/>
      <c r="AD406" s="197"/>
      <c r="AE406" s="197"/>
      <c r="AF406" s="197"/>
      <c r="AG406" s="197"/>
      <c r="AH406" s="197"/>
      <c r="AI406" s="197"/>
      <c r="AJ406" s="197"/>
      <c r="AK406" s="197"/>
      <c r="AL406" s="197"/>
      <c r="AM406" s="197"/>
      <c r="AN406" s="197"/>
      <c r="AO406" s="197"/>
      <c r="AP406" s="197"/>
      <c r="AQ406" s="197"/>
      <c r="AR406" s="197"/>
      <c r="AS406" s="197"/>
      <c r="AT406" s="197"/>
      <c r="AU406" s="197"/>
      <c r="AV406" s="197"/>
      <c r="AW406" s="197"/>
    </row>
    <row r="407" spans="28:49" s="196" customFormat="1">
      <c r="AB407" s="201"/>
      <c r="AC407" s="201"/>
      <c r="AD407" s="197"/>
      <c r="AE407" s="197"/>
      <c r="AF407" s="197"/>
      <c r="AG407" s="197"/>
      <c r="AH407" s="197"/>
      <c r="AI407" s="197"/>
      <c r="AJ407" s="197"/>
      <c r="AK407" s="197"/>
      <c r="AL407" s="197"/>
      <c r="AM407" s="197"/>
      <c r="AN407" s="197"/>
      <c r="AO407" s="197"/>
      <c r="AP407" s="197"/>
      <c r="AQ407" s="197"/>
      <c r="AR407" s="197"/>
      <c r="AS407" s="197"/>
      <c r="AT407" s="197"/>
      <c r="AU407" s="197"/>
      <c r="AV407" s="197"/>
      <c r="AW407" s="197"/>
    </row>
    <row r="408" spans="28:49" s="196" customFormat="1">
      <c r="AB408" s="201"/>
      <c r="AC408" s="201"/>
      <c r="AD408" s="197"/>
      <c r="AE408" s="197"/>
      <c r="AF408" s="197"/>
      <c r="AG408" s="197"/>
      <c r="AH408" s="197"/>
      <c r="AI408" s="197"/>
      <c r="AJ408" s="197"/>
      <c r="AK408" s="197"/>
      <c r="AL408" s="197"/>
      <c r="AM408" s="197"/>
      <c r="AN408" s="197"/>
      <c r="AO408" s="197"/>
      <c r="AP408" s="197"/>
      <c r="AQ408" s="197"/>
      <c r="AR408" s="197"/>
      <c r="AS408" s="197"/>
      <c r="AT408" s="197"/>
      <c r="AU408" s="197"/>
      <c r="AV408" s="197"/>
      <c r="AW408" s="197"/>
    </row>
    <row r="409" spans="28:49" s="196" customFormat="1">
      <c r="AB409" s="201"/>
      <c r="AC409" s="201"/>
      <c r="AD409" s="197"/>
      <c r="AE409" s="197"/>
      <c r="AF409" s="197"/>
      <c r="AG409" s="197"/>
      <c r="AH409" s="197"/>
      <c r="AI409" s="197"/>
      <c r="AJ409" s="197"/>
      <c r="AK409" s="197"/>
      <c r="AL409" s="197"/>
      <c r="AM409" s="197"/>
      <c r="AN409" s="197"/>
      <c r="AO409" s="197"/>
      <c r="AP409" s="197"/>
      <c r="AQ409" s="197"/>
      <c r="AR409" s="197"/>
      <c r="AS409" s="197"/>
      <c r="AT409" s="197"/>
      <c r="AU409" s="197"/>
      <c r="AV409" s="197"/>
      <c r="AW409" s="197"/>
    </row>
    <row r="410" spans="28:49" s="196" customFormat="1">
      <c r="AB410" s="201"/>
      <c r="AC410" s="201"/>
      <c r="AD410" s="197"/>
      <c r="AE410" s="197"/>
      <c r="AF410" s="197"/>
      <c r="AG410" s="197"/>
      <c r="AH410" s="197"/>
      <c r="AI410" s="197"/>
      <c r="AJ410" s="197"/>
      <c r="AK410" s="197"/>
      <c r="AL410" s="197"/>
      <c r="AM410" s="197"/>
      <c r="AN410" s="197"/>
      <c r="AO410" s="197"/>
      <c r="AP410" s="197"/>
      <c r="AQ410" s="197"/>
      <c r="AR410" s="197"/>
      <c r="AS410" s="197"/>
      <c r="AT410" s="197"/>
      <c r="AU410" s="197"/>
      <c r="AV410" s="197"/>
      <c r="AW410" s="197"/>
    </row>
    <row r="411" spans="28:49" s="196" customFormat="1">
      <c r="AB411" s="201"/>
      <c r="AC411" s="201"/>
      <c r="AD411" s="197"/>
      <c r="AE411" s="197"/>
      <c r="AF411" s="197"/>
      <c r="AG411" s="197"/>
      <c r="AH411" s="197"/>
      <c r="AI411" s="197"/>
      <c r="AJ411" s="197"/>
      <c r="AK411" s="197"/>
      <c r="AL411" s="197"/>
      <c r="AM411" s="197"/>
      <c r="AN411" s="197"/>
      <c r="AO411" s="197"/>
      <c r="AP411" s="197"/>
      <c r="AQ411" s="197"/>
      <c r="AR411" s="197"/>
      <c r="AS411" s="197"/>
      <c r="AT411" s="197"/>
      <c r="AU411" s="197"/>
      <c r="AV411" s="197"/>
      <c r="AW411" s="197"/>
    </row>
    <row r="412" spans="28:49" s="196" customFormat="1">
      <c r="AB412" s="201"/>
      <c r="AC412" s="201"/>
      <c r="AD412" s="197"/>
      <c r="AE412" s="197"/>
      <c r="AF412" s="197"/>
      <c r="AG412" s="197"/>
      <c r="AH412" s="197"/>
      <c r="AI412" s="197"/>
      <c r="AJ412" s="197"/>
      <c r="AK412" s="197"/>
      <c r="AL412" s="197"/>
      <c r="AM412" s="197"/>
      <c r="AN412" s="197"/>
      <c r="AO412" s="197"/>
      <c r="AP412" s="197"/>
      <c r="AQ412" s="197"/>
      <c r="AR412" s="197"/>
      <c r="AS412" s="197"/>
      <c r="AT412" s="197"/>
      <c r="AU412" s="197"/>
      <c r="AV412" s="197"/>
      <c r="AW412" s="197"/>
    </row>
    <row r="413" spans="28:49" s="196" customFormat="1">
      <c r="AB413" s="201"/>
      <c r="AC413" s="201"/>
      <c r="AD413" s="197"/>
      <c r="AE413" s="197"/>
      <c r="AF413" s="197"/>
      <c r="AG413" s="197"/>
      <c r="AH413" s="197"/>
      <c r="AI413" s="197"/>
      <c r="AJ413" s="197"/>
      <c r="AK413" s="197"/>
      <c r="AL413" s="197"/>
      <c r="AM413" s="197"/>
      <c r="AN413" s="197"/>
      <c r="AO413" s="197"/>
      <c r="AP413" s="197"/>
      <c r="AQ413" s="197"/>
      <c r="AR413" s="197"/>
      <c r="AS413" s="197"/>
      <c r="AT413" s="197"/>
      <c r="AU413" s="197"/>
      <c r="AV413" s="197"/>
      <c r="AW413" s="197"/>
    </row>
    <row r="414" spans="28:49" s="196" customFormat="1">
      <c r="AB414" s="201"/>
      <c r="AC414" s="201"/>
      <c r="AD414" s="197"/>
      <c r="AE414" s="197"/>
      <c r="AF414" s="197"/>
      <c r="AG414" s="197"/>
      <c r="AH414" s="197"/>
      <c r="AI414" s="197"/>
      <c r="AJ414" s="197"/>
      <c r="AK414" s="197"/>
      <c r="AL414" s="197"/>
      <c r="AM414" s="197"/>
      <c r="AN414" s="197"/>
      <c r="AO414" s="197"/>
      <c r="AP414" s="197"/>
      <c r="AQ414" s="197"/>
      <c r="AR414" s="197"/>
      <c r="AS414" s="197"/>
      <c r="AT414" s="197"/>
      <c r="AU414" s="197"/>
      <c r="AV414" s="197"/>
      <c r="AW414" s="197"/>
    </row>
    <row r="415" spans="28:49" s="196" customFormat="1">
      <c r="AB415" s="201"/>
      <c r="AC415" s="201"/>
      <c r="AD415" s="197"/>
      <c r="AE415" s="197"/>
      <c r="AF415" s="197"/>
      <c r="AG415" s="197"/>
      <c r="AH415" s="197"/>
      <c r="AI415" s="197"/>
      <c r="AJ415" s="197"/>
      <c r="AK415" s="197"/>
      <c r="AL415" s="197"/>
      <c r="AM415" s="197"/>
      <c r="AN415" s="197"/>
      <c r="AO415" s="197"/>
      <c r="AP415" s="197"/>
      <c r="AQ415" s="197"/>
      <c r="AR415" s="197"/>
      <c r="AS415" s="197"/>
      <c r="AT415" s="197"/>
      <c r="AU415" s="197"/>
      <c r="AV415" s="197"/>
      <c r="AW415" s="197"/>
    </row>
    <row r="416" spans="28:49" s="196" customFormat="1">
      <c r="AB416" s="201"/>
      <c r="AC416" s="201"/>
      <c r="AD416" s="197"/>
      <c r="AE416" s="197"/>
      <c r="AF416" s="197"/>
      <c r="AG416" s="197"/>
      <c r="AH416" s="197"/>
      <c r="AI416" s="197"/>
      <c r="AJ416" s="197"/>
      <c r="AK416" s="197"/>
      <c r="AL416" s="197"/>
      <c r="AM416" s="197"/>
      <c r="AN416" s="197"/>
      <c r="AO416" s="197"/>
      <c r="AP416" s="197"/>
      <c r="AQ416" s="197"/>
      <c r="AR416" s="197"/>
      <c r="AS416" s="197"/>
      <c r="AT416" s="197"/>
      <c r="AU416" s="197"/>
      <c r="AV416" s="197"/>
      <c r="AW416" s="197"/>
    </row>
    <row r="417" spans="28:49" s="196" customFormat="1">
      <c r="AB417" s="201"/>
      <c r="AC417" s="201"/>
      <c r="AD417" s="197"/>
      <c r="AE417" s="197"/>
      <c r="AF417" s="197"/>
      <c r="AG417" s="197"/>
      <c r="AH417" s="197"/>
      <c r="AI417" s="197"/>
      <c r="AJ417" s="197"/>
      <c r="AK417" s="197"/>
      <c r="AL417" s="197"/>
      <c r="AM417" s="197"/>
      <c r="AN417" s="197"/>
      <c r="AO417" s="197"/>
      <c r="AP417" s="197"/>
      <c r="AQ417" s="197"/>
      <c r="AR417" s="197"/>
      <c r="AS417" s="197"/>
      <c r="AT417" s="197"/>
      <c r="AU417" s="197"/>
      <c r="AV417" s="197"/>
      <c r="AW417" s="197"/>
    </row>
    <row r="418" spans="28:49" s="196" customFormat="1">
      <c r="AB418" s="201"/>
      <c r="AC418" s="201"/>
      <c r="AD418" s="197"/>
      <c r="AE418" s="197"/>
      <c r="AF418" s="197"/>
      <c r="AG418" s="197"/>
      <c r="AH418" s="197"/>
      <c r="AI418" s="197"/>
      <c r="AJ418" s="197"/>
      <c r="AK418" s="197"/>
      <c r="AL418" s="197"/>
      <c r="AM418" s="197"/>
      <c r="AN418" s="197"/>
      <c r="AO418" s="197"/>
      <c r="AP418" s="197"/>
      <c r="AQ418" s="197"/>
      <c r="AR418" s="197"/>
      <c r="AS418" s="197"/>
      <c r="AT418" s="197"/>
      <c r="AU418" s="197"/>
      <c r="AV418" s="197"/>
      <c r="AW418" s="197"/>
    </row>
    <row r="419" spans="28:49" s="196" customFormat="1">
      <c r="AB419" s="201"/>
      <c r="AC419" s="201"/>
      <c r="AD419" s="197"/>
      <c r="AE419" s="197"/>
      <c r="AF419" s="197"/>
      <c r="AG419" s="197"/>
      <c r="AH419" s="197"/>
      <c r="AI419" s="197"/>
      <c r="AJ419" s="197"/>
      <c r="AK419" s="197"/>
      <c r="AL419" s="197"/>
      <c r="AM419" s="197"/>
      <c r="AN419" s="197"/>
      <c r="AO419" s="197"/>
      <c r="AP419" s="197"/>
      <c r="AQ419" s="197"/>
      <c r="AR419" s="197"/>
      <c r="AS419" s="197"/>
      <c r="AT419" s="197"/>
      <c r="AU419" s="197"/>
      <c r="AV419" s="197"/>
      <c r="AW419" s="197"/>
    </row>
    <row r="420" spans="28:49" s="196" customFormat="1">
      <c r="AB420" s="201"/>
      <c r="AC420" s="201"/>
      <c r="AD420" s="197"/>
      <c r="AE420" s="197"/>
      <c r="AF420" s="197"/>
      <c r="AG420" s="197"/>
      <c r="AH420" s="197"/>
      <c r="AI420" s="197"/>
      <c r="AJ420" s="197"/>
      <c r="AK420" s="197"/>
      <c r="AL420" s="197"/>
      <c r="AM420" s="197"/>
      <c r="AN420" s="197"/>
      <c r="AO420" s="197"/>
      <c r="AP420" s="197"/>
      <c r="AQ420" s="197"/>
      <c r="AR420" s="197"/>
      <c r="AS420" s="197"/>
      <c r="AT420" s="197"/>
      <c r="AU420" s="197"/>
      <c r="AV420" s="197"/>
      <c r="AW420" s="197"/>
    </row>
    <row r="421" spans="28:49" s="196" customFormat="1">
      <c r="AB421" s="201"/>
      <c r="AC421" s="201"/>
      <c r="AD421" s="197"/>
      <c r="AE421" s="197"/>
      <c r="AF421" s="197"/>
      <c r="AG421" s="197"/>
      <c r="AH421" s="197"/>
      <c r="AI421" s="197"/>
      <c r="AJ421" s="197"/>
      <c r="AK421" s="197"/>
      <c r="AL421" s="197"/>
      <c r="AM421" s="197"/>
      <c r="AN421" s="197"/>
      <c r="AO421" s="197"/>
      <c r="AP421" s="197"/>
      <c r="AQ421" s="197"/>
      <c r="AR421" s="197"/>
      <c r="AS421" s="197"/>
      <c r="AT421" s="197"/>
      <c r="AU421" s="197"/>
      <c r="AV421" s="197"/>
      <c r="AW421" s="197"/>
    </row>
    <row r="422" spans="28:49" s="196" customFormat="1">
      <c r="AB422" s="201"/>
      <c r="AC422" s="201"/>
      <c r="AD422" s="197"/>
      <c r="AE422" s="197"/>
      <c r="AF422" s="197"/>
      <c r="AG422" s="197"/>
      <c r="AH422" s="197"/>
      <c r="AI422" s="197"/>
      <c r="AJ422" s="197"/>
      <c r="AK422" s="197"/>
      <c r="AL422" s="197"/>
      <c r="AM422" s="197"/>
      <c r="AN422" s="197"/>
      <c r="AO422" s="197"/>
      <c r="AP422" s="197"/>
      <c r="AQ422" s="197"/>
      <c r="AR422" s="197"/>
      <c r="AS422" s="197"/>
      <c r="AT422" s="197"/>
      <c r="AU422" s="197"/>
      <c r="AV422" s="197"/>
      <c r="AW422" s="197"/>
    </row>
    <row r="423" spans="28:49" s="196" customFormat="1">
      <c r="AB423" s="201"/>
      <c r="AC423" s="201"/>
      <c r="AD423" s="197"/>
      <c r="AE423" s="197"/>
      <c r="AF423" s="197"/>
      <c r="AG423" s="197"/>
      <c r="AH423" s="197"/>
      <c r="AI423" s="197"/>
      <c r="AJ423" s="197"/>
      <c r="AK423" s="197"/>
      <c r="AL423" s="197"/>
      <c r="AM423" s="197"/>
      <c r="AN423" s="197"/>
      <c r="AO423" s="197"/>
      <c r="AP423" s="197"/>
      <c r="AQ423" s="197"/>
      <c r="AR423" s="197"/>
      <c r="AS423" s="197"/>
      <c r="AT423" s="197"/>
      <c r="AU423" s="197"/>
      <c r="AV423" s="197"/>
      <c r="AW423" s="197"/>
    </row>
    <row r="424" spans="28:49" s="196" customFormat="1">
      <c r="AB424" s="201"/>
      <c r="AC424" s="201"/>
      <c r="AD424" s="197"/>
      <c r="AE424" s="197"/>
      <c r="AF424" s="197"/>
      <c r="AG424" s="197"/>
      <c r="AH424" s="197"/>
      <c r="AI424" s="197"/>
      <c r="AJ424" s="197"/>
      <c r="AK424" s="197"/>
      <c r="AL424" s="197"/>
      <c r="AM424" s="197"/>
      <c r="AN424" s="197"/>
      <c r="AO424" s="197"/>
      <c r="AP424" s="197"/>
      <c r="AQ424" s="197"/>
      <c r="AR424" s="197"/>
      <c r="AS424" s="197"/>
      <c r="AT424" s="197"/>
      <c r="AU424" s="197"/>
      <c r="AV424" s="197"/>
      <c r="AW424" s="197"/>
    </row>
    <row r="425" spans="28:49" s="196" customFormat="1">
      <c r="AB425" s="201"/>
      <c r="AC425" s="201"/>
      <c r="AD425" s="197"/>
      <c r="AE425" s="197"/>
      <c r="AF425" s="197"/>
      <c r="AG425" s="197"/>
      <c r="AH425" s="197"/>
      <c r="AI425" s="197"/>
      <c r="AJ425" s="197"/>
      <c r="AK425" s="197"/>
      <c r="AL425" s="197"/>
      <c r="AM425" s="197"/>
      <c r="AN425" s="197"/>
      <c r="AO425" s="197"/>
      <c r="AP425" s="197"/>
      <c r="AQ425" s="197"/>
      <c r="AR425" s="197"/>
      <c r="AS425" s="197"/>
      <c r="AT425" s="197"/>
      <c r="AU425" s="197"/>
      <c r="AV425" s="197"/>
      <c r="AW425" s="197"/>
    </row>
    <row r="426" spans="28:49" s="196" customFormat="1">
      <c r="AB426" s="201"/>
      <c r="AC426" s="201"/>
      <c r="AD426" s="197"/>
      <c r="AE426" s="197"/>
      <c r="AF426" s="197"/>
      <c r="AG426" s="197"/>
      <c r="AH426" s="197"/>
      <c r="AI426" s="197"/>
      <c r="AJ426" s="197"/>
      <c r="AK426" s="197"/>
      <c r="AL426" s="197"/>
      <c r="AM426" s="197"/>
      <c r="AN426" s="197"/>
      <c r="AO426" s="197"/>
      <c r="AP426" s="197"/>
      <c r="AQ426" s="197"/>
      <c r="AR426" s="197"/>
      <c r="AS426" s="197"/>
      <c r="AT426" s="197"/>
      <c r="AU426" s="197"/>
      <c r="AV426" s="197"/>
      <c r="AW426" s="197"/>
    </row>
    <row r="427" spans="28:49" s="196" customFormat="1">
      <c r="AB427" s="201"/>
      <c r="AC427" s="201"/>
      <c r="AD427" s="197"/>
      <c r="AE427" s="197"/>
      <c r="AF427" s="197"/>
      <c r="AG427" s="197"/>
      <c r="AH427" s="197"/>
      <c r="AI427" s="197"/>
      <c r="AJ427" s="197"/>
      <c r="AK427" s="197"/>
      <c r="AL427" s="197"/>
      <c r="AM427" s="197"/>
      <c r="AN427" s="197"/>
      <c r="AO427" s="197"/>
      <c r="AP427" s="197"/>
      <c r="AQ427" s="197"/>
      <c r="AR427" s="197"/>
      <c r="AS427" s="197"/>
      <c r="AT427" s="197"/>
      <c r="AU427" s="197"/>
      <c r="AV427" s="197"/>
      <c r="AW427" s="197"/>
    </row>
    <row r="428" spans="28:49" s="196" customFormat="1">
      <c r="AB428" s="201"/>
      <c r="AC428" s="201"/>
      <c r="AD428" s="197"/>
      <c r="AE428" s="197"/>
      <c r="AF428" s="197"/>
      <c r="AG428" s="197"/>
      <c r="AH428" s="197"/>
      <c r="AI428" s="197"/>
      <c r="AJ428" s="197"/>
      <c r="AK428" s="197"/>
      <c r="AL428" s="197"/>
      <c r="AM428" s="197"/>
      <c r="AN428" s="197"/>
      <c r="AO428" s="197"/>
      <c r="AP428" s="197"/>
      <c r="AQ428" s="197"/>
      <c r="AR428" s="197"/>
      <c r="AS428" s="197"/>
      <c r="AT428" s="197"/>
      <c r="AU428" s="197"/>
      <c r="AV428" s="197"/>
      <c r="AW428" s="197"/>
    </row>
    <row r="429" spans="28:49" s="196" customFormat="1">
      <c r="AB429" s="201"/>
      <c r="AC429" s="201"/>
      <c r="AD429" s="197"/>
      <c r="AE429" s="197"/>
      <c r="AF429" s="197"/>
      <c r="AG429" s="197"/>
      <c r="AH429" s="197"/>
      <c r="AI429" s="197"/>
      <c r="AJ429" s="197"/>
      <c r="AK429" s="197"/>
      <c r="AL429" s="197"/>
      <c r="AM429" s="197"/>
      <c r="AN429" s="197"/>
      <c r="AO429" s="197"/>
      <c r="AP429" s="197"/>
      <c r="AQ429" s="197"/>
      <c r="AR429" s="197"/>
      <c r="AS429" s="197"/>
      <c r="AT429" s="197"/>
      <c r="AU429" s="197"/>
      <c r="AV429" s="197"/>
      <c r="AW429" s="197"/>
    </row>
    <row r="430" spans="28:49" s="196" customFormat="1">
      <c r="AB430" s="201"/>
      <c r="AC430" s="201"/>
      <c r="AD430" s="197"/>
      <c r="AE430" s="197"/>
      <c r="AF430" s="197"/>
      <c r="AG430" s="197"/>
      <c r="AH430" s="197"/>
      <c r="AI430" s="197"/>
      <c r="AJ430" s="197"/>
      <c r="AK430" s="197"/>
      <c r="AL430" s="197"/>
      <c r="AM430" s="197"/>
      <c r="AN430" s="197"/>
      <c r="AO430" s="197"/>
      <c r="AP430" s="197"/>
      <c r="AQ430" s="197"/>
      <c r="AR430" s="197"/>
      <c r="AS430" s="197"/>
      <c r="AT430" s="197"/>
      <c r="AU430" s="197"/>
      <c r="AV430" s="197"/>
      <c r="AW430" s="197"/>
    </row>
    <row r="431" spans="28:49" s="196" customFormat="1">
      <c r="AB431" s="201"/>
      <c r="AC431" s="201"/>
      <c r="AD431" s="197"/>
      <c r="AE431" s="197"/>
      <c r="AF431" s="197"/>
      <c r="AG431" s="197"/>
      <c r="AH431" s="197"/>
      <c r="AI431" s="197"/>
      <c r="AJ431" s="197"/>
      <c r="AK431" s="197"/>
      <c r="AL431" s="197"/>
      <c r="AM431" s="197"/>
      <c r="AN431" s="197"/>
      <c r="AO431" s="197"/>
      <c r="AP431" s="197"/>
      <c r="AQ431" s="197"/>
      <c r="AR431" s="197"/>
      <c r="AS431" s="197"/>
      <c r="AT431" s="197"/>
      <c r="AU431" s="197"/>
      <c r="AV431" s="197"/>
      <c r="AW431" s="197"/>
    </row>
    <row r="432" spans="28:49" s="196" customFormat="1">
      <c r="AB432" s="201"/>
      <c r="AC432" s="201"/>
      <c r="AD432" s="197"/>
      <c r="AE432" s="197"/>
      <c r="AF432" s="197"/>
      <c r="AG432" s="197"/>
      <c r="AH432" s="197"/>
      <c r="AI432" s="197"/>
      <c r="AJ432" s="197"/>
      <c r="AK432" s="197"/>
      <c r="AL432" s="197"/>
      <c r="AM432" s="197"/>
      <c r="AN432" s="197"/>
      <c r="AO432" s="197"/>
      <c r="AP432" s="197"/>
      <c r="AQ432" s="197"/>
      <c r="AR432" s="197"/>
      <c r="AS432" s="197"/>
      <c r="AT432" s="197"/>
      <c r="AU432" s="197"/>
      <c r="AV432" s="197"/>
      <c r="AW432" s="197"/>
    </row>
    <row r="433" spans="28:49" s="196" customFormat="1">
      <c r="AB433" s="201"/>
      <c r="AC433" s="201"/>
      <c r="AD433" s="197"/>
      <c r="AE433" s="197"/>
      <c r="AF433" s="197"/>
      <c r="AG433" s="197"/>
      <c r="AH433" s="197"/>
      <c r="AI433" s="197"/>
      <c r="AJ433" s="197"/>
      <c r="AK433" s="197"/>
      <c r="AL433" s="197"/>
      <c r="AM433" s="197"/>
      <c r="AN433" s="197"/>
      <c r="AO433" s="197"/>
      <c r="AP433" s="197"/>
      <c r="AQ433" s="197"/>
      <c r="AR433" s="197"/>
      <c r="AS433" s="197"/>
      <c r="AT433" s="197"/>
      <c r="AU433" s="197"/>
      <c r="AV433" s="197"/>
      <c r="AW433" s="197"/>
    </row>
    <row r="434" spans="28:49" s="196" customFormat="1">
      <c r="AB434" s="201"/>
      <c r="AC434" s="201"/>
      <c r="AD434" s="197"/>
      <c r="AE434" s="197"/>
      <c r="AF434" s="197"/>
      <c r="AG434" s="197"/>
      <c r="AH434" s="197"/>
      <c r="AI434" s="197"/>
      <c r="AJ434" s="197"/>
      <c r="AK434" s="197"/>
      <c r="AL434" s="197"/>
      <c r="AM434" s="197"/>
      <c r="AN434" s="197"/>
      <c r="AO434" s="197"/>
      <c r="AP434" s="197"/>
      <c r="AQ434" s="197"/>
      <c r="AR434" s="197"/>
      <c r="AS434" s="197"/>
      <c r="AT434" s="197"/>
      <c r="AU434" s="197"/>
      <c r="AV434" s="197"/>
      <c r="AW434" s="197"/>
    </row>
    <row r="435" spans="28:49" s="196" customFormat="1">
      <c r="AB435" s="201"/>
      <c r="AC435" s="201"/>
      <c r="AD435" s="197"/>
      <c r="AE435" s="197"/>
      <c r="AF435" s="197"/>
      <c r="AG435" s="197"/>
      <c r="AH435" s="197"/>
      <c r="AI435" s="197"/>
      <c r="AJ435" s="197"/>
      <c r="AK435" s="197"/>
      <c r="AL435" s="197"/>
      <c r="AM435" s="197"/>
      <c r="AN435" s="197"/>
      <c r="AO435" s="197"/>
      <c r="AP435" s="197"/>
      <c r="AQ435" s="197"/>
      <c r="AR435" s="197"/>
      <c r="AS435" s="197"/>
      <c r="AT435" s="197"/>
      <c r="AU435" s="197"/>
      <c r="AV435" s="197"/>
      <c r="AW435" s="197"/>
    </row>
    <row r="436" spans="28:49" s="196" customFormat="1">
      <c r="AB436" s="201"/>
      <c r="AC436" s="201"/>
      <c r="AD436" s="197"/>
      <c r="AE436" s="197"/>
      <c r="AF436" s="197"/>
      <c r="AG436" s="197"/>
      <c r="AH436" s="197"/>
      <c r="AI436" s="197"/>
      <c r="AJ436" s="197"/>
      <c r="AK436" s="197"/>
      <c r="AL436" s="197"/>
      <c r="AM436" s="197"/>
      <c r="AN436" s="197"/>
      <c r="AO436" s="197"/>
      <c r="AP436" s="197"/>
      <c r="AQ436" s="197"/>
      <c r="AR436" s="197"/>
      <c r="AS436" s="197"/>
      <c r="AT436" s="197"/>
      <c r="AU436" s="197"/>
      <c r="AV436" s="197"/>
      <c r="AW436" s="197"/>
    </row>
    <row r="437" spans="28:49" s="196" customFormat="1">
      <c r="AB437" s="201"/>
      <c r="AC437" s="201"/>
      <c r="AD437" s="197"/>
      <c r="AE437" s="197"/>
      <c r="AF437" s="197"/>
      <c r="AG437" s="197"/>
      <c r="AH437" s="197"/>
      <c r="AI437" s="197"/>
      <c r="AJ437" s="197"/>
      <c r="AK437" s="197"/>
      <c r="AL437" s="197"/>
      <c r="AM437" s="197"/>
      <c r="AN437" s="197"/>
      <c r="AO437" s="197"/>
      <c r="AP437" s="197"/>
      <c r="AQ437" s="197"/>
      <c r="AR437" s="197"/>
      <c r="AS437" s="197"/>
      <c r="AT437" s="197"/>
      <c r="AU437" s="197"/>
      <c r="AV437" s="197"/>
      <c r="AW437" s="197"/>
    </row>
    <row r="438" spans="28:49" s="196" customFormat="1">
      <c r="AB438" s="201"/>
      <c r="AC438" s="201"/>
      <c r="AD438" s="197"/>
      <c r="AE438" s="197"/>
      <c r="AF438" s="197"/>
      <c r="AG438" s="197"/>
      <c r="AH438" s="197"/>
      <c r="AI438" s="197"/>
      <c r="AJ438" s="197"/>
      <c r="AK438" s="197"/>
      <c r="AL438" s="197"/>
      <c r="AM438" s="197"/>
      <c r="AN438" s="197"/>
      <c r="AO438" s="197"/>
      <c r="AP438" s="197"/>
      <c r="AQ438" s="197"/>
      <c r="AR438" s="197"/>
      <c r="AS438" s="197"/>
      <c r="AT438" s="197"/>
      <c r="AU438" s="197"/>
      <c r="AV438" s="197"/>
      <c r="AW438" s="197"/>
    </row>
    <row r="439" spans="28:49" s="196" customFormat="1">
      <c r="AB439" s="201"/>
      <c r="AC439" s="201"/>
      <c r="AD439" s="197"/>
      <c r="AE439" s="197"/>
      <c r="AF439" s="197"/>
      <c r="AG439" s="197"/>
      <c r="AH439" s="197"/>
      <c r="AI439" s="197"/>
      <c r="AJ439" s="197"/>
      <c r="AK439" s="197"/>
      <c r="AL439" s="197"/>
      <c r="AM439" s="197"/>
      <c r="AN439" s="197"/>
      <c r="AO439" s="197"/>
      <c r="AP439" s="197"/>
      <c r="AQ439" s="197"/>
      <c r="AR439" s="197"/>
      <c r="AS439" s="197"/>
      <c r="AT439" s="197"/>
      <c r="AU439" s="197"/>
      <c r="AV439" s="197"/>
      <c r="AW439" s="197"/>
    </row>
    <row r="440" spans="28:49" s="196" customFormat="1">
      <c r="AB440" s="201"/>
      <c r="AC440" s="201"/>
      <c r="AD440" s="197"/>
      <c r="AE440" s="197"/>
      <c r="AF440" s="197"/>
      <c r="AG440" s="197"/>
      <c r="AH440" s="197"/>
      <c r="AI440" s="197"/>
      <c r="AJ440" s="197"/>
      <c r="AK440" s="197"/>
      <c r="AL440" s="197"/>
      <c r="AM440" s="197"/>
      <c r="AN440" s="197"/>
      <c r="AO440" s="197"/>
      <c r="AP440" s="197"/>
      <c r="AQ440" s="197"/>
      <c r="AR440" s="197"/>
      <c r="AS440" s="197"/>
      <c r="AT440" s="197"/>
      <c r="AU440" s="197"/>
      <c r="AV440" s="197"/>
      <c r="AW440" s="197"/>
    </row>
    <row r="441" spans="28:49" s="196" customFormat="1">
      <c r="AB441" s="201"/>
      <c r="AC441" s="201"/>
      <c r="AD441" s="197"/>
      <c r="AE441" s="197"/>
      <c r="AF441" s="197"/>
      <c r="AG441" s="197"/>
      <c r="AH441" s="197"/>
      <c r="AI441" s="197"/>
      <c r="AJ441" s="197"/>
      <c r="AK441" s="197"/>
      <c r="AL441" s="197"/>
      <c r="AM441" s="197"/>
      <c r="AN441" s="197"/>
      <c r="AO441" s="197"/>
      <c r="AP441" s="197"/>
      <c r="AQ441" s="197"/>
      <c r="AR441" s="197"/>
      <c r="AS441" s="197"/>
      <c r="AT441" s="197"/>
      <c r="AU441" s="197"/>
      <c r="AV441" s="197"/>
      <c r="AW441" s="197"/>
    </row>
    <row r="442" spans="28:49" s="196" customFormat="1">
      <c r="AB442" s="201"/>
      <c r="AC442" s="201"/>
      <c r="AD442" s="197"/>
      <c r="AE442" s="197"/>
      <c r="AF442" s="197"/>
      <c r="AG442" s="197"/>
      <c r="AH442" s="197"/>
      <c r="AI442" s="197"/>
      <c r="AJ442" s="197"/>
      <c r="AK442" s="197"/>
      <c r="AL442" s="197"/>
      <c r="AM442" s="197"/>
      <c r="AN442" s="197"/>
      <c r="AO442" s="197"/>
      <c r="AP442" s="197"/>
      <c r="AQ442" s="197"/>
      <c r="AR442" s="197"/>
      <c r="AS442" s="197"/>
      <c r="AT442" s="197"/>
      <c r="AU442" s="197"/>
      <c r="AV442" s="197"/>
      <c r="AW442" s="197"/>
    </row>
    <row r="443" spans="28:49" s="196" customFormat="1">
      <c r="AB443" s="201"/>
      <c r="AC443" s="201"/>
      <c r="AD443" s="197"/>
      <c r="AE443" s="197"/>
      <c r="AF443" s="197"/>
      <c r="AG443" s="197"/>
      <c r="AH443" s="197"/>
      <c r="AI443" s="197"/>
      <c r="AJ443" s="197"/>
      <c r="AK443" s="197"/>
      <c r="AL443" s="197"/>
      <c r="AM443" s="197"/>
      <c r="AN443" s="197"/>
      <c r="AO443" s="197"/>
      <c r="AP443" s="197"/>
      <c r="AQ443" s="197"/>
      <c r="AR443" s="197"/>
      <c r="AS443" s="197"/>
      <c r="AT443" s="197"/>
      <c r="AU443" s="197"/>
      <c r="AV443" s="197"/>
      <c r="AW443" s="197"/>
    </row>
    <row r="444" spans="28:49" s="196" customFormat="1">
      <c r="AB444" s="201"/>
      <c r="AC444" s="201"/>
      <c r="AD444" s="197"/>
      <c r="AE444" s="197"/>
      <c r="AF444" s="197"/>
      <c r="AG444" s="197"/>
      <c r="AH444" s="197"/>
      <c r="AI444" s="197"/>
      <c r="AJ444" s="197"/>
      <c r="AK444" s="197"/>
      <c r="AL444" s="197"/>
      <c r="AM444" s="197"/>
      <c r="AN444" s="197"/>
      <c r="AO444" s="197"/>
      <c r="AP444" s="197"/>
      <c r="AQ444" s="197"/>
      <c r="AR444" s="197"/>
      <c r="AS444" s="197"/>
      <c r="AT444" s="197"/>
      <c r="AU444" s="197"/>
      <c r="AV444" s="197"/>
      <c r="AW444" s="197"/>
    </row>
    <row r="445" spans="28:49" s="196" customFormat="1">
      <c r="AB445" s="201"/>
      <c r="AC445" s="201"/>
      <c r="AD445" s="197"/>
      <c r="AE445" s="197"/>
      <c r="AF445" s="197"/>
      <c r="AG445" s="197"/>
      <c r="AH445" s="197"/>
      <c r="AI445" s="197"/>
      <c r="AJ445" s="197"/>
      <c r="AK445" s="197"/>
      <c r="AL445" s="197"/>
      <c r="AM445" s="197"/>
      <c r="AN445" s="197"/>
      <c r="AO445" s="197"/>
      <c r="AP445" s="197"/>
      <c r="AQ445" s="197"/>
      <c r="AR445" s="197"/>
      <c r="AS445" s="197"/>
      <c r="AT445" s="197"/>
      <c r="AU445" s="197"/>
      <c r="AV445" s="197"/>
      <c r="AW445" s="197"/>
    </row>
    <row r="446" spans="28:49" s="196" customFormat="1">
      <c r="AB446" s="201"/>
      <c r="AC446" s="201"/>
      <c r="AD446" s="197"/>
      <c r="AE446" s="197"/>
      <c r="AF446" s="197"/>
      <c r="AG446" s="197"/>
      <c r="AH446" s="197"/>
      <c r="AI446" s="197"/>
      <c r="AJ446" s="197"/>
      <c r="AK446" s="197"/>
      <c r="AL446" s="197"/>
      <c r="AM446" s="197"/>
      <c r="AN446" s="197"/>
      <c r="AO446" s="197"/>
      <c r="AP446" s="197"/>
      <c r="AQ446" s="197"/>
      <c r="AR446" s="197"/>
      <c r="AS446" s="197"/>
      <c r="AT446" s="197"/>
      <c r="AU446" s="197"/>
      <c r="AV446" s="197"/>
      <c r="AW446" s="197"/>
    </row>
    <row r="447" spans="28:49" s="196" customFormat="1">
      <c r="AB447" s="201"/>
      <c r="AC447" s="201"/>
      <c r="AD447" s="197"/>
      <c r="AE447" s="197"/>
      <c r="AF447" s="197"/>
      <c r="AG447" s="197"/>
      <c r="AH447" s="197"/>
      <c r="AI447" s="197"/>
      <c r="AJ447" s="197"/>
      <c r="AK447" s="197"/>
      <c r="AL447" s="197"/>
      <c r="AM447" s="197"/>
      <c r="AN447" s="197"/>
      <c r="AO447" s="197"/>
      <c r="AP447" s="197"/>
      <c r="AQ447" s="197"/>
      <c r="AR447" s="197"/>
      <c r="AS447" s="197"/>
      <c r="AT447" s="197"/>
      <c r="AU447" s="197"/>
      <c r="AV447" s="197"/>
      <c r="AW447" s="197"/>
    </row>
    <row r="448" spans="28:49" s="196" customFormat="1">
      <c r="AB448" s="201"/>
      <c r="AC448" s="201"/>
      <c r="AD448" s="197"/>
      <c r="AE448" s="197"/>
      <c r="AF448" s="197"/>
      <c r="AG448" s="197"/>
      <c r="AH448" s="197"/>
      <c r="AI448" s="197"/>
      <c r="AJ448" s="197"/>
      <c r="AK448" s="197"/>
      <c r="AL448" s="197"/>
      <c r="AM448" s="197"/>
      <c r="AN448" s="197"/>
      <c r="AO448" s="197"/>
      <c r="AP448" s="197"/>
      <c r="AQ448" s="197"/>
      <c r="AR448" s="197"/>
      <c r="AS448" s="197"/>
      <c r="AT448" s="197"/>
      <c r="AU448" s="197"/>
      <c r="AV448" s="197"/>
      <c r="AW448" s="197"/>
    </row>
    <row r="449" spans="28:49" s="196" customFormat="1">
      <c r="AB449" s="201"/>
      <c r="AC449" s="201"/>
      <c r="AD449" s="197"/>
      <c r="AE449" s="197"/>
      <c r="AF449" s="197"/>
      <c r="AG449" s="197"/>
      <c r="AH449" s="197"/>
      <c r="AI449" s="197"/>
      <c r="AJ449" s="197"/>
      <c r="AK449" s="197"/>
      <c r="AL449" s="197"/>
      <c r="AM449" s="197"/>
      <c r="AN449" s="197"/>
      <c r="AO449" s="197"/>
      <c r="AP449" s="197"/>
      <c r="AQ449" s="197"/>
      <c r="AR449" s="197"/>
      <c r="AS449" s="197"/>
      <c r="AT449" s="197"/>
      <c r="AU449" s="197"/>
      <c r="AV449" s="197"/>
      <c r="AW449" s="197"/>
    </row>
    <row r="450" spans="28:49" s="196" customFormat="1">
      <c r="AB450" s="201"/>
      <c r="AC450" s="201"/>
      <c r="AD450" s="197"/>
      <c r="AE450" s="197"/>
      <c r="AF450" s="197"/>
      <c r="AG450" s="197"/>
      <c r="AH450" s="197"/>
      <c r="AI450" s="197"/>
      <c r="AJ450" s="197"/>
      <c r="AK450" s="197"/>
      <c r="AL450" s="197"/>
      <c r="AM450" s="197"/>
      <c r="AN450" s="197"/>
      <c r="AO450" s="197"/>
      <c r="AP450" s="197"/>
      <c r="AQ450" s="197"/>
      <c r="AR450" s="197"/>
      <c r="AS450" s="197"/>
      <c r="AT450" s="197"/>
      <c r="AU450" s="197"/>
      <c r="AV450" s="197"/>
      <c r="AW450" s="197"/>
    </row>
    <row r="451" spans="28:49" s="196" customFormat="1">
      <c r="AB451" s="201"/>
      <c r="AC451" s="201"/>
      <c r="AD451" s="197"/>
      <c r="AE451" s="197"/>
      <c r="AF451" s="197"/>
      <c r="AG451" s="197"/>
      <c r="AH451" s="197"/>
      <c r="AI451" s="197"/>
      <c r="AJ451" s="197"/>
      <c r="AK451" s="197"/>
      <c r="AL451" s="197"/>
      <c r="AM451" s="197"/>
      <c r="AN451" s="197"/>
      <c r="AO451" s="197"/>
      <c r="AP451" s="197"/>
      <c r="AQ451" s="197"/>
      <c r="AR451" s="197"/>
      <c r="AS451" s="197"/>
      <c r="AT451" s="197"/>
      <c r="AU451" s="197"/>
      <c r="AV451" s="197"/>
      <c r="AW451" s="197"/>
    </row>
    <row r="452" spans="28:49" s="196" customFormat="1">
      <c r="AB452" s="201"/>
      <c r="AC452" s="201"/>
      <c r="AD452" s="197"/>
      <c r="AE452" s="197"/>
      <c r="AF452" s="197"/>
      <c r="AG452" s="197"/>
      <c r="AH452" s="197"/>
      <c r="AI452" s="197"/>
      <c r="AJ452" s="197"/>
      <c r="AK452" s="197"/>
      <c r="AL452" s="197"/>
      <c r="AM452" s="197"/>
      <c r="AN452" s="197"/>
      <c r="AO452" s="197"/>
      <c r="AP452" s="197"/>
      <c r="AQ452" s="197"/>
      <c r="AR452" s="197"/>
      <c r="AS452" s="197"/>
      <c r="AT452" s="197"/>
      <c r="AU452" s="197"/>
      <c r="AV452" s="197"/>
      <c r="AW452" s="197"/>
    </row>
    <row r="453" spans="28:49" s="196" customFormat="1">
      <c r="AB453" s="201"/>
      <c r="AC453" s="201"/>
      <c r="AD453" s="197"/>
      <c r="AE453" s="197"/>
      <c r="AF453" s="197"/>
      <c r="AG453" s="197"/>
      <c r="AH453" s="197"/>
      <c r="AI453" s="197"/>
      <c r="AJ453" s="197"/>
      <c r="AK453" s="197"/>
      <c r="AL453" s="197"/>
      <c r="AM453" s="197"/>
      <c r="AN453" s="197"/>
      <c r="AO453" s="197"/>
      <c r="AP453" s="197"/>
      <c r="AQ453" s="197"/>
      <c r="AR453" s="197"/>
      <c r="AS453" s="197"/>
      <c r="AT453" s="197"/>
      <c r="AU453" s="197"/>
      <c r="AV453" s="197"/>
      <c r="AW453" s="197"/>
    </row>
    <row r="454" spans="28:49" s="196" customFormat="1">
      <c r="AB454" s="201"/>
      <c r="AC454" s="201"/>
      <c r="AD454" s="197"/>
      <c r="AE454" s="197"/>
      <c r="AF454" s="197"/>
      <c r="AG454" s="197"/>
      <c r="AH454" s="197"/>
      <c r="AI454" s="197"/>
      <c r="AJ454" s="197"/>
      <c r="AK454" s="197"/>
      <c r="AL454" s="197"/>
      <c r="AM454" s="197"/>
      <c r="AN454" s="197"/>
      <c r="AO454" s="197"/>
      <c r="AP454" s="197"/>
      <c r="AQ454" s="197"/>
      <c r="AR454" s="197"/>
      <c r="AS454" s="197"/>
      <c r="AT454" s="197"/>
      <c r="AU454" s="197"/>
      <c r="AV454" s="197"/>
      <c r="AW454" s="197"/>
    </row>
    <row r="455" spans="28:49" s="196" customFormat="1">
      <c r="AB455" s="201"/>
      <c r="AC455" s="201"/>
      <c r="AD455" s="197"/>
      <c r="AE455" s="197"/>
      <c r="AF455" s="197"/>
      <c r="AG455" s="197"/>
      <c r="AH455" s="197"/>
      <c r="AI455" s="197"/>
      <c r="AJ455" s="197"/>
      <c r="AK455" s="197"/>
      <c r="AL455" s="197"/>
      <c r="AM455" s="197"/>
      <c r="AN455" s="197"/>
      <c r="AO455" s="197"/>
      <c r="AP455" s="197"/>
      <c r="AQ455" s="197"/>
      <c r="AR455" s="197"/>
      <c r="AS455" s="197"/>
      <c r="AT455" s="197"/>
      <c r="AU455" s="197"/>
      <c r="AV455" s="197"/>
      <c r="AW455" s="197"/>
    </row>
    <row r="456" spans="28:49" s="196" customFormat="1">
      <c r="AB456" s="201"/>
      <c r="AC456" s="201"/>
      <c r="AD456" s="197"/>
      <c r="AE456" s="197"/>
      <c r="AF456" s="197"/>
      <c r="AG456" s="197"/>
      <c r="AH456" s="197"/>
      <c r="AI456" s="197"/>
      <c r="AJ456" s="197"/>
      <c r="AK456" s="197"/>
      <c r="AL456" s="197"/>
      <c r="AM456" s="197"/>
      <c r="AN456" s="197"/>
      <c r="AO456" s="197"/>
      <c r="AP456" s="197"/>
      <c r="AQ456" s="197"/>
      <c r="AR456" s="197"/>
      <c r="AS456" s="197"/>
      <c r="AT456" s="197"/>
      <c r="AU456" s="197"/>
      <c r="AV456" s="197"/>
      <c r="AW456" s="197"/>
    </row>
    <row r="457" spans="28:49" s="196" customFormat="1">
      <c r="AB457" s="201"/>
      <c r="AC457" s="201"/>
      <c r="AD457" s="197"/>
      <c r="AE457" s="197"/>
      <c r="AF457" s="197"/>
      <c r="AG457" s="197"/>
      <c r="AH457" s="197"/>
      <c r="AI457" s="197"/>
      <c r="AJ457" s="197"/>
      <c r="AK457" s="197"/>
      <c r="AL457" s="197"/>
      <c r="AM457" s="197"/>
      <c r="AN457" s="197"/>
      <c r="AO457" s="197"/>
      <c r="AP457" s="197"/>
      <c r="AQ457" s="197"/>
      <c r="AR457" s="197"/>
      <c r="AS457" s="197"/>
      <c r="AT457" s="197"/>
      <c r="AU457" s="197"/>
      <c r="AV457" s="197"/>
      <c r="AW457" s="197"/>
    </row>
    <row r="458" spans="28:49" s="196" customFormat="1">
      <c r="AB458" s="201"/>
      <c r="AC458" s="201"/>
      <c r="AD458" s="197"/>
      <c r="AE458" s="197"/>
      <c r="AF458" s="197"/>
      <c r="AG458" s="197"/>
      <c r="AH458" s="197"/>
      <c r="AI458" s="197"/>
      <c r="AJ458" s="197"/>
      <c r="AK458" s="197"/>
      <c r="AL458" s="197"/>
      <c r="AM458" s="197"/>
      <c r="AN458" s="197"/>
      <c r="AO458" s="197"/>
      <c r="AP458" s="197"/>
      <c r="AQ458" s="197"/>
      <c r="AR458" s="197"/>
      <c r="AS458" s="197"/>
      <c r="AT458" s="197"/>
      <c r="AU458" s="197"/>
      <c r="AV458" s="197"/>
      <c r="AW458" s="197"/>
    </row>
    <row r="459" spans="28:49" s="196" customFormat="1">
      <c r="AB459" s="201"/>
      <c r="AC459" s="201"/>
      <c r="AD459" s="197"/>
      <c r="AE459" s="197"/>
      <c r="AF459" s="197"/>
      <c r="AG459" s="197"/>
      <c r="AH459" s="197"/>
      <c r="AI459" s="197"/>
      <c r="AJ459" s="197"/>
      <c r="AK459" s="197"/>
      <c r="AL459" s="197"/>
      <c r="AM459" s="197"/>
      <c r="AN459" s="197"/>
      <c r="AO459" s="197"/>
      <c r="AP459" s="197"/>
      <c r="AQ459" s="197"/>
      <c r="AR459" s="197"/>
      <c r="AS459" s="197"/>
      <c r="AT459" s="197"/>
      <c r="AU459" s="197"/>
      <c r="AV459" s="197"/>
      <c r="AW459" s="197"/>
    </row>
    <row r="460" spans="28:49" s="196" customFormat="1">
      <c r="AB460" s="201"/>
      <c r="AC460" s="201"/>
      <c r="AD460" s="197"/>
      <c r="AE460" s="197"/>
      <c r="AF460" s="197"/>
      <c r="AG460" s="197"/>
      <c r="AH460" s="197"/>
      <c r="AI460" s="197"/>
      <c r="AJ460" s="197"/>
      <c r="AK460" s="197"/>
      <c r="AL460" s="197"/>
      <c r="AM460" s="197"/>
      <c r="AN460" s="197"/>
      <c r="AO460" s="197"/>
      <c r="AP460" s="197"/>
      <c r="AQ460" s="197"/>
      <c r="AR460" s="197"/>
      <c r="AS460" s="197"/>
      <c r="AT460" s="197"/>
      <c r="AU460" s="197"/>
      <c r="AV460" s="197"/>
      <c r="AW460" s="197"/>
    </row>
    <row r="461" spans="28:49" s="196" customFormat="1">
      <c r="AB461" s="201"/>
      <c r="AC461" s="201"/>
      <c r="AD461" s="197"/>
      <c r="AE461" s="197"/>
      <c r="AF461" s="197"/>
      <c r="AG461" s="197"/>
      <c r="AH461" s="197"/>
      <c r="AI461" s="197"/>
      <c r="AJ461" s="197"/>
      <c r="AK461" s="197"/>
      <c r="AL461" s="197"/>
      <c r="AM461" s="197"/>
      <c r="AN461" s="197"/>
      <c r="AO461" s="197"/>
      <c r="AP461" s="197"/>
      <c r="AQ461" s="197"/>
      <c r="AR461" s="197"/>
      <c r="AS461" s="197"/>
      <c r="AT461" s="197"/>
      <c r="AU461" s="197"/>
      <c r="AV461" s="197"/>
      <c r="AW461" s="197"/>
    </row>
    <row r="462" spans="28:49" s="196" customFormat="1">
      <c r="AB462" s="201"/>
      <c r="AC462" s="201"/>
      <c r="AD462" s="197"/>
      <c r="AE462" s="197"/>
      <c r="AF462" s="197"/>
      <c r="AG462" s="197"/>
      <c r="AH462" s="197"/>
      <c r="AI462" s="197"/>
      <c r="AJ462" s="197"/>
      <c r="AK462" s="197"/>
      <c r="AL462" s="197"/>
      <c r="AM462" s="197"/>
      <c r="AN462" s="197"/>
      <c r="AO462" s="197"/>
      <c r="AP462" s="197"/>
      <c r="AQ462" s="197"/>
      <c r="AR462" s="197"/>
      <c r="AS462" s="197"/>
      <c r="AT462" s="197"/>
      <c r="AU462" s="197"/>
      <c r="AV462" s="197"/>
      <c r="AW462" s="197"/>
    </row>
    <row r="463" spans="28:49" s="196" customFormat="1">
      <c r="AB463" s="201"/>
      <c r="AC463" s="201"/>
      <c r="AD463" s="197"/>
      <c r="AE463" s="197"/>
      <c r="AF463" s="197"/>
      <c r="AG463" s="197"/>
      <c r="AH463" s="197"/>
      <c r="AI463" s="197"/>
      <c r="AJ463" s="197"/>
      <c r="AK463" s="197"/>
      <c r="AL463" s="197"/>
      <c r="AM463" s="197"/>
      <c r="AN463" s="197"/>
      <c r="AO463" s="197"/>
      <c r="AP463" s="197"/>
      <c r="AQ463" s="197"/>
      <c r="AR463" s="197"/>
      <c r="AS463" s="197"/>
      <c r="AT463" s="197"/>
      <c r="AU463" s="197"/>
      <c r="AV463" s="197"/>
      <c r="AW463" s="197"/>
    </row>
    <row r="464" spans="28:49" s="196" customFormat="1">
      <c r="AB464" s="201"/>
      <c r="AC464" s="201"/>
      <c r="AD464" s="197"/>
      <c r="AE464" s="197"/>
      <c r="AF464" s="197"/>
      <c r="AG464" s="197"/>
      <c r="AH464" s="197"/>
      <c r="AI464" s="197"/>
      <c r="AJ464" s="197"/>
      <c r="AK464" s="197"/>
      <c r="AL464" s="197"/>
      <c r="AM464" s="197"/>
      <c r="AN464" s="197"/>
      <c r="AO464" s="197"/>
      <c r="AP464" s="197"/>
      <c r="AQ464" s="197"/>
      <c r="AR464" s="197"/>
      <c r="AS464" s="197"/>
      <c r="AT464" s="197"/>
      <c r="AU464" s="197"/>
      <c r="AV464" s="197"/>
      <c r="AW464" s="197"/>
    </row>
    <row r="465" spans="28:49" s="196" customFormat="1">
      <c r="AB465" s="201"/>
      <c r="AC465" s="201"/>
      <c r="AD465" s="197"/>
      <c r="AE465" s="197"/>
      <c r="AF465" s="197"/>
      <c r="AG465" s="197"/>
      <c r="AH465" s="197"/>
      <c r="AI465" s="197"/>
      <c r="AJ465" s="197"/>
      <c r="AK465" s="197"/>
      <c r="AL465" s="197"/>
      <c r="AM465" s="197"/>
      <c r="AN465" s="197"/>
      <c r="AO465" s="197"/>
      <c r="AP465" s="197"/>
      <c r="AQ465" s="197"/>
      <c r="AR465" s="197"/>
      <c r="AS465" s="197"/>
      <c r="AT465" s="197"/>
      <c r="AU465" s="197"/>
      <c r="AV465" s="197"/>
      <c r="AW465" s="197"/>
    </row>
    <row r="466" spans="28:49" s="196" customFormat="1">
      <c r="AB466" s="201"/>
      <c r="AC466" s="201"/>
      <c r="AD466" s="197"/>
      <c r="AE466" s="197"/>
      <c r="AF466" s="197"/>
      <c r="AG466" s="197"/>
      <c r="AH466" s="197"/>
      <c r="AI466" s="197"/>
      <c r="AJ466" s="197"/>
      <c r="AK466" s="197"/>
      <c r="AL466" s="197"/>
      <c r="AM466" s="197"/>
      <c r="AN466" s="197"/>
      <c r="AO466" s="197"/>
      <c r="AP466" s="197"/>
      <c r="AQ466" s="197"/>
      <c r="AR466" s="197"/>
      <c r="AS466" s="197"/>
      <c r="AT466" s="197"/>
      <c r="AU466" s="197"/>
      <c r="AV466" s="197"/>
      <c r="AW466" s="197"/>
    </row>
    <row r="467" spans="28:49" s="196" customFormat="1">
      <c r="AB467" s="201"/>
      <c r="AC467" s="201"/>
      <c r="AD467" s="197"/>
      <c r="AE467" s="197"/>
      <c r="AF467" s="197"/>
      <c r="AG467" s="197"/>
      <c r="AH467" s="197"/>
      <c r="AI467" s="197"/>
      <c r="AJ467" s="197"/>
      <c r="AK467" s="197"/>
      <c r="AL467" s="197"/>
      <c r="AM467" s="197"/>
      <c r="AN467" s="197"/>
      <c r="AO467" s="197"/>
      <c r="AP467" s="197"/>
      <c r="AQ467" s="197"/>
      <c r="AR467" s="197"/>
      <c r="AS467" s="197"/>
      <c r="AT467" s="197"/>
      <c r="AU467" s="197"/>
      <c r="AV467" s="197"/>
      <c r="AW467" s="197"/>
    </row>
    <row r="468" spans="28:49" s="196" customFormat="1">
      <c r="AB468" s="201"/>
      <c r="AC468" s="201"/>
      <c r="AD468" s="197"/>
      <c r="AE468" s="197"/>
      <c r="AF468" s="197"/>
      <c r="AG468" s="197"/>
      <c r="AH468" s="197"/>
      <c r="AI468" s="197"/>
      <c r="AJ468" s="197"/>
      <c r="AK468" s="197"/>
      <c r="AL468" s="197"/>
      <c r="AM468" s="197"/>
      <c r="AN468" s="197"/>
      <c r="AO468" s="197"/>
      <c r="AP468" s="197"/>
      <c r="AQ468" s="197"/>
      <c r="AR468" s="197"/>
      <c r="AS468" s="197"/>
      <c r="AT468" s="197"/>
      <c r="AU468" s="197"/>
      <c r="AV468" s="197"/>
      <c r="AW468" s="197"/>
    </row>
    <row r="469" spans="28:49" s="196" customFormat="1">
      <c r="AB469" s="201"/>
      <c r="AC469" s="201"/>
      <c r="AD469" s="197"/>
      <c r="AE469" s="197"/>
      <c r="AF469" s="197"/>
      <c r="AG469" s="197"/>
      <c r="AH469" s="197"/>
      <c r="AI469" s="197"/>
      <c r="AJ469" s="197"/>
      <c r="AK469" s="197"/>
      <c r="AL469" s="197"/>
      <c r="AM469" s="197"/>
      <c r="AN469" s="197"/>
      <c r="AO469" s="197"/>
      <c r="AP469" s="197"/>
      <c r="AQ469" s="197"/>
      <c r="AR469" s="197"/>
      <c r="AS469" s="197"/>
      <c r="AT469" s="197"/>
      <c r="AU469" s="197"/>
      <c r="AV469" s="197"/>
      <c r="AW469" s="197"/>
    </row>
    <row r="470" spans="28:49" s="196" customFormat="1">
      <c r="AB470" s="201"/>
      <c r="AC470" s="201"/>
      <c r="AD470" s="197"/>
      <c r="AE470" s="197"/>
      <c r="AF470" s="197"/>
      <c r="AG470" s="197"/>
      <c r="AH470" s="197"/>
      <c r="AI470" s="197"/>
      <c r="AJ470" s="197"/>
      <c r="AK470" s="197"/>
      <c r="AL470" s="197"/>
      <c r="AM470" s="197"/>
      <c r="AN470" s="197"/>
      <c r="AO470" s="197"/>
      <c r="AP470" s="197"/>
      <c r="AQ470" s="197"/>
      <c r="AR470" s="197"/>
      <c r="AS470" s="197"/>
      <c r="AT470" s="197"/>
      <c r="AU470" s="197"/>
      <c r="AV470" s="197"/>
      <c r="AW470" s="197"/>
    </row>
    <row r="471" spans="28:49" s="196" customFormat="1">
      <c r="AB471" s="201"/>
      <c r="AC471" s="201"/>
      <c r="AD471" s="197"/>
      <c r="AE471" s="197"/>
      <c r="AF471" s="197"/>
      <c r="AG471" s="197"/>
      <c r="AH471" s="197"/>
      <c r="AI471" s="197"/>
      <c r="AJ471" s="197"/>
      <c r="AK471" s="197"/>
      <c r="AL471" s="197"/>
      <c r="AM471" s="197"/>
      <c r="AN471" s="197"/>
      <c r="AO471" s="197"/>
      <c r="AP471" s="197"/>
      <c r="AQ471" s="197"/>
      <c r="AR471" s="197"/>
      <c r="AS471" s="197"/>
      <c r="AT471" s="197"/>
      <c r="AU471" s="197"/>
      <c r="AV471" s="197"/>
      <c r="AW471" s="197"/>
    </row>
    <row r="472" spans="28:49" s="196" customFormat="1">
      <c r="AB472" s="201"/>
      <c r="AC472" s="201"/>
      <c r="AD472" s="197"/>
      <c r="AE472" s="197"/>
      <c r="AF472" s="197"/>
      <c r="AG472" s="197"/>
      <c r="AH472" s="197"/>
      <c r="AI472" s="197"/>
      <c r="AJ472" s="197"/>
      <c r="AK472" s="197"/>
      <c r="AL472" s="197"/>
      <c r="AM472" s="197"/>
      <c r="AN472" s="197"/>
      <c r="AO472" s="197"/>
      <c r="AP472" s="197"/>
      <c r="AQ472" s="197"/>
      <c r="AR472" s="197"/>
      <c r="AS472" s="197"/>
      <c r="AT472" s="197"/>
      <c r="AU472" s="197"/>
      <c r="AV472" s="197"/>
      <c r="AW472" s="197"/>
    </row>
    <row r="473" spans="28:49" s="196" customFormat="1">
      <c r="AB473" s="201"/>
      <c r="AC473" s="201"/>
      <c r="AD473" s="197"/>
      <c r="AE473" s="197"/>
      <c r="AF473" s="197"/>
      <c r="AG473" s="197"/>
      <c r="AH473" s="197"/>
      <c r="AI473" s="197"/>
      <c r="AJ473" s="197"/>
      <c r="AK473" s="197"/>
      <c r="AL473" s="197"/>
      <c r="AM473" s="197"/>
      <c r="AN473" s="197"/>
      <c r="AO473" s="197"/>
      <c r="AP473" s="197"/>
      <c r="AQ473" s="197"/>
      <c r="AR473" s="197"/>
      <c r="AS473" s="197"/>
      <c r="AT473" s="197"/>
      <c r="AU473" s="197"/>
      <c r="AV473" s="197"/>
      <c r="AW473" s="197"/>
    </row>
    <row r="474" spans="28:49" s="196" customFormat="1">
      <c r="AB474" s="201"/>
      <c r="AC474" s="201"/>
      <c r="AD474" s="197"/>
      <c r="AE474" s="197"/>
      <c r="AF474" s="197"/>
      <c r="AG474" s="197"/>
      <c r="AH474" s="197"/>
      <c r="AI474" s="197"/>
      <c r="AJ474" s="197"/>
      <c r="AK474" s="197"/>
      <c r="AL474" s="197"/>
      <c r="AM474" s="197"/>
      <c r="AN474" s="197"/>
      <c r="AO474" s="197"/>
      <c r="AP474" s="197"/>
      <c r="AQ474" s="197"/>
      <c r="AR474" s="197"/>
      <c r="AS474" s="197"/>
      <c r="AT474" s="197"/>
      <c r="AU474" s="197"/>
      <c r="AV474" s="197"/>
      <c r="AW474" s="197"/>
    </row>
    <row r="475" spans="28:49" s="196" customFormat="1">
      <c r="AB475" s="201"/>
      <c r="AC475" s="201"/>
      <c r="AD475" s="197"/>
      <c r="AE475" s="197"/>
      <c r="AF475" s="197"/>
      <c r="AG475" s="197"/>
      <c r="AH475" s="197"/>
      <c r="AI475" s="197"/>
      <c r="AJ475" s="197"/>
      <c r="AK475" s="197"/>
      <c r="AL475" s="197"/>
      <c r="AM475" s="197"/>
      <c r="AN475" s="197"/>
      <c r="AO475" s="197"/>
      <c r="AP475" s="197"/>
      <c r="AQ475" s="197"/>
      <c r="AR475" s="197"/>
      <c r="AS475" s="197"/>
      <c r="AT475" s="197"/>
      <c r="AU475" s="197"/>
      <c r="AV475" s="197"/>
      <c r="AW475" s="197"/>
    </row>
    <row r="476" spans="28:49" s="196" customFormat="1">
      <c r="AB476" s="201"/>
      <c r="AC476" s="201"/>
      <c r="AD476" s="197"/>
      <c r="AE476" s="197"/>
      <c r="AF476" s="197"/>
      <c r="AG476" s="197"/>
      <c r="AH476" s="197"/>
      <c r="AI476" s="197"/>
      <c r="AJ476" s="197"/>
      <c r="AK476" s="197"/>
      <c r="AL476" s="197"/>
      <c r="AM476" s="197"/>
      <c r="AN476" s="197"/>
      <c r="AO476" s="197"/>
      <c r="AP476" s="197"/>
      <c r="AQ476" s="197"/>
      <c r="AR476" s="197"/>
      <c r="AS476" s="197"/>
      <c r="AT476" s="197"/>
      <c r="AU476" s="197"/>
      <c r="AV476" s="197"/>
      <c r="AW476" s="197"/>
    </row>
    <row r="477" spans="28:49" s="196" customFormat="1">
      <c r="AB477" s="201"/>
      <c r="AC477" s="201"/>
      <c r="AD477" s="197"/>
      <c r="AE477" s="197"/>
      <c r="AF477" s="197"/>
      <c r="AG477" s="197"/>
      <c r="AH477" s="197"/>
      <c r="AI477" s="197"/>
      <c r="AJ477" s="197"/>
      <c r="AK477" s="197"/>
      <c r="AL477" s="197"/>
      <c r="AM477" s="197"/>
      <c r="AN477" s="197"/>
      <c r="AO477" s="197"/>
      <c r="AP477" s="197"/>
      <c r="AQ477" s="197"/>
      <c r="AR477" s="197"/>
      <c r="AS477" s="197"/>
      <c r="AT477" s="197"/>
      <c r="AU477" s="197"/>
      <c r="AV477" s="197"/>
      <c r="AW477" s="197"/>
    </row>
    <row r="478" spans="28:49" s="196" customFormat="1">
      <c r="AB478" s="201"/>
      <c r="AC478" s="201"/>
      <c r="AD478" s="197"/>
      <c r="AE478" s="197"/>
      <c r="AF478" s="197"/>
      <c r="AG478" s="197"/>
      <c r="AH478" s="197"/>
      <c r="AI478" s="197"/>
      <c r="AJ478" s="197"/>
      <c r="AK478" s="197"/>
      <c r="AL478" s="197"/>
      <c r="AM478" s="197"/>
      <c r="AN478" s="197"/>
      <c r="AO478" s="197"/>
      <c r="AP478" s="197"/>
      <c r="AQ478" s="197"/>
      <c r="AR478" s="197"/>
      <c r="AS478" s="197"/>
      <c r="AT478" s="197"/>
      <c r="AU478" s="197"/>
      <c r="AV478" s="197"/>
      <c r="AW478" s="197"/>
    </row>
    <row r="479" spans="28:49" s="196" customFormat="1">
      <c r="AB479" s="201"/>
      <c r="AC479" s="201"/>
      <c r="AD479" s="197"/>
      <c r="AE479" s="197"/>
      <c r="AF479" s="197"/>
      <c r="AG479" s="197"/>
      <c r="AH479" s="197"/>
      <c r="AI479" s="197"/>
      <c r="AJ479" s="197"/>
      <c r="AK479" s="197"/>
      <c r="AL479" s="197"/>
      <c r="AM479" s="197"/>
      <c r="AN479" s="197"/>
      <c r="AO479" s="197"/>
      <c r="AP479" s="197"/>
      <c r="AQ479" s="197"/>
      <c r="AR479" s="197"/>
      <c r="AS479" s="197"/>
      <c r="AT479" s="197"/>
      <c r="AU479" s="197"/>
      <c r="AV479" s="197"/>
      <c r="AW479" s="197"/>
    </row>
    <row r="480" spans="28:49" s="196" customFormat="1">
      <c r="AB480" s="201"/>
      <c r="AC480" s="201"/>
      <c r="AD480" s="197"/>
      <c r="AE480" s="197"/>
      <c r="AF480" s="197"/>
      <c r="AG480" s="197"/>
      <c r="AH480" s="197"/>
      <c r="AI480" s="197"/>
      <c r="AJ480" s="197"/>
      <c r="AK480" s="197"/>
      <c r="AL480" s="197"/>
      <c r="AM480" s="197"/>
      <c r="AN480" s="197"/>
      <c r="AO480" s="197"/>
      <c r="AP480" s="197"/>
      <c r="AQ480" s="197"/>
      <c r="AR480" s="197"/>
      <c r="AS480" s="197"/>
      <c r="AT480" s="197"/>
      <c r="AU480" s="197"/>
      <c r="AV480" s="197"/>
      <c r="AW480" s="197"/>
    </row>
    <row r="481" spans="28:49" s="196" customFormat="1">
      <c r="AB481" s="201"/>
      <c r="AC481" s="201"/>
      <c r="AD481" s="197"/>
      <c r="AE481" s="197"/>
      <c r="AF481" s="197"/>
      <c r="AG481" s="197"/>
      <c r="AH481" s="197"/>
      <c r="AI481" s="197"/>
      <c r="AJ481" s="197"/>
      <c r="AK481" s="197"/>
      <c r="AL481" s="197"/>
      <c r="AM481" s="197"/>
      <c r="AN481" s="197"/>
      <c r="AO481" s="197"/>
      <c r="AP481" s="197"/>
      <c r="AQ481" s="197"/>
      <c r="AR481" s="197"/>
      <c r="AS481" s="197"/>
      <c r="AT481" s="197"/>
      <c r="AU481" s="197"/>
      <c r="AV481" s="197"/>
      <c r="AW481" s="197"/>
    </row>
    <row r="482" spans="28:49" s="196" customFormat="1">
      <c r="AB482" s="201"/>
      <c r="AC482" s="201"/>
      <c r="AD482" s="197"/>
      <c r="AE482" s="197"/>
      <c r="AF482" s="197"/>
      <c r="AG482" s="197"/>
      <c r="AH482" s="197"/>
      <c r="AI482" s="197"/>
      <c r="AJ482" s="197"/>
      <c r="AK482" s="197"/>
      <c r="AL482" s="197"/>
      <c r="AM482" s="197"/>
      <c r="AN482" s="197"/>
      <c r="AO482" s="197"/>
      <c r="AP482" s="197"/>
      <c r="AQ482" s="197"/>
      <c r="AR482" s="197"/>
      <c r="AS482" s="197"/>
      <c r="AT482" s="197"/>
      <c r="AU482" s="197"/>
      <c r="AV482" s="197"/>
      <c r="AW482" s="197"/>
    </row>
    <row r="483" spans="28:49" s="196" customFormat="1">
      <c r="AB483" s="201"/>
      <c r="AC483" s="201"/>
      <c r="AD483" s="197"/>
      <c r="AE483" s="197"/>
      <c r="AF483" s="197"/>
      <c r="AG483" s="197"/>
      <c r="AH483" s="197"/>
      <c r="AI483" s="197"/>
      <c r="AJ483" s="197"/>
      <c r="AK483" s="197"/>
      <c r="AL483" s="197"/>
      <c r="AM483" s="197"/>
      <c r="AN483" s="197"/>
      <c r="AO483" s="197"/>
      <c r="AP483" s="197"/>
      <c r="AQ483" s="197"/>
      <c r="AR483" s="197"/>
      <c r="AS483" s="197"/>
      <c r="AT483" s="197"/>
      <c r="AU483" s="197"/>
      <c r="AV483" s="197"/>
      <c r="AW483" s="197"/>
    </row>
    <row r="484" spans="28:49" s="196" customFormat="1">
      <c r="AB484" s="201"/>
      <c r="AC484" s="201"/>
      <c r="AD484" s="197"/>
      <c r="AE484" s="197"/>
      <c r="AF484" s="197"/>
      <c r="AG484" s="197"/>
      <c r="AH484" s="197"/>
      <c r="AI484" s="197"/>
      <c r="AJ484" s="197"/>
      <c r="AK484" s="197"/>
      <c r="AL484" s="197"/>
      <c r="AM484" s="197"/>
      <c r="AN484" s="197"/>
      <c r="AO484" s="197"/>
      <c r="AP484" s="197"/>
      <c r="AQ484" s="197"/>
      <c r="AR484" s="197"/>
      <c r="AS484" s="197"/>
      <c r="AT484" s="197"/>
      <c r="AU484" s="197"/>
      <c r="AV484" s="197"/>
      <c r="AW484" s="197"/>
    </row>
    <row r="485" spans="28:49" s="196" customFormat="1">
      <c r="AB485" s="201"/>
      <c r="AC485" s="201"/>
      <c r="AD485" s="197"/>
      <c r="AE485" s="197"/>
      <c r="AF485" s="197"/>
      <c r="AG485" s="197"/>
      <c r="AH485" s="197"/>
      <c r="AI485" s="197"/>
      <c r="AJ485" s="197"/>
      <c r="AK485" s="197"/>
      <c r="AL485" s="197"/>
      <c r="AM485" s="197"/>
      <c r="AN485" s="197"/>
      <c r="AO485" s="197"/>
      <c r="AP485" s="197"/>
      <c r="AQ485" s="197"/>
      <c r="AR485" s="197"/>
      <c r="AS485" s="197"/>
      <c r="AT485" s="197"/>
      <c r="AU485" s="197"/>
      <c r="AV485" s="197"/>
      <c r="AW485" s="197"/>
    </row>
    <row r="486" spans="28:49" s="196" customFormat="1">
      <c r="AB486" s="201"/>
      <c r="AC486" s="201"/>
      <c r="AD486" s="197"/>
      <c r="AE486" s="197"/>
      <c r="AF486" s="197"/>
      <c r="AG486" s="197"/>
      <c r="AH486" s="197"/>
      <c r="AI486" s="197"/>
      <c r="AJ486" s="197"/>
      <c r="AK486" s="197"/>
      <c r="AL486" s="197"/>
      <c r="AM486" s="197"/>
      <c r="AN486" s="197"/>
      <c r="AO486" s="197"/>
      <c r="AP486" s="197"/>
      <c r="AQ486" s="197"/>
      <c r="AR486" s="197"/>
      <c r="AS486" s="197"/>
      <c r="AT486" s="197"/>
      <c r="AU486" s="197"/>
      <c r="AV486" s="197"/>
      <c r="AW486" s="197"/>
    </row>
    <row r="487" spans="28:49" s="196" customFormat="1">
      <c r="AB487" s="201"/>
      <c r="AC487" s="201"/>
      <c r="AD487" s="197"/>
      <c r="AE487" s="197"/>
      <c r="AF487" s="197"/>
      <c r="AG487" s="197"/>
      <c r="AH487" s="197"/>
      <c r="AI487" s="197"/>
      <c r="AJ487" s="197"/>
      <c r="AK487" s="197"/>
      <c r="AL487" s="197"/>
      <c r="AM487" s="197"/>
      <c r="AN487" s="197"/>
      <c r="AO487" s="197"/>
      <c r="AP487" s="197"/>
      <c r="AQ487" s="197"/>
      <c r="AR487" s="197"/>
      <c r="AS487" s="197"/>
      <c r="AT487" s="197"/>
      <c r="AU487" s="197"/>
      <c r="AV487" s="197"/>
      <c r="AW487" s="197"/>
    </row>
    <row r="488" spans="28:49" s="196" customFormat="1">
      <c r="AB488" s="201"/>
      <c r="AC488" s="201"/>
      <c r="AD488" s="197"/>
      <c r="AE488" s="197"/>
      <c r="AF488" s="197"/>
      <c r="AG488" s="197"/>
      <c r="AH488" s="197"/>
      <c r="AI488" s="197"/>
      <c r="AJ488" s="197"/>
      <c r="AK488" s="197"/>
      <c r="AL488" s="197"/>
      <c r="AM488" s="197"/>
      <c r="AN488" s="197"/>
      <c r="AO488" s="197"/>
      <c r="AP488" s="197"/>
      <c r="AQ488" s="197"/>
      <c r="AR488" s="197"/>
      <c r="AS488" s="197"/>
      <c r="AT488" s="197"/>
      <c r="AU488" s="197"/>
      <c r="AV488" s="197"/>
      <c r="AW488" s="197"/>
    </row>
    <row r="489" spans="28:49" s="196" customFormat="1">
      <c r="AB489" s="201"/>
      <c r="AC489" s="201"/>
      <c r="AD489" s="197"/>
      <c r="AE489" s="197"/>
      <c r="AF489" s="197"/>
      <c r="AG489" s="197"/>
      <c r="AH489" s="197"/>
      <c r="AI489" s="197"/>
      <c r="AJ489" s="197"/>
      <c r="AK489" s="197"/>
      <c r="AL489" s="197"/>
      <c r="AM489" s="197"/>
      <c r="AN489" s="197"/>
      <c r="AO489" s="197"/>
      <c r="AP489" s="197"/>
      <c r="AQ489" s="197"/>
      <c r="AR489" s="197"/>
      <c r="AS489" s="197"/>
      <c r="AT489" s="197"/>
      <c r="AU489" s="197"/>
      <c r="AV489" s="197"/>
      <c r="AW489" s="197"/>
    </row>
    <row r="490" spans="28:49" s="196" customFormat="1">
      <c r="AB490" s="201"/>
      <c r="AC490" s="201"/>
      <c r="AD490" s="197"/>
      <c r="AE490" s="197"/>
      <c r="AF490" s="197"/>
      <c r="AG490" s="197"/>
      <c r="AH490" s="197"/>
      <c r="AI490" s="197"/>
      <c r="AJ490" s="197"/>
      <c r="AK490" s="197"/>
      <c r="AL490" s="197"/>
      <c r="AM490" s="197"/>
      <c r="AN490" s="197"/>
      <c r="AO490" s="197"/>
      <c r="AP490" s="197"/>
      <c r="AQ490" s="197"/>
      <c r="AR490" s="197"/>
      <c r="AS490" s="197"/>
      <c r="AT490" s="197"/>
      <c r="AU490" s="197"/>
      <c r="AV490" s="197"/>
      <c r="AW490" s="197"/>
    </row>
    <row r="491" spans="28:49" s="196" customFormat="1">
      <c r="AB491" s="201"/>
      <c r="AC491" s="201"/>
      <c r="AD491" s="197"/>
      <c r="AE491" s="197"/>
      <c r="AF491" s="197"/>
      <c r="AG491" s="197"/>
      <c r="AH491" s="197"/>
      <c r="AI491" s="197"/>
      <c r="AJ491" s="197"/>
      <c r="AK491" s="197"/>
      <c r="AL491" s="197"/>
      <c r="AM491" s="197"/>
      <c r="AN491" s="197"/>
      <c r="AO491" s="197"/>
      <c r="AP491" s="197"/>
      <c r="AQ491" s="197"/>
      <c r="AR491" s="197"/>
      <c r="AS491" s="197"/>
      <c r="AT491" s="197"/>
      <c r="AU491" s="197"/>
      <c r="AV491" s="197"/>
      <c r="AW491" s="197"/>
    </row>
    <row r="492" spans="28:49" s="196" customFormat="1">
      <c r="AB492" s="201"/>
      <c r="AC492" s="201"/>
      <c r="AD492" s="197"/>
      <c r="AE492" s="197"/>
      <c r="AF492" s="197"/>
      <c r="AG492" s="197"/>
      <c r="AH492" s="197"/>
      <c r="AI492" s="197"/>
      <c r="AJ492" s="197"/>
      <c r="AK492" s="197"/>
      <c r="AL492" s="197"/>
      <c r="AM492" s="197"/>
      <c r="AN492" s="197"/>
      <c r="AO492" s="197"/>
      <c r="AP492" s="197"/>
      <c r="AQ492" s="197"/>
      <c r="AR492" s="197"/>
      <c r="AS492" s="197"/>
      <c r="AT492" s="197"/>
      <c r="AU492" s="197"/>
      <c r="AV492" s="197"/>
      <c r="AW492" s="197"/>
    </row>
    <row r="493" spans="28:49" s="196" customFormat="1">
      <c r="AB493" s="201"/>
      <c r="AC493" s="201"/>
      <c r="AD493" s="197"/>
      <c r="AE493" s="197"/>
      <c r="AF493" s="197"/>
      <c r="AG493" s="197"/>
      <c r="AH493" s="197"/>
      <c r="AI493" s="197"/>
      <c r="AJ493" s="197"/>
      <c r="AK493" s="197"/>
      <c r="AL493" s="197"/>
      <c r="AM493" s="197"/>
      <c r="AN493" s="197"/>
      <c r="AO493" s="197"/>
      <c r="AP493" s="197"/>
      <c r="AQ493" s="197"/>
      <c r="AR493" s="197"/>
      <c r="AS493" s="197"/>
      <c r="AT493" s="197"/>
      <c r="AU493" s="197"/>
      <c r="AV493" s="197"/>
      <c r="AW493" s="197"/>
    </row>
    <row r="494" spans="28:49" s="196" customFormat="1">
      <c r="AB494" s="201"/>
      <c r="AC494" s="201"/>
      <c r="AD494" s="197"/>
      <c r="AE494" s="197"/>
      <c r="AF494" s="197"/>
      <c r="AG494" s="197"/>
      <c r="AH494" s="197"/>
      <c r="AI494" s="197"/>
      <c r="AJ494" s="197"/>
      <c r="AK494" s="197"/>
      <c r="AL494" s="197"/>
      <c r="AM494" s="197"/>
      <c r="AN494" s="197"/>
      <c r="AO494" s="197"/>
      <c r="AP494" s="197"/>
      <c r="AQ494" s="197"/>
      <c r="AR494" s="197"/>
      <c r="AS494" s="197"/>
      <c r="AT494" s="197"/>
      <c r="AU494" s="197"/>
      <c r="AV494" s="197"/>
      <c r="AW494" s="197"/>
    </row>
    <row r="495" spans="28:49" s="196" customFormat="1">
      <c r="AB495" s="201"/>
      <c r="AC495" s="201"/>
      <c r="AD495" s="197"/>
      <c r="AE495" s="197"/>
      <c r="AF495" s="197"/>
      <c r="AG495" s="197"/>
      <c r="AH495" s="197"/>
      <c r="AI495" s="197"/>
      <c r="AJ495" s="197"/>
      <c r="AK495" s="197"/>
      <c r="AL495" s="197"/>
      <c r="AM495" s="197"/>
      <c r="AN495" s="197"/>
      <c r="AO495" s="197"/>
      <c r="AP495" s="197"/>
      <c r="AQ495" s="197"/>
      <c r="AR495" s="197"/>
      <c r="AS495" s="197"/>
      <c r="AT495" s="197"/>
      <c r="AU495" s="197"/>
      <c r="AV495" s="197"/>
      <c r="AW495" s="197"/>
    </row>
    <row r="496" spans="28:49" s="196" customFormat="1">
      <c r="AB496" s="201"/>
      <c r="AC496" s="201"/>
      <c r="AD496" s="197"/>
      <c r="AE496" s="197"/>
      <c r="AF496" s="197"/>
      <c r="AG496" s="197"/>
      <c r="AH496" s="197"/>
      <c r="AI496" s="197"/>
      <c r="AJ496" s="197"/>
      <c r="AK496" s="197"/>
      <c r="AL496" s="197"/>
      <c r="AM496" s="197"/>
      <c r="AN496" s="197"/>
      <c r="AO496" s="197"/>
      <c r="AP496" s="197"/>
      <c r="AQ496" s="197"/>
      <c r="AR496" s="197"/>
      <c r="AS496" s="197"/>
      <c r="AT496" s="197"/>
      <c r="AU496" s="197"/>
      <c r="AV496" s="197"/>
      <c r="AW496" s="197"/>
    </row>
    <row r="497" spans="28:49" s="196" customFormat="1">
      <c r="AB497" s="201"/>
      <c r="AC497" s="201"/>
      <c r="AD497" s="197"/>
      <c r="AE497" s="197"/>
      <c r="AF497" s="197"/>
      <c r="AG497" s="197"/>
      <c r="AH497" s="197"/>
      <c r="AI497" s="197"/>
      <c r="AJ497" s="197"/>
      <c r="AK497" s="197"/>
      <c r="AL497" s="197"/>
      <c r="AM497" s="197"/>
      <c r="AN497" s="197"/>
      <c r="AO497" s="197"/>
      <c r="AP497" s="197"/>
      <c r="AQ497" s="197"/>
      <c r="AR497" s="197"/>
      <c r="AS497" s="197"/>
      <c r="AT497" s="197"/>
      <c r="AU497" s="197"/>
      <c r="AV497" s="197"/>
      <c r="AW497" s="197"/>
    </row>
    <row r="498" spans="28:49" s="196" customFormat="1">
      <c r="AB498" s="201"/>
      <c r="AC498" s="201"/>
      <c r="AD498" s="197"/>
      <c r="AE498" s="197"/>
      <c r="AF498" s="197"/>
      <c r="AG498" s="197"/>
      <c r="AH498" s="197"/>
      <c r="AI498" s="197"/>
      <c r="AJ498" s="197"/>
      <c r="AK498" s="197"/>
      <c r="AL498" s="197"/>
      <c r="AM498" s="197"/>
      <c r="AN498" s="197"/>
      <c r="AO498" s="197"/>
      <c r="AP498" s="197"/>
      <c r="AQ498" s="197"/>
      <c r="AR498" s="197"/>
      <c r="AS498" s="197"/>
      <c r="AT498" s="197"/>
      <c r="AU498" s="197"/>
      <c r="AV498" s="197"/>
      <c r="AW498" s="197"/>
    </row>
    <row r="499" spans="28:49" s="196" customFormat="1">
      <c r="AB499" s="201"/>
      <c r="AC499" s="201"/>
      <c r="AD499" s="197"/>
      <c r="AE499" s="197"/>
      <c r="AF499" s="197"/>
      <c r="AG499" s="197"/>
      <c r="AH499" s="197"/>
      <c r="AI499" s="197"/>
      <c r="AJ499" s="197"/>
      <c r="AK499" s="197"/>
      <c r="AL499" s="197"/>
      <c r="AM499" s="197"/>
      <c r="AN499" s="197"/>
      <c r="AO499" s="197"/>
      <c r="AP499" s="197"/>
      <c r="AQ499" s="197"/>
      <c r="AR499" s="197"/>
      <c r="AS499" s="197"/>
      <c r="AT499" s="197"/>
      <c r="AU499" s="197"/>
      <c r="AV499" s="197"/>
      <c r="AW499" s="197"/>
    </row>
    <row r="500" spans="28:49" s="196" customFormat="1">
      <c r="AB500" s="201"/>
      <c r="AC500" s="201"/>
      <c r="AD500" s="197"/>
      <c r="AE500" s="197"/>
      <c r="AF500" s="197"/>
      <c r="AG500" s="197"/>
      <c r="AH500" s="197"/>
      <c r="AI500" s="197"/>
      <c r="AJ500" s="197"/>
      <c r="AK500" s="197"/>
      <c r="AL500" s="197"/>
      <c r="AM500" s="197"/>
      <c r="AN500" s="197"/>
      <c r="AO500" s="197"/>
      <c r="AP500" s="197"/>
      <c r="AQ500" s="197"/>
      <c r="AR500" s="197"/>
      <c r="AS500" s="197"/>
      <c r="AT500" s="197"/>
      <c r="AU500" s="197"/>
      <c r="AV500" s="197"/>
      <c r="AW500" s="197"/>
    </row>
    <row r="501" spans="28:49" s="196" customFormat="1">
      <c r="AB501" s="201"/>
      <c r="AC501" s="201"/>
      <c r="AD501" s="197"/>
      <c r="AE501" s="197"/>
      <c r="AF501" s="197"/>
      <c r="AG501" s="197"/>
      <c r="AH501" s="197"/>
      <c r="AI501" s="197"/>
      <c r="AJ501" s="197"/>
      <c r="AK501" s="197"/>
      <c r="AL501" s="197"/>
      <c r="AM501" s="197"/>
      <c r="AN501" s="197"/>
      <c r="AO501" s="197"/>
      <c r="AP501" s="197"/>
      <c r="AQ501" s="197"/>
      <c r="AR501" s="197"/>
      <c r="AS501" s="197"/>
      <c r="AT501" s="197"/>
      <c r="AU501" s="197"/>
      <c r="AV501" s="197"/>
      <c r="AW501" s="197"/>
    </row>
    <row r="502" spans="28:49" s="196" customFormat="1">
      <c r="AB502" s="201"/>
      <c r="AC502" s="201"/>
      <c r="AD502" s="197"/>
      <c r="AE502" s="197"/>
      <c r="AF502" s="197"/>
      <c r="AG502" s="197"/>
      <c r="AH502" s="197"/>
      <c r="AI502" s="197"/>
      <c r="AJ502" s="197"/>
      <c r="AK502" s="197"/>
      <c r="AL502" s="197"/>
      <c r="AM502" s="197"/>
      <c r="AN502" s="197"/>
      <c r="AO502" s="197"/>
      <c r="AP502" s="197"/>
      <c r="AQ502" s="197"/>
      <c r="AR502" s="197"/>
      <c r="AS502" s="197"/>
      <c r="AT502" s="197"/>
      <c r="AU502" s="197"/>
      <c r="AV502" s="197"/>
      <c r="AW502" s="197"/>
    </row>
    <row r="503" spans="28:49" s="196" customFormat="1">
      <c r="AB503" s="201"/>
      <c r="AC503" s="201"/>
      <c r="AD503" s="197"/>
      <c r="AE503" s="197"/>
      <c r="AF503" s="197"/>
      <c r="AG503" s="197"/>
      <c r="AH503" s="197"/>
      <c r="AI503" s="197"/>
      <c r="AJ503" s="197"/>
      <c r="AK503" s="197"/>
      <c r="AL503" s="197"/>
      <c r="AM503" s="197"/>
      <c r="AN503" s="197"/>
      <c r="AO503" s="197"/>
      <c r="AP503" s="197"/>
      <c r="AQ503" s="197"/>
      <c r="AR503" s="197"/>
      <c r="AS503" s="197"/>
      <c r="AT503" s="197"/>
      <c r="AU503" s="197"/>
      <c r="AV503" s="197"/>
      <c r="AW503" s="197"/>
    </row>
    <row r="504" spans="28:49" s="196" customFormat="1">
      <c r="AB504" s="201"/>
      <c r="AC504" s="201"/>
      <c r="AD504" s="197"/>
      <c r="AE504" s="197"/>
      <c r="AF504" s="197"/>
      <c r="AG504" s="197"/>
      <c r="AH504" s="197"/>
      <c r="AI504" s="197"/>
      <c r="AJ504" s="197"/>
      <c r="AK504" s="197"/>
      <c r="AL504" s="197"/>
      <c r="AM504" s="197"/>
      <c r="AN504" s="197"/>
      <c r="AO504" s="197"/>
      <c r="AP504" s="197"/>
      <c r="AQ504" s="197"/>
      <c r="AR504" s="197"/>
      <c r="AS504" s="197"/>
      <c r="AT504" s="197"/>
      <c r="AU504" s="197"/>
      <c r="AV504" s="197"/>
      <c r="AW504" s="197"/>
    </row>
    <row r="505" spans="28:49" s="196" customFormat="1">
      <c r="AB505" s="201"/>
      <c r="AC505" s="201"/>
      <c r="AD505" s="197"/>
      <c r="AE505" s="197"/>
      <c r="AF505" s="197"/>
      <c r="AG505" s="197"/>
      <c r="AH505" s="197"/>
      <c r="AI505" s="197"/>
      <c r="AJ505" s="197"/>
      <c r="AK505" s="197"/>
      <c r="AL505" s="197"/>
      <c r="AM505" s="197"/>
      <c r="AN505" s="197"/>
      <c r="AO505" s="197"/>
      <c r="AP505" s="197"/>
      <c r="AQ505" s="197"/>
      <c r="AR505" s="197"/>
      <c r="AS505" s="197"/>
      <c r="AT505" s="197"/>
      <c r="AU505" s="197"/>
      <c r="AV505" s="197"/>
      <c r="AW505" s="197"/>
    </row>
    <row r="506" spans="28:49" s="196" customFormat="1">
      <c r="AB506" s="201"/>
      <c r="AC506" s="201"/>
      <c r="AD506" s="197"/>
      <c r="AE506" s="197"/>
      <c r="AF506" s="197"/>
      <c r="AG506" s="197"/>
      <c r="AH506" s="197"/>
      <c r="AI506" s="197"/>
      <c r="AJ506" s="197"/>
      <c r="AK506" s="197"/>
      <c r="AL506" s="197"/>
      <c r="AM506" s="197"/>
      <c r="AN506" s="197"/>
      <c r="AO506" s="197"/>
      <c r="AP506" s="197"/>
      <c r="AQ506" s="197"/>
      <c r="AR506" s="197"/>
      <c r="AS506" s="197"/>
      <c r="AT506" s="197"/>
      <c r="AU506" s="197"/>
      <c r="AV506" s="197"/>
      <c r="AW506" s="197"/>
    </row>
    <row r="507" spans="28:49" s="196" customFormat="1">
      <c r="AB507" s="201"/>
      <c r="AC507" s="201"/>
      <c r="AD507" s="197"/>
      <c r="AE507" s="197"/>
      <c r="AF507" s="197"/>
      <c r="AG507" s="197"/>
      <c r="AH507" s="197"/>
      <c r="AI507" s="197"/>
      <c r="AJ507" s="197"/>
      <c r="AK507" s="197"/>
      <c r="AL507" s="197"/>
      <c r="AM507" s="197"/>
      <c r="AN507" s="197"/>
      <c r="AO507" s="197"/>
      <c r="AP507" s="197"/>
      <c r="AQ507" s="197"/>
      <c r="AR507" s="197"/>
      <c r="AS507" s="197"/>
      <c r="AT507" s="197"/>
      <c r="AU507" s="197"/>
      <c r="AV507" s="197"/>
      <c r="AW507" s="197"/>
    </row>
    <row r="508" spans="28:49" s="196" customFormat="1">
      <c r="AB508" s="201"/>
      <c r="AC508" s="201"/>
      <c r="AD508" s="197"/>
      <c r="AE508" s="197"/>
      <c r="AF508" s="197"/>
      <c r="AG508" s="197"/>
      <c r="AH508" s="197"/>
      <c r="AI508" s="197"/>
      <c r="AJ508" s="197"/>
      <c r="AK508" s="197"/>
      <c r="AL508" s="197"/>
      <c r="AM508" s="197"/>
      <c r="AN508" s="197"/>
      <c r="AO508" s="197"/>
      <c r="AP508" s="197"/>
      <c r="AQ508" s="197"/>
      <c r="AR508" s="197"/>
      <c r="AS508" s="197"/>
      <c r="AT508" s="197"/>
      <c r="AU508" s="197"/>
      <c r="AV508" s="197"/>
      <c r="AW508" s="197"/>
    </row>
    <row r="509" spans="28:49" s="196" customFormat="1">
      <c r="AB509" s="201"/>
      <c r="AC509" s="201"/>
      <c r="AD509" s="197"/>
      <c r="AE509" s="197"/>
      <c r="AF509" s="197"/>
      <c r="AG509" s="197"/>
      <c r="AH509" s="197"/>
      <c r="AI509" s="197"/>
      <c r="AJ509" s="197"/>
      <c r="AK509" s="197"/>
      <c r="AL509" s="197"/>
      <c r="AM509" s="197"/>
      <c r="AN509" s="197"/>
      <c r="AO509" s="197"/>
      <c r="AP509" s="197"/>
      <c r="AQ509" s="197"/>
      <c r="AR509" s="197"/>
      <c r="AS509" s="197"/>
      <c r="AT509" s="197"/>
      <c r="AU509" s="197"/>
      <c r="AV509" s="197"/>
      <c r="AW509" s="197"/>
    </row>
    <row r="510" spans="28:49" s="196" customFormat="1">
      <c r="AB510" s="201"/>
      <c r="AC510" s="201"/>
      <c r="AD510" s="197"/>
      <c r="AE510" s="197"/>
      <c r="AF510" s="197"/>
      <c r="AG510" s="197"/>
      <c r="AH510" s="197"/>
      <c r="AI510" s="197"/>
      <c r="AJ510" s="197"/>
      <c r="AK510" s="197"/>
      <c r="AL510" s="197"/>
      <c r="AM510" s="197"/>
      <c r="AN510" s="197"/>
      <c r="AO510" s="197"/>
      <c r="AP510" s="197"/>
      <c r="AQ510" s="197"/>
      <c r="AR510" s="197"/>
      <c r="AS510" s="197"/>
      <c r="AT510" s="197"/>
      <c r="AU510" s="197"/>
      <c r="AV510" s="197"/>
      <c r="AW510" s="197"/>
    </row>
    <row r="511" spans="28:49" s="196" customFormat="1">
      <c r="AB511" s="201"/>
      <c r="AC511" s="201"/>
      <c r="AD511" s="197"/>
      <c r="AE511" s="197"/>
      <c r="AF511" s="197"/>
      <c r="AG511" s="197"/>
      <c r="AH511" s="197"/>
      <c r="AI511" s="197"/>
      <c r="AJ511" s="197"/>
      <c r="AK511" s="197"/>
      <c r="AL511" s="197"/>
      <c r="AM511" s="197"/>
      <c r="AN511" s="197"/>
      <c r="AO511" s="197"/>
      <c r="AP511" s="197"/>
      <c r="AQ511" s="197"/>
      <c r="AR511" s="197"/>
      <c r="AS511" s="197"/>
      <c r="AT511" s="197"/>
      <c r="AU511" s="197"/>
      <c r="AV511" s="197"/>
      <c r="AW511" s="197"/>
    </row>
    <row r="512" spans="28:49" s="196" customFormat="1">
      <c r="AB512" s="201"/>
      <c r="AC512" s="201"/>
      <c r="AD512" s="197"/>
      <c r="AE512" s="197"/>
      <c r="AF512" s="197"/>
      <c r="AG512" s="197"/>
      <c r="AH512" s="197"/>
      <c r="AI512" s="197"/>
      <c r="AJ512" s="197"/>
      <c r="AK512" s="197"/>
      <c r="AL512" s="197"/>
      <c r="AM512" s="197"/>
      <c r="AN512" s="197"/>
      <c r="AO512" s="197"/>
      <c r="AP512" s="197"/>
      <c r="AQ512" s="197"/>
      <c r="AR512" s="197"/>
      <c r="AS512" s="197"/>
      <c r="AT512" s="197"/>
      <c r="AU512" s="197"/>
      <c r="AV512" s="197"/>
      <c r="AW512" s="197"/>
    </row>
    <row r="513" spans="28:49" s="196" customFormat="1">
      <c r="AB513" s="201"/>
      <c r="AC513" s="201"/>
      <c r="AD513" s="197"/>
      <c r="AE513" s="197"/>
      <c r="AF513" s="197"/>
      <c r="AG513" s="197"/>
      <c r="AH513" s="197"/>
      <c r="AI513" s="197"/>
      <c r="AJ513" s="197"/>
      <c r="AK513" s="197"/>
      <c r="AL513" s="197"/>
      <c r="AM513" s="197"/>
      <c r="AN513" s="197"/>
      <c r="AO513" s="197"/>
      <c r="AP513" s="197"/>
      <c r="AQ513" s="197"/>
      <c r="AR513" s="197"/>
      <c r="AS513" s="197"/>
      <c r="AT513" s="197"/>
      <c r="AU513" s="197"/>
      <c r="AV513" s="197"/>
      <c r="AW513" s="197"/>
    </row>
    <row r="514" spans="28:49" s="196" customFormat="1">
      <c r="AB514" s="201"/>
      <c r="AC514" s="201"/>
      <c r="AD514" s="197"/>
      <c r="AE514" s="197"/>
      <c r="AF514" s="197"/>
      <c r="AG514" s="197"/>
      <c r="AH514" s="197"/>
      <c r="AI514" s="197"/>
      <c r="AJ514" s="197"/>
      <c r="AK514" s="197"/>
      <c r="AL514" s="197"/>
      <c r="AM514" s="197"/>
      <c r="AN514" s="197"/>
      <c r="AO514" s="197"/>
      <c r="AP514" s="197"/>
      <c r="AQ514" s="197"/>
      <c r="AR514" s="197"/>
      <c r="AS514" s="197"/>
      <c r="AT514" s="197"/>
      <c r="AU514" s="197"/>
      <c r="AV514" s="197"/>
      <c r="AW514" s="197"/>
    </row>
    <row r="515" spans="28:49" s="196" customFormat="1">
      <c r="AB515" s="201"/>
      <c r="AC515" s="201"/>
      <c r="AD515" s="197"/>
      <c r="AE515" s="197"/>
      <c r="AF515" s="197"/>
      <c r="AG515" s="197"/>
      <c r="AH515" s="197"/>
      <c r="AI515" s="197"/>
      <c r="AJ515" s="197"/>
      <c r="AK515" s="197"/>
      <c r="AL515" s="197"/>
      <c r="AM515" s="197"/>
      <c r="AN515" s="197"/>
      <c r="AO515" s="197"/>
      <c r="AP515" s="197"/>
      <c r="AQ515" s="197"/>
      <c r="AR515" s="197"/>
      <c r="AS515" s="197"/>
      <c r="AT515" s="197"/>
      <c r="AU515" s="197"/>
      <c r="AV515" s="197"/>
      <c r="AW515" s="197"/>
    </row>
    <row r="516" spans="28:49" s="196" customFormat="1">
      <c r="AB516" s="201"/>
      <c r="AC516" s="201"/>
      <c r="AD516" s="197"/>
      <c r="AE516" s="197"/>
      <c r="AF516" s="197"/>
      <c r="AG516" s="197"/>
      <c r="AH516" s="197"/>
      <c r="AI516" s="197"/>
      <c r="AJ516" s="197"/>
      <c r="AK516" s="197"/>
      <c r="AL516" s="197"/>
      <c r="AM516" s="197"/>
      <c r="AN516" s="197"/>
      <c r="AO516" s="197"/>
      <c r="AP516" s="197"/>
      <c r="AQ516" s="197"/>
      <c r="AR516" s="197"/>
      <c r="AS516" s="197"/>
      <c r="AT516" s="197"/>
      <c r="AU516" s="197"/>
      <c r="AV516" s="197"/>
      <c r="AW516" s="197"/>
    </row>
    <row r="517" spans="28:49" s="196" customFormat="1">
      <c r="AB517" s="201"/>
      <c r="AC517" s="201"/>
      <c r="AD517" s="197"/>
      <c r="AE517" s="197"/>
      <c r="AF517" s="197"/>
      <c r="AG517" s="197"/>
      <c r="AH517" s="197"/>
      <c r="AI517" s="197"/>
      <c r="AJ517" s="197"/>
      <c r="AK517" s="197"/>
      <c r="AL517" s="197"/>
      <c r="AM517" s="197"/>
      <c r="AN517" s="197"/>
      <c r="AO517" s="197"/>
      <c r="AP517" s="197"/>
      <c r="AQ517" s="197"/>
      <c r="AR517" s="197"/>
      <c r="AS517" s="197"/>
      <c r="AT517" s="197"/>
      <c r="AU517" s="197"/>
      <c r="AV517" s="197"/>
      <c r="AW517" s="197"/>
    </row>
    <row r="518" spans="28:49" s="196" customFormat="1">
      <c r="AB518" s="201"/>
      <c r="AC518" s="201"/>
      <c r="AD518" s="197"/>
      <c r="AE518" s="197"/>
      <c r="AF518" s="197"/>
      <c r="AG518" s="197"/>
      <c r="AH518" s="197"/>
      <c r="AI518" s="197"/>
      <c r="AJ518" s="197"/>
      <c r="AK518" s="197"/>
      <c r="AL518" s="197"/>
      <c r="AM518" s="197"/>
      <c r="AN518" s="197"/>
      <c r="AO518" s="197"/>
      <c r="AP518" s="197"/>
      <c r="AQ518" s="197"/>
      <c r="AR518" s="197"/>
      <c r="AS518" s="197"/>
      <c r="AT518" s="197"/>
      <c r="AU518" s="197"/>
      <c r="AV518" s="197"/>
      <c r="AW518" s="197"/>
    </row>
    <row r="519" spans="28:49" s="196" customFormat="1">
      <c r="AB519" s="201"/>
      <c r="AC519" s="201"/>
      <c r="AD519" s="197"/>
      <c r="AE519" s="197"/>
      <c r="AF519" s="197"/>
      <c r="AG519" s="197"/>
      <c r="AH519" s="197"/>
      <c r="AI519" s="197"/>
      <c r="AJ519" s="197"/>
      <c r="AK519" s="197"/>
      <c r="AL519" s="197"/>
      <c r="AM519" s="197"/>
      <c r="AN519" s="197"/>
      <c r="AO519" s="197"/>
      <c r="AP519" s="197"/>
      <c r="AQ519" s="197"/>
      <c r="AR519" s="197"/>
      <c r="AS519" s="197"/>
      <c r="AT519" s="197"/>
      <c r="AU519" s="197"/>
      <c r="AV519" s="197"/>
      <c r="AW519" s="197"/>
    </row>
    <row r="520" spans="28:49" s="196" customFormat="1">
      <c r="AB520" s="201"/>
      <c r="AC520" s="201"/>
      <c r="AD520" s="197"/>
      <c r="AE520" s="197"/>
      <c r="AF520" s="197"/>
      <c r="AG520" s="197"/>
      <c r="AH520" s="197"/>
      <c r="AI520" s="197"/>
      <c r="AJ520" s="197"/>
      <c r="AK520" s="197"/>
      <c r="AL520" s="197"/>
      <c r="AM520" s="197"/>
      <c r="AN520" s="197"/>
      <c r="AO520" s="197"/>
      <c r="AP520" s="197"/>
      <c r="AQ520" s="197"/>
      <c r="AR520" s="197"/>
      <c r="AS520" s="197"/>
      <c r="AT520" s="197"/>
      <c r="AU520" s="197"/>
      <c r="AV520" s="197"/>
      <c r="AW520" s="197"/>
    </row>
    <row r="521" spans="28:49" s="196" customFormat="1">
      <c r="AB521" s="201"/>
      <c r="AC521" s="201"/>
      <c r="AD521" s="197"/>
      <c r="AE521" s="197"/>
      <c r="AF521" s="197"/>
      <c r="AG521" s="197"/>
      <c r="AH521" s="197"/>
      <c r="AI521" s="197"/>
      <c r="AJ521" s="197"/>
      <c r="AK521" s="197"/>
      <c r="AL521" s="197"/>
      <c r="AM521" s="197"/>
      <c r="AN521" s="197"/>
      <c r="AO521" s="197"/>
      <c r="AP521" s="197"/>
      <c r="AQ521" s="197"/>
      <c r="AR521" s="197"/>
      <c r="AS521" s="197"/>
      <c r="AT521" s="197"/>
      <c r="AU521" s="197"/>
      <c r="AV521" s="197"/>
      <c r="AW521" s="197"/>
    </row>
    <row r="522" spans="28:49" s="196" customFormat="1">
      <c r="AB522" s="201"/>
      <c r="AC522" s="201"/>
      <c r="AD522" s="197"/>
      <c r="AE522" s="197"/>
      <c r="AF522" s="197"/>
      <c r="AG522" s="197"/>
      <c r="AH522" s="197"/>
      <c r="AI522" s="197"/>
      <c r="AJ522" s="197"/>
      <c r="AK522" s="197"/>
      <c r="AL522" s="197"/>
      <c r="AM522" s="197"/>
      <c r="AN522" s="197"/>
      <c r="AO522" s="197"/>
      <c r="AP522" s="197"/>
      <c r="AQ522" s="197"/>
      <c r="AR522" s="197"/>
      <c r="AS522" s="197"/>
      <c r="AT522" s="197"/>
      <c r="AU522" s="197"/>
      <c r="AV522" s="197"/>
      <c r="AW522" s="197"/>
    </row>
    <row r="523" spans="28:49" s="196" customFormat="1">
      <c r="AB523" s="201"/>
      <c r="AC523" s="201"/>
      <c r="AD523" s="197"/>
      <c r="AE523" s="197"/>
      <c r="AF523" s="197"/>
      <c r="AG523" s="197"/>
      <c r="AH523" s="197"/>
      <c r="AI523" s="197"/>
      <c r="AJ523" s="197"/>
      <c r="AK523" s="197"/>
      <c r="AL523" s="197"/>
      <c r="AM523" s="197"/>
      <c r="AN523" s="197"/>
      <c r="AO523" s="197"/>
      <c r="AP523" s="197"/>
      <c r="AQ523" s="197"/>
      <c r="AR523" s="197"/>
      <c r="AS523" s="197"/>
      <c r="AT523" s="197"/>
      <c r="AU523" s="197"/>
      <c r="AV523" s="197"/>
      <c r="AW523" s="197"/>
    </row>
    <row r="524" spans="28:49" s="196" customFormat="1">
      <c r="AB524" s="201"/>
      <c r="AC524" s="201"/>
      <c r="AD524" s="197"/>
      <c r="AE524" s="197"/>
      <c r="AF524" s="197"/>
      <c r="AG524" s="197"/>
      <c r="AH524" s="197"/>
      <c r="AI524" s="197"/>
      <c r="AJ524" s="197"/>
      <c r="AK524" s="197"/>
      <c r="AL524" s="197"/>
      <c r="AM524" s="197"/>
      <c r="AN524" s="197"/>
      <c r="AO524" s="197"/>
      <c r="AP524" s="197"/>
      <c r="AQ524" s="197"/>
      <c r="AR524" s="197"/>
      <c r="AS524" s="197"/>
      <c r="AT524" s="197"/>
      <c r="AU524" s="197"/>
      <c r="AV524" s="197"/>
      <c r="AW524" s="197"/>
    </row>
    <row r="525" spans="28:49" s="196" customFormat="1">
      <c r="AB525" s="201"/>
      <c r="AC525" s="201"/>
      <c r="AD525" s="197"/>
      <c r="AE525" s="197"/>
      <c r="AF525" s="197"/>
      <c r="AG525" s="197"/>
      <c r="AH525" s="197"/>
      <c r="AI525" s="197"/>
      <c r="AJ525" s="197"/>
      <c r="AK525" s="197"/>
      <c r="AL525" s="197"/>
      <c r="AM525" s="197"/>
      <c r="AN525" s="197"/>
      <c r="AO525" s="197"/>
      <c r="AP525" s="197"/>
      <c r="AQ525" s="197"/>
      <c r="AR525" s="197"/>
      <c r="AS525" s="197"/>
      <c r="AT525" s="197"/>
      <c r="AU525" s="197"/>
      <c r="AV525" s="197"/>
      <c r="AW525" s="197"/>
    </row>
    <row r="526" spans="28:49" s="196" customFormat="1">
      <c r="AB526" s="201"/>
      <c r="AC526" s="201"/>
      <c r="AD526" s="197"/>
      <c r="AE526" s="197"/>
      <c r="AF526" s="197"/>
      <c r="AG526" s="197"/>
      <c r="AH526" s="197"/>
      <c r="AI526" s="197"/>
      <c r="AJ526" s="197"/>
      <c r="AK526" s="197"/>
      <c r="AL526" s="197"/>
      <c r="AM526" s="197"/>
      <c r="AN526" s="197"/>
      <c r="AO526" s="197"/>
      <c r="AP526" s="197"/>
      <c r="AQ526" s="197"/>
      <c r="AR526" s="197"/>
      <c r="AS526" s="197"/>
      <c r="AT526" s="197"/>
      <c r="AU526" s="197"/>
      <c r="AV526" s="197"/>
      <c r="AW526" s="197"/>
    </row>
    <row r="527" spans="28:49" s="196" customFormat="1">
      <c r="AB527" s="201"/>
      <c r="AC527" s="201"/>
      <c r="AD527" s="197"/>
      <c r="AE527" s="197"/>
      <c r="AF527" s="197"/>
      <c r="AG527" s="197"/>
      <c r="AH527" s="197"/>
      <c r="AI527" s="197"/>
      <c r="AJ527" s="197"/>
      <c r="AK527" s="197"/>
      <c r="AL527" s="197"/>
      <c r="AM527" s="197"/>
      <c r="AN527" s="197"/>
      <c r="AO527" s="197"/>
      <c r="AP527" s="197"/>
      <c r="AQ527" s="197"/>
      <c r="AR527" s="197"/>
      <c r="AS527" s="197"/>
      <c r="AT527" s="197"/>
      <c r="AU527" s="197"/>
      <c r="AV527" s="197"/>
      <c r="AW527" s="197"/>
    </row>
    <row r="528" spans="28:49" s="196" customFormat="1">
      <c r="AB528" s="201"/>
      <c r="AC528" s="201"/>
      <c r="AD528" s="197"/>
      <c r="AE528" s="197"/>
      <c r="AF528" s="197"/>
      <c r="AG528" s="197"/>
      <c r="AH528" s="197"/>
      <c r="AI528" s="197"/>
      <c r="AJ528" s="197"/>
      <c r="AK528" s="197"/>
      <c r="AL528" s="197"/>
      <c r="AM528" s="197"/>
      <c r="AN528" s="197"/>
      <c r="AO528" s="197"/>
      <c r="AP528" s="197"/>
      <c r="AQ528" s="197"/>
      <c r="AR528" s="197"/>
      <c r="AS528" s="197"/>
      <c r="AT528" s="197"/>
      <c r="AU528" s="197"/>
      <c r="AV528" s="197"/>
      <c r="AW528" s="197"/>
    </row>
    <row r="529" spans="28:49" s="196" customFormat="1">
      <c r="AB529" s="201"/>
      <c r="AC529" s="201"/>
      <c r="AD529" s="197"/>
      <c r="AE529" s="197"/>
      <c r="AF529" s="197"/>
      <c r="AG529" s="197"/>
      <c r="AH529" s="197"/>
      <c r="AI529" s="197"/>
      <c r="AJ529" s="197"/>
      <c r="AK529" s="197"/>
      <c r="AL529" s="197"/>
      <c r="AM529" s="197"/>
      <c r="AN529" s="197"/>
      <c r="AO529" s="197"/>
      <c r="AP529" s="197"/>
      <c r="AQ529" s="197"/>
      <c r="AR529" s="197"/>
      <c r="AS529" s="197"/>
      <c r="AT529" s="197"/>
      <c r="AU529" s="197"/>
      <c r="AV529" s="197"/>
      <c r="AW529" s="197"/>
    </row>
    <row r="530" spans="28:49" s="196" customFormat="1">
      <c r="AB530" s="201"/>
      <c r="AC530" s="201"/>
      <c r="AD530" s="197"/>
      <c r="AE530" s="197"/>
      <c r="AF530" s="197"/>
      <c r="AG530" s="197"/>
      <c r="AH530" s="197"/>
      <c r="AI530" s="197"/>
      <c r="AJ530" s="197"/>
      <c r="AK530" s="197"/>
      <c r="AL530" s="197"/>
      <c r="AM530" s="197"/>
      <c r="AN530" s="197"/>
      <c r="AO530" s="197"/>
      <c r="AP530" s="197"/>
      <c r="AQ530" s="197"/>
      <c r="AR530" s="197"/>
      <c r="AS530" s="197"/>
      <c r="AT530" s="197"/>
      <c r="AU530" s="197"/>
      <c r="AV530" s="197"/>
      <c r="AW530" s="197"/>
    </row>
    <row r="531" spans="28:49" s="196" customFormat="1">
      <c r="AB531" s="201"/>
      <c r="AC531" s="201"/>
      <c r="AD531" s="197"/>
      <c r="AE531" s="197"/>
      <c r="AF531" s="197"/>
      <c r="AG531" s="197"/>
      <c r="AH531" s="197"/>
      <c r="AI531" s="197"/>
      <c r="AJ531" s="197"/>
      <c r="AK531" s="197"/>
      <c r="AL531" s="197"/>
      <c r="AM531" s="197"/>
      <c r="AN531" s="197"/>
      <c r="AO531" s="197"/>
      <c r="AP531" s="197"/>
      <c r="AQ531" s="197"/>
      <c r="AR531" s="197"/>
      <c r="AS531" s="197"/>
      <c r="AT531" s="197"/>
      <c r="AU531" s="197"/>
      <c r="AV531" s="197"/>
      <c r="AW531" s="197"/>
    </row>
    <row r="532" spans="28:49" s="196" customFormat="1">
      <c r="AB532" s="201"/>
      <c r="AC532" s="201"/>
      <c r="AD532" s="197"/>
      <c r="AE532" s="197"/>
      <c r="AF532" s="197"/>
      <c r="AG532" s="197"/>
      <c r="AH532" s="197"/>
      <c r="AI532" s="197"/>
      <c r="AJ532" s="197"/>
      <c r="AK532" s="197"/>
      <c r="AL532" s="197"/>
      <c r="AM532" s="197"/>
      <c r="AN532" s="197"/>
      <c r="AO532" s="197"/>
      <c r="AP532" s="197"/>
      <c r="AQ532" s="197"/>
      <c r="AR532" s="197"/>
      <c r="AS532" s="197"/>
      <c r="AT532" s="197"/>
      <c r="AU532" s="197"/>
      <c r="AV532" s="197"/>
      <c r="AW532" s="197"/>
    </row>
    <row r="533" spans="28:49" s="196" customFormat="1">
      <c r="AB533" s="201"/>
      <c r="AC533" s="201"/>
      <c r="AD533" s="197"/>
      <c r="AE533" s="197"/>
      <c r="AF533" s="197"/>
      <c r="AG533" s="197"/>
      <c r="AH533" s="197"/>
      <c r="AI533" s="197"/>
      <c r="AJ533" s="197"/>
      <c r="AK533" s="197"/>
      <c r="AL533" s="197"/>
      <c r="AM533" s="197"/>
      <c r="AN533" s="197"/>
      <c r="AO533" s="197"/>
      <c r="AP533" s="197"/>
      <c r="AQ533" s="197"/>
      <c r="AR533" s="197"/>
      <c r="AS533" s="197"/>
      <c r="AT533" s="197"/>
      <c r="AU533" s="197"/>
      <c r="AV533" s="197"/>
      <c r="AW533" s="197"/>
    </row>
    <row r="534" spans="28:49" s="196" customFormat="1">
      <c r="AB534" s="201"/>
      <c r="AC534" s="201"/>
      <c r="AD534" s="197"/>
      <c r="AE534" s="197"/>
      <c r="AF534" s="197"/>
      <c r="AG534" s="197"/>
      <c r="AH534" s="197"/>
      <c r="AI534" s="197"/>
      <c r="AJ534" s="197"/>
      <c r="AK534" s="197"/>
      <c r="AL534" s="197"/>
      <c r="AM534" s="197"/>
      <c r="AN534" s="197"/>
      <c r="AO534" s="197"/>
      <c r="AP534" s="197"/>
      <c r="AQ534" s="197"/>
      <c r="AR534" s="197"/>
      <c r="AS534" s="197"/>
      <c r="AT534" s="197"/>
      <c r="AU534" s="197"/>
      <c r="AV534" s="197"/>
      <c r="AW534" s="197"/>
    </row>
    <row r="535" spans="28:49" s="196" customFormat="1">
      <c r="AB535" s="201"/>
      <c r="AC535" s="201"/>
      <c r="AD535" s="197"/>
      <c r="AE535" s="197"/>
      <c r="AF535" s="197"/>
      <c r="AG535" s="197"/>
      <c r="AH535" s="197"/>
      <c r="AI535" s="197"/>
      <c r="AJ535" s="197"/>
      <c r="AK535" s="197"/>
      <c r="AL535" s="197"/>
      <c r="AM535" s="197"/>
      <c r="AN535" s="197"/>
      <c r="AO535" s="197"/>
      <c r="AP535" s="197"/>
      <c r="AQ535" s="197"/>
      <c r="AR535" s="197"/>
      <c r="AS535" s="197"/>
      <c r="AT535" s="197"/>
      <c r="AU535" s="197"/>
      <c r="AV535" s="197"/>
      <c r="AW535" s="197"/>
    </row>
    <row r="536" spans="28:49" s="196" customFormat="1">
      <c r="AB536" s="201"/>
      <c r="AC536" s="201"/>
      <c r="AD536" s="197"/>
      <c r="AE536" s="197"/>
      <c r="AF536" s="197"/>
      <c r="AG536" s="197"/>
      <c r="AH536" s="197"/>
      <c r="AI536" s="197"/>
      <c r="AJ536" s="197"/>
      <c r="AK536" s="197"/>
      <c r="AL536" s="197"/>
      <c r="AM536" s="197"/>
      <c r="AN536" s="197"/>
      <c r="AO536" s="197"/>
      <c r="AP536" s="197"/>
      <c r="AQ536" s="197"/>
      <c r="AR536" s="197"/>
      <c r="AS536" s="197"/>
      <c r="AT536" s="197"/>
      <c r="AU536" s="197"/>
      <c r="AV536" s="197"/>
      <c r="AW536" s="197"/>
    </row>
    <row r="537" spans="28:49" s="196" customFormat="1">
      <c r="AB537" s="201"/>
      <c r="AC537" s="201"/>
      <c r="AD537" s="197"/>
      <c r="AE537" s="197"/>
      <c r="AF537" s="197"/>
      <c r="AG537" s="197"/>
      <c r="AH537" s="197"/>
      <c r="AI537" s="197"/>
      <c r="AJ537" s="197"/>
      <c r="AK537" s="197"/>
      <c r="AL537" s="197"/>
      <c r="AM537" s="197"/>
      <c r="AN537" s="197"/>
      <c r="AO537" s="197"/>
      <c r="AP537" s="197"/>
      <c r="AQ537" s="197"/>
      <c r="AR537" s="197"/>
      <c r="AS537" s="197"/>
      <c r="AT537" s="197"/>
      <c r="AU537" s="197"/>
      <c r="AV537" s="197"/>
      <c r="AW537" s="197"/>
    </row>
    <row r="538" spans="28:49" s="196" customFormat="1">
      <c r="AB538" s="201"/>
      <c r="AC538" s="201"/>
      <c r="AD538" s="197"/>
      <c r="AE538" s="197"/>
      <c r="AF538" s="197"/>
      <c r="AG538" s="197"/>
      <c r="AH538" s="197"/>
      <c r="AI538" s="197"/>
      <c r="AJ538" s="197"/>
      <c r="AK538" s="197"/>
      <c r="AL538" s="197"/>
      <c r="AM538" s="197"/>
      <c r="AN538" s="197"/>
      <c r="AO538" s="197"/>
      <c r="AP538" s="197"/>
      <c r="AQ538" s="197"/>
      <c r="AR538" s="197"/>
      <c r="AS538" s="197"/>
      <c r="AT538" s="197"/>
      <c r="AU538" s="197"/>
      <c r="AV538" s="197"/>
      <c r="AW538" s="197"/>
    </row>
    <row r="539" spans="28:49" s="196" customFormat="1">
      <c r="AB539" s="201"/>
      <c r="AC539" s="201"/>
      <c r="AD539" s="197"/>
      <c r="AE539" s="197"/>
      <c r="AF539" s="197"/>
      <c r="AG539" s="197"/>
      <c r="AH539" s="197"/>
      <c r="AI539" s="197"/>
      <c r="AJ539" s="197"/>
      <c r="AK539" s="197"/>
      <c r="AL539" s="197"/>
      <c r="AM539" s="197"/>
      <c r="AN539" s="197"/>
      <c r="AO539" s="197"/>
      <c r="AP539" s="197"/>
      <c r="AQ539" s="197"/>
      <c r="AR539" s="197"/>
      <c r="AS539" s="197"/>
      <c r="AT539" s="197"/>
      <c r="AU539" s="197"/>
      <c r="AV539" s="197"/>
      <c r="AW539" s="197"/>
    </row>
    <row r="540" spans="28:49" s="196" customFormat="1">
      <c r="AB540" s="201"/>
      <c r="AC540" s="201"/>
      <c r="AD540" s="197"/>
      <c r="AE540" s="197"/>
      <c r="AF540" s="197"/>
      <c r="AG540" s="197"/>
      <c r="AH540" s="197"/>
      <c r="AI540" s="197"/>
      <c r="AJ540" s="197"/>
      <c r="AK540" s="197"/>
      <c r="AL540" s="197"/>
      <c r="AM540" s="197"/>
      <c r="AN540" s="197"/>
      <c r="AO540" s="197"/>
      <c r="AP540" s="197"/>
      <c r="AQ540" s="197"/>
      <c r="AR540" s="197"/>
      <c r="AS540" s="197"/>
      <c r="AT540" s="197"/>
      <c r="AU540" s="197"/>
      <c r="AV540" s="197"/>
      <c r="AW540" s="197"/>
    </row>
    <row r="541" spans="28:49" s="196" customFormat="1">
      <c r="AB541" s="201"/>
      <c r="AC541" s="201"/>
      <c r="AD541" s="197"/>
      <c r="AE541" s="197"/>
      <c r="AF541" s="197"/>
      <c r="AG541" s="197"/>
      <c r="AH541" s="197"/>
      <c r="AI541" s="197"/>
      <c r="AJ541" s="197"/>
      <c r="AK541" s="197"/>
      <c r="AL541" s="197"/>
      <c r="AM541" s="197"/>
      <c r="AN541" s="197"/>
      <c r="AO541" s="197"/>
      <c r="AP541" s="197"/>
      <c r="AQ541" s="197"/>
      <c r="AR541" s="197"/>
      <c r="AS541" s="197"/>
      <c r="AT541" s="197"/>
      <c r="AU541" s="197"/>
      <c r="AV541" s="197"/>
      <c r="AW541" s="197"/>
    </row>
    <row r="542" spans="28:49" s="196" customFormat="1">
      <c r="AB542" s="201"/>
      <c r="AC542" s="201"/>
      <c r="AD542" s="197"/>
      <c r="AE542" s="197"/>
      <c r="AF542" s="197"/>
      <c r="AG542" s="197"/>
      <c r="AH542" s="197"/>
      <c r="AI542" s="197"/>
      <c r="AJ542" s="197"/>
      <c r="AK542" s="197"/>
      <c r="AL542" s="197"/>
      <c r="AM542" s="197"/>
      <c r="AN542" s="197"/>
      <c r="AO542" s="197"/>
      <c r="AP542" s="197"/>
      <c r="AQ542" s="197"/>
      <c r="AR542" s="197"/>
      <c r="AS542" s="197"/>
      <c r="AT542" s="197"/>
      <c r="AU542" s="197"/>
      <c r="AV542" s="197"/>
      <c r="AW542" s="197"/>
    </row>
    <row r="543" spans="28:49" s="196" customFormat="1">
      <c r="AB543" s="201"/>
      <c r="AC543" s="201"/>
      <c r="AD543" s="197"/>
      <c r="AE543" s="197"/>
      <c r="AF543" s="197"/>
      <c r="AG543" s="197"/>
      <c r="AH543" s="197"/>
      <c r="AI543" s="197"/>
      <c r="AJ543" s="197"/>
      <c r="AK543" s="197"/>
      <c r="AL543" s="197"/>
      <c r="AM543" s="197"/>
      <c r="AN543" s="197"/>
      <c r="AO543" s="197"/>
      <c r="AP543" s="197"/>
      <c r="AQ543" s="197"/>
      <c r="AR543" s="197"/>
      <c r="AS543" s="197"/>
      <c r="AT543" s="197"/>
      <c r="AU543" s="197"/>
      <c r="AV543" s="197"/>
      <c r="AW543" s="197"/>
    </row>
    <row r="544" spans="28:49" s="196" customFormat="1">
      <c r="AB544" s="201"/>
      <c r="AC544" s="201"/>
      <c r="AD544" s="197"/>
      <c r="AE544" s="197"/>
      <c r="AF544" s="197"/>
      <c r="AG544" s="197"/>
      <c r="AH544" s="197"/>
      <c r="AI544" s="197"/>
      <c r="AJ544" s="197"/>
      <c r="AK544" s="197"/>
      <c r="AL544" s="197"/>
      <c r="AM544" s="197"/>
      <c r="AN544" s="197"/>
      <c r="AO544" s="197"/>
      <c r="AP544" s="197"/>
      <c r="AQ544" s="197"/>
      <c r="AR544" s="197"/>
      <c r="AS544" s="197"/>
      <c r="AT544" s="197"/>
      <c r="AU544" s="197"/>
      <c r="AV544" s="197"/>
      <c r="AW544" s="197"/>
    </row>
    <row r="545" spans="28:49" s="196" customFormat="1">
      <c r="AB545" s="201"/>
      <c r="AC545" s="201"/>
      <c r="AD545" s="197"/>
      <c r="AE545" s="197"/>
      <c r="AF545" s="197"/>
      <c r="AG545" s="197"/>
      <c r="AH545" s="197"/>
      <c r="AI545" s="197"/>
      <c r="AJ545" s="197"/>
      <c r="AK545" s="197"/>
      <c r="AL545" s="197"/>
      <c r="AM545" s="197"/>
      <c r="AN545" s="197"/>
      <c r="AO545" s="197"/>
      <c r="AP545" s="197"/>
      <c r="AQ545" s="197"/>
      <c r="AR545" s="197"/>
      <c r="AS545" s="197"/>
      <c r="AT545" s="197"/>
      <c r="AU545" s="197"/>
      <c r="AV545" s="197"/>
      <c r="AW545" s="197"/>
    </row>
    <row r="546" spans="28:49" s="196" customFormat="1">
      <c r="AB546" s="201"/>
      <c r="AC546" s="201"/>
      <c r="AD546" s="197"/>
      <c r="AE546" s="197"/>
      <c r="AF546" s="197"/>
      <c r="AG546" s="197"/>
      <c r="AH546" s="197"/>
      <c r="AI546" s="197"/>
      <c r="AJ546" s="197"/>
      <c r="AK546" s="197"/>
      <c r="AL546" s="197"/>
      <c r="AM546" s="197"/>
      <c r="AN546" s="197"/>
      <c r="AO546" s="197"/>
      <c r="AP546" s="197"/>
      <c r="AQ546" s="197"/>
      <c r="AR546" s="197"/>
      <c r="AS546" s="197"/>
      <c r="AT546" s="197"/>
      <c r="AU546" s="197"/>
      <c r="AV546" s="197"/>
      <c r="AW546" s="197"/>
    </row>
    <row r="547" spans="28:49" s="196" customFormat="1">
      <c r="AB547" s="201"/>
      <c r="AC547" s="201"/>
      <c r="AD547" s="197"/>
      <c r="AE547" s="197"/>
      <c r="AF547" s="197"/>
      <c r="AG547" s="197"/>
      <c r="AH547" s="197"/>
      <c r="AI547" s="197"/>
      <c r="AJ547" s="197"/>
      <c r="AK547" s="197"/>
      <c r="AL547" s="197"/>
      <c r="AM547" s="197"/>
      <c r="AN547" s="197"/>
      <c r="AO547" s="197"/>
      <c r="AP547" s="197"/>
      <c r="AQ547" s="197"/>
      <c r="AR547" s="197"/>
      <c r="AS547" s="197"/>
      <c r="AT547" s="197"/>
      <c r="AU547" s="197"/>
      <c r="AV547" s="197"/>
      <c r="AW547" s="197"/>
    </row>
    <row r="548" spans="28:49" s="196" customFormat="1">
      <c r="AB548" s="201"/>
      <c r="AC548" s="201"/>
      <c r="AD548" s="197"/>
      <c r="AE548" s="197"/>
      <c r="AF548" s="197"/>
      <c r="AG548" s="197"/>
      <c r="AH548" s="197"/>
      <c r="AI548" s="197"/>
      <c r="AJ548" s="197"/>
      <c r="AK548" s="197"/>
      <c r="AL548" s="197"/>
      <c r="AM548" s="197"/>
      <c r="AN548" s="197"/>
      <c r="AO548" s="197"/>
      <c r="AP548" s="197"/>
      <c r="AQ548" s="197"/>
      <c r="AR548" s="197"/>
      <c r="AS548" s="197"/>
      <c r="AT548" s="197"/>
      <c r="AU548" s="197"/>
      <c r="AV548" s="197"/>
      <c r="AW548" s="197"/>
    </row>
    <row r="549" spans="28:49" s="196" customFormat="1">
      <c r="AB549" s="201"/>
      <c r="AC549" s="201"/>
      <c r="AD549" s="197"/>
      <c r="AE549" s="197"/>
      <c r="AF549" s="197"/>
      <c r="AG549" s="197"/>
      <c r="AH549" s="197"/>
      <c r="AI549" s="197"/>
      <c r="AJ549" s="197"/>
      <c r="AK549" s="197"/>
      <c r="AL549" s="197"/>
      <c r="AM549" s="197"/>
      <c r="AN549" s="197"/>
      <c r="AO549" s="197"/>
      <c r="AP549" s="197"/>
      <c r="AQ549" s="197"/>
      <c r="AR549" s="197"/>
      <c r="AS549" s="197"/>
      <c r="AT549" s="197"/>
      <c r="AU549" s="197"/>
      <c r="AV549" s="197"/>
      <c r="AW549" s="197"/>
    </row>
    <row r="550" spans="28:49" s="196" customFormat="1">
      <c r="AB550" s="201"/>
      <c r="AC550" s="201"/>
      <c r="AD550" s="197"/>
      <c r="AE550" s="197"/>
      <c r="AF550" s="197"/>
      <c r="AG550" s="197"/>
      <c r="AH550" s="197"/>
      <c r="AI550" s="197"/>
      <c r="AJ550" s="197"/>
      <c r="AK550" s="197"/>
      <c r="AL550" s="197"/>
      <c r="AM550" s="197"/>
      <c r="AN550" s="197"/>
      <c r="AO550" s="197"/>
      <c r="AP550" s="197"/>
      <c r="AQ550" s="197"/>
      <c r="AR550" s="197"/>
      <c r="AS550" s="197"/>
      <c r="AT550" s="197"/>
      <c r="AU550" s="197"/>
      <c r="AV550" s="197"/>
      <c r="AW550" s="197"/>
    </row>
    <row r="551" spans="28:49" s="196" customFormat="1">
      <c r="AB551" s="201"/>
      <c r="AC551" s="201"/>
      <c r="AD551" s="197"/>
      <c r="AE551" s="197"/>
      <c r="AF551" s="197"/>
      <c r="AG551" s="197"/>
      <c r="AH551" s="197"/>
      <c r="AI551" s="197"/>
      <c r="AJ551" s="197"/>
      <c r="AK551" s="197"/>
      <c r="AL551" s="197"/>
      <c r="AM551" s="197"/>
      <c r="AN551" s="197"/>
      <c r="AO551" s="197"/>
      <c r="AP551" s="197"/>
      <c r="AQ551" s="197"/>
      <c r="AR551" s="197"/>
      <c r="AS551" s="197"/>
      <c r="AT551" s="197"/>
      <c r="AU551" s="197"/>
      <c r="AV551" s="197"/>
      <c r="AW551" s="197"/>
    </row>
    <row r="552" spans="28:49" s="196" customFormat="1">
      <c r="AB552" s="201"/>
      <c r="AC552" s="201"/>
      <c r="AD552" s="197"/>
      <c r="AE552" s="197"/>
      <c r="AF552" s="197"/>
      <c r="AG552" s="197"/>
      <c r="AH552" s="197"/>
      <c r="AI552" s="197"/>
      <c r="AJ552" s="197"/>
      <c r="AK552" s="197"/>
      <c r="AL552" s="197"/>
      <c r="AM552" s="197"/>
      <c r="AN552" s="197"/>
      <c r="AO552" s="197"/>
      <c r="AP552" s="197"/>
      <c r="AQ552" s="197"/>
      <c r="AR552" s="197"/>
      <c r="AS552" s="197"/>
      <c r="AT552" s="197"/>
      <c r="AU552" s="197"/>
      <c r="AV552" s="197"/>
      <c r="AW552" s="197"/>
    </row>
    <row r="553" spans="28:49" s="196" customFormat="1">
      <c r="AB553" s="201"/>
      <c r="AC553" s="201"/>
      <c r="AD553" s="197"/>
      <c r="AE553" s="197"/>
      <c r="AF553" s="197"/>
      <c r="AG553" s="197"/>
      <c r="AH553" s="197"/>
      <c r="AI553" s="197"/>
      <c r="AJ553" s="197"/>
      <c r="AK553" s="197"/>
      <c r="AL553" s="197"/>
      <c r="AM553" s="197"/>
      <c r="AN553" s="197"/>
      <c r="AO553" s="197"/>
      <c r="AP553" s="197"/>
      <c r="AQ553" s="197"/>
      <c r="AR553" s="197"/>
      <c r="AS553" s="197"/>
      <c r="AT553" s="197"/>
      <c r="AU553" s="197"/>
      <c r="AV553" s="197"/>
      <c r="AW553" s="197"/>
    </row>
    <row r="554" spans="28:49" s="196" customFormat="1">
      <c r="AB554" s="201"/>
      <c r="AC554" s="201"/>
      <c r="AD554" s="197"/>
      <c r="AE554" s="197"/>
      <c r="AF554" s="197"/>
      <c r="AG554" s="197"/>
      <c r="AH554" s="197"/>
      <c r="AI554" s="197"/>
      <c r="AJ554" s="197"/>
      <c r="AK554" s="197"/>
      <c r="AL554" s="197"/>
      <c r="AM554" s="197"/>
      <c r="AN554" s="197"/>
      <c r="AO554" s="197"/>
      <c r="AP554" s="197"/>
      <c r="AQ554" s="197"/>
      <c r="AR554" s="197"/>
      <c r="AS554" s="197"/>
      <c r="AT554" s="197"/>
      <c r="AU554" s="197"/>
      <c r="AV554" s="197"/>
      <c r="AW554" s="197"/>
    </row>
    <row r="555" spans="28:49" s="196" customFormat="1">
      <c r="AB555" s="201"/>
      <c r="AC555" s="201"/>
      <c r="AD555" s="197"/>
      <c r="AE555" s="197"/>
      <c r="AF555" s="197"/>
      <c r="AG555" s="197"/>
      <c r="AH555" s="197"/>
      <c r="AI555" s="197"/>
      <c r="AJ555" s="197"/>
      <c r="AK555" s="197"/>
      <c r="AL555" s="197"/>
      <c r="AM555" s="197"/>
      <c r="AN555" s="197"/>
      <c r="AO555" s="197"/>
      <c r="AP555" s="197"/>
      <c r="AQ555" s="197"/>
      <c r="AR555" s="197"/>
      <c r="AS555" s="197"/>
      <c r="AT555" s="197"/>
      <c r="AU555" s="197"/>
      <c r="AV555" s="197"/>
      <c r="AW555" s="197"/>
    </row>
    <row r="556" spans="28:49" s="196" customFormat="1">
      <c r="AB556" s="201"/>
      <c r="AC556" s="201"/>
      <c r="AD556" s="197"/>
      <c r="AE556" s="197"/>
      <c r="AF556" s="197"/>
      <c r="AG556" s="197"/>
      <c r="AH556" s="197"/>
      <c r="AI556" s="197"/>
      <c r="AJ556" s="197"/>
      <c r="AK556" s="197"/>
      <c r="AL556" s="197"/>
      <c r="AM556" s="197"/>
      <c r="AN556" s="197"/>
      <c r="AO556" s="197"/>
      <c r="AP556" s="197"/>
      <c r="AQ556" s="197"/>
      <c r="AR556" s="197"/>
      <c r="AS556" s="197"/>
      <c r="AT556" s="197"/>
      <c r="AU556" s="197"/>
      <c r="AV556" s="197"/>
      <c r="AW556" s="197"/>
    </row>
    <row r="557" spans="28:49" s="196" customFormat="1">
      <c r="AB557" s="201"/>
      <c r="AC557" s="201"/>
      <c r="AD557" s="197"/>
      <c r="AE557" s="197"/>
      <c r="AF557" s="197"/>
      <c r="AG557" s="197"/>
      <c r="AH557" s="197"/>
      <c r="AI557" s="197"/>
      <c r="AJ557" s="197"/>
      <c r="AK557" s="197"/>
      <c r="AL557" s="197"/>
      <c r="AM557" s="197"/>
      <c r="AN557" s="197"/>
      <c r="AO557" s="197"/>
      <c r="AP557" s="197"/>
      <c r="AQ557" s="197"/>
      <c r="AR557" s="197"/>
      <c r="AS557" s="197"/>
      <c r="AT557" s="197"/>
      <c r="AU557" s="197"/>
      <c r="AV557" s="197"/>
      <c r="AW557" s="197"/>
    </row>
    <row r="558" spans="28:49" s="196" customFormat="1">
      <c r="AB558" s="201"/>
      <c r="AC558" s="201"/>
      <c r="AD558" s="197"/>
      <c r="AE558" s="197"/>
      <c r="AF558" s="197"/>
      <c r="AG558" s="197"/>
      <c r="AH558" s="197"/>
      <c r="AI558" s="197"/>
      <c r="AJ558" s="197"/>
      <c r="AK558" s="197"/>
      <c r="AL558" s="197"/>
      <c r="AM558" s="197"/>
      <c r="AN558" s="197"/>
      <c r="AO558" s="197"/>
      <c r="AP558" s="197"/>
      <c r="AQ558" s="197"/>
      <c r="AR558" s="197"/>
      <c r="AS558" s="197"/>
      <c r="AT558" s="197"/>
      <c r="AU558" s="197"/>
      <c r="AV558" s="197"/>
      <c r="AW558" s="197"/>
    </row>
    <row r="559" spans="28:49" s="196" customFormat="1">
      <c r="AB559" s="201"/>
      <c r="AC559" s="201"/>
      <c r="AD559" s="197"/>
      <c r="AE559" s="197"/>
      <c r="AF559" s="197"/>
      <c r="AG559" s="197"/>
      <c r="AH559" s="197"/>
      <c r="AI559" s="197"/>
      <c r="AJ559" s="197"/>
      <c r="AK559" s="197"/>
      <c r="AL559" s="197"/>
      <c r="AM559" s="197"/>
      <c r="AN559" s="197"/>
      <c r="AO559" s="197"/>
      <c r="AP559" s="197"/>
      <c r="AQ559" s="197"/>
      <c r="AR559" s="197"/>
      <c r="AS559" s="197"/>
      <c r="AT559" s="197"/>
      <c r="AU559" s="197"/>
      <c r="AV559" s="197"/>
      <c r="AW559" s="197"/>
    </row>
    <row r="560" spans="28:49" s="196" customFormat="1">
      <c r="AB560" s="201"/>
      <c r="AC560" s="201"/>
      <c r="AD560" s="197"/>
      <c r="AE560" s="197"/>
      <c r="AF560" s="197"/>
      <c r="AG560" s="197"/>
      <c r="AH560" s="197"/>
      <c r="AI560" s="197"/>
      <c r="AJ560" s="197"/>
      <c r="AK560" s="197"/>
      <c r="AL560" s="197"/>
      <c r="AM560" s="197"/>
      <c r="AN560" s="197"/>
      <c r="AO560" s="197"/>
      <c r="AP560" s="197"/>
      <c r="AQ560" s="197"/>
      <c r="AR560" s="197"/>
      <c r="AS560" s="197"/>
      <c r="AT560" s="197"/>
      <c r="AU560" s="197"/>
      <c r="AV560" s="197"/>
      <c r="AW560" s="197"/>
    </row>
    <row r="561" spans="28:49" s="196" customFormat="1">
      <c r="AB561" s="201"/>
      <c r="AC561" s="201"/>
      <c r="AD561" s="197"/>
      <c r="AE561" s="197"/>
      <c r="AF561" s="197"/>
      <c r="AG561" s="197"/>
      <c r="AH561" s="197"/>
      <c r="AI561" s="197"/>
      <c r="AJ561" s="197"/>
      <c r="AK561" s="197"/>
      <c r="AL561" s="197"/>
      <c r="AM561" s="197"/>
      <c r="AN561" s="197"/>
      <c r="AO561" s="197"/>
      <c r="AP561" s="197"/>
      <c r="AQ561" s="197"/>
      <c r="AR561" s="197"/>
      <c r="AS561" s="197"/>
      <c r="AT561" s="197"/>
      <c r="AU561" s="197"/>
      <c r="AV561" s="197"/>
      <c r="AW561" s="197"/>
    </row>
    <row r="562" spans="28:49" s="196" customFormat="1">
      <c r="AB562" s="201"/>
      <c r="AC562" s="201"/>
      <c r="AD562" s="197"/>
      <c r="AE562" s="197"/>
      <c r="AF562" s="197"/>
      <c r="AG562" s="197"/>
      <c r="AH562" s="197"/>
      <c r="AI562" s="197"/>
      <c r="AJ562" s="197"/>
      <c r="AK562" s="197"/>
      <c r="AL562" s="197"/>
      <c r="AM562" s="197"/>
      <c r="AN562" s="197"/>
      <c r="AO562" s="197"/>
      <c r="AP562" s="197"/>
      <c r="AQ562" s="197"/>
      <c r="AR562" s="197"/>
      <c r="AS562" s="197"/>
      <c r="AT562" s="197"/>
      <c r="AU562" s="197"/>
      <c r="AV562" s="197"/>
      <c r="AW562" s="197"/>
    </row>
    <row r="563" spans="28:49" s="196" customFormat="1">
      <c r="AB563" s="201"/>
      <c r="AC563" s="201"/>
      <c r="AD563" s="197"/>
      <c r="AE563" s="197"/>
      <c r="AF563" s="197"/>
      <c r="AG563" s="197"/>
      <c r="AH563" s="197"/>
      <c r="AI563" s="197"/>
      <c r="AJ563" s="197"/>
      <c r="AK563" s="197"/>
      <c r="AL563" s="197"/>
      <c r="AM563" s="197"/>
      <c r="AN563" s="197"/>
      <c r="AO563" s="197"/>
      <c r="AP563" s="197"/>
      <c r="AQ563" s="197"/>
      <c r="AR563" s="197"/>
      <c r="AS563" s="197"/>
      <c r="AT563" s="197"/>
      <c r="AU563" s="197"/>
      <c r="AV563" s="197"/>
      <c r="AW563" s="197"/>
    </row>
    <row r="564" spans="28:49" s="196" customFormat="1">
      <c r="AB564" s="201"/>
      <c r="AC564" s="201"/>
      <c r="AD564" s="197"/>
      <c r="AE564" s="197"/>
      <c r="AF564" s="197"/>
      <c r="AG564" s="197"/>
      <c r="AH564" s="197"/>
      <c r="AI564" s="197"/>
      <c r="AJ564" s="197"/>
      <c r="AK564" s="197"/>
      <c r="AL564" s="197"/>
      <c r="AM564" s="197"/>
      <c r="AN564" s="197"/>
      <c r="AO564" s="197"/>
      <c r="AP564" s="197"/>
      <c r="AQ564" s="197"/>
      <c r="AR564" s="197"/>
      <c r="AS564" s="197"/>
      <c r="AT564" s="197"/>
      <c r="AU564" s="197"/>
      <c r="AV564" s="197"/>
      <c r="AW564" s="197"/>
    </row>
    <row r="565" spans="28:49" s="196" customFormat="1">
      <c r="AB565" s="201"/>
      <c r="AC565" s="201"/>
      <c r="AD565" s="197"/>
      <c r="AE565" s="197"/>
      <c r="AF565" s="197"/>
      <c r="AG565" s="197"/>
      <c r="AH565" s="197"/>
      <c r="AI565" s="197"/>
      <c r="AJ565" s="197"/>
      <c r="AK565" s="197"/>
      <c r="AL565" s="197"/>
      <c r="AM565" s="197"/>
      <c r="AN565" s="197"/>
      <c r="AO565" s="197"/>
      <c r="AP565" s="197"/>
      <c r="AQ565" s="197"/>
      <c r="AR565" s="197"/>
      <c r="AS565" s="197"/>
      <c r="AT565" s="197"/>
      <c r="AU565" s="197"/>
      <c r="AV565" s="197"/>
      <c r="AW565" s="197"/>
    </row>
    <row r="566" spans="28:49" s="196" customFormat="1">
      <c r="AB566" s="201"/>
      <c r="AC566" s="201"/>
      <c r="AD566" s="197"/>
      <c r="AE566" s="197"/>
      <c r="AF566" s="197"/>
      <c r="AG566" s="197"/>
      <c r="AH566" s="197"/>
      <c r="AI566" s="197"/>
      <c r="AJ566" s="197"/>
      <c r="AK566" s="197"/>
      <c r="AL566" s="197"/>
      <c r="AM566" s="197"/>
      <c r="AN566" s="197"/>
      <c r="AO566" s="197"/>
      <c r="AP566" s="197"/>
      <c r="AQ566" s="197"/>
      <c r="AR566" s="197"/>
      <c r="AS566" s="197"/>
      <c r="AT566" s="197"/>
      <c r="AU566" s="197"/>
      <c r="AV566" s="197"/>
      <c r="AW566" s="197"/>
    </row>
    <row r="567" spans="28:49" s="196" customFormat="1">
      <c r="AB567" s="201"/>
      <c r="AC567" s="201"/>
      <c r="AD567" s="197"/>
      <c r="AE567" s="197"/>
      <c r="AF567" s="197"/>
      <c r="AG567" s="197"/>
      <c r="AH567" s="197"/>
      <c r="AI567" s="197"/>
      <c r="AJ567" s="197"/>
      <c r="AK567" s="197"/>
      <c r="AL567" s="197"/>
      <c r="AM567" s="197"/>
      <c r="AN567" s="197"/>
      <c r="AO567" s="197"/>
      <c r="AP567" s="197"/>
      <c r="AQ567" s="197"/>
      <c r="AR567" s="197"/>
      <c r="AS567" s="197"/>
      <c r="AT567" s="197"/>
      <c r="AU567" s="197"/>
      <c r="AV567" s="197"/>
      <c r="AW567" s="197"/>
    </row>
    <row r="568" spans="28:49" s="196" customFormat="1">
      <c r="AB568" s="201"/>
      <c r="AC568" s="201"/>
      <c r="AD568" s="197"/>
      <c r="AE568" s="197"/>
      <c r="AF568" s="197"/>
      <c r="AG568" s="197"/>
      <c r="AH568" s="197"/>
      <c r="AI568" s="197"/>
      <c r="AJ568" s="197"/>
      <c r="AK568" s="197"/>
      <c r="AL568" s="197"/>
      <c r="AM568" s="197"/>
      <c r="AN568" s="197"/>
      <c r="AO568" s="197"/>
      <c r="AP568" s="197"/>
      <c r="AQ568" s="197"/>
      <c r="AR568" s="197"/>
      <c r="AS568" s="197"/>
      <c r="AT568" s="197"/>
      <c r="AU568" s="197"/>
      <c r="AV568" s="197"/>
      <c r="AW568" s="197"/>
    </row>
    <row r="569" spans="28:49" s="196" customFormat="1">
      <c r="AB569" s="201"/>
      <c r="AC569" s="201"/>
      <c r="AD569" s="197"/>
      <c r="AE569" s="197"/>
      <c r="AF569" s="197"/>
      <c r="AG569" s="197"/>
      <c r="AH569" s="197"/>
      <c r="AI569" s="197"/>
      <c r="AJ569" s="197"/>
      <c r="AK569" s="197"/>
      <c r="AL569" s="197"/>
      <c r="AM569" s="197"/>
      <c r="AN569" s="197"/>
      <c r="AO569" s="197"/>
      <c r="AP569" s="197"/>
      <c r="AQ569" s="197"/>
      <c r="AR569" s="197"/>
      <c r="AS569" s="197"/>
      <c r="AT569" s="197"/>
      <c r="AU569" s="197"/>
      <c r="AV569" s="197"/>
      <c r="AW569" s="197"/>
    </row>
    <row r="570" spans="28:49" s="196" customFormat="1">
      <c r="AB570" s="201"/>
      <c r="AC570" s="201"/>
      <c r="AD570" s="197"/>
      <c r="AE570" s="197"/>
      <c r="AF570" s="197"/>
      <c r="AG570" s="197"/>
      <c r="AH570" s="197"/>
      <c r="AI570" s="197"/>
      <c r="AJ570" s="197"/>
      <c r="AK570" s="197"/>
      <c r="AL570" s="197"/>
      <c r="AM570" s="197"/>
      <c r="AN570" s="197"/>
      <c r="AO570" s="197"/>
      <c r="AP570" s="197"/>
      <c r="AQ570" s="197"/>
      <c r="AR570" s="197"/>
      <c r="AS570" s="197"/>
      <c r="AT570" s="197"/>
      <c r="AU570" s="197"/>
      <c r="AV570" s="197"/>
      <c r="AW570" s="197"/>
    </row>
    <row r="571" spans="28:49" s="196" customFormat="1">
      <c r="AB571" s="201"/>
      <c r="AC571" s="201"/>
      <c r="AD571" s="197"/>
      <c r="AE571" s="197"/>
      <c r="AF571" s="197"/>
      <c r="AG571" s="197"/>
      <c r="AH571" s="197"/>
      <c r="AI571" s="197"/>
      <c r="AJ571" s="197"/>
      <c r="AK571" s="197"/>
      <c r="AL571" s="197"/>
      <c r="AM571" s="197"/>
      <c r="AN571" s="197"/>
      <c r="AO571" s="197"/>
      <c r="AP571" s="197"/>
      <c r="AQ571" s="197"/>
      <c r="AR571" s="197"/>
      <c r="AS571" s="197"/>
      <c r="AT571" s="197"/>
      <c r="AU571" s="197"/>
      <c r="AV571" s="197"/>
      <c r="AW571" s="197"/>
    </row>
    <row r="572" spans="28:49" s="196" customFormat="1">
      <c r="AB572" s="201"/>
      <c r="AC572" s="201"/>
      <c r="AD572" s="197"/>
      <c r="AE572" s="197"/>
      <c r="AF572" s="197"/>
      <c r="AG572" s="197"/>
      <c r="AH572" s="197"/>
      <c r="AI572" s="197"/>
      <c r="AJ572" s="197"/>
      <c r="AK572" s="197"/>
      <c r="AL572" s="197"/>
      <c r="AM572" s="197"/>
      <c r="AN572" s="197"/>
      <c r="AO572" s="197"/>
      <c r="AP572" s="197"/>
      <c r="AQ572" s="197"/>
      <c r="AR572" s="197"/>
      <c r="AS572" s="197"/>
      <c r="AT572" s="197"/>
      <c r="AU572" s="197"/>
      <c r="AV572" s="197"/>
      <c r="AW572" s="197"/>
    </row>
    <row r="573" spans="28:49" s="196" customFormat="1">
      <c r="AB573" s="201"/>
      <c r="AC573" s="201"/>
      <c r="AD573" s="197"/>
      <c r="AE573" s="197"/>
      <c r="AF573" s="197"/>
      <c r="AG573" s="197"/>
      <c r="AH573" s="197"/>
      <c r="AI573" s="197"/>
      <c r="AJ573" s="197"/>
      <c r="AK573" s="197"/>
      <c r="AL573" s="197"/>
      <c r="AM573" s="197"/>
      <c r="AN573" s="197"/>
      <c r="AO573" s="197"/>
      <c r="AP573" s="197"/>
      <c r="AQ573" s="197"/>
      <c r="AR573" s="197"/>
      <c r="AS573" s="197"/>
      <c r="AT573" s="197"/>
      <c r="AU573" s="197"/>
      <c r="AV573" s="197"/>
      <c r="AW573" s="197"/>
    </row>
    <row r="574" spans="28:49" s="196" customFormat="1">
      <c r="AB574" s="201"/>
      <c r="AC574" s="201"/>
      <c r="AD574" s="197"/>
      <c r="AE574" s="197"/>
      <c r="AF574" s="197"/>
      <c r="AG574" s="197"/>
      <c r="AH574" s="197"/>
      <c r="AI574" s="197"/>
      <c r="AJ574" s="197"/>
      <c r="AK574" s="197"/>
      <c r="AL574" s="197"/>
      <c r="AM574" s="197"/>
      <c r="AN574" s="197"/>
      <c r="AO574" s="197"/>
      <c r="AP574" s="197"/>
      <c r="AQ574" s="197"/>
      <c r="AR574" s="197"/>
      <c r="AS574" s="197"/>
      <c r="AT574" s="197"/>
      <c r="AU574" s="197"/>
      <c r="AV574" s="197"/>
      <c r="AW574" s="197"/>
    </row>
    <row r="575" spans="28:49" s="196" customFormat="1">
      <c r="AB575" s="201"/>
      <c r="AC575" s="201"/>
      <c r="AD575" s="197"/>
      <c r="AE575" s="197"/>
      <c r="AF575" s="197"/>
      <c r="AG575" s="197"/>
      <c r="AH575" s="197"/>
      <c r="AI575" s="197"/>
      <c r="AJ575" s="197"/>
      <c r="AK575" s="197"/>
      <c r="AL575" s="197"/>
      <c r="AM575" s="197"/>
      <c r="AN575" s="197"/>
      <c r="AO575" s="197"/>
      <c r="AP575" s="197"/>
      <c r="AQ575" s="197"/>
      <c r="AR575" s="197"/>
      <c r="AS575" s="197"/>
      <c r="AT575" s="197"/>
      <c r="AU575" s="197"/>
      <c r="AV575" s="197"/>
      <c r="AW575" s="197"/>
    </row>
    <row r="576" spans="28:49" s="196" customFormat="1">
      <c r="AB576" s="201"/>
      <c r="AC576" s="201"/>
      <c r="AD576" s="197"/>
      <c r="AE576" s="197"/>
      <c r="AF576" s="197"/>
      <c r="AG576" s="197"/>
      <c r="AH576" s="197"/>
      <c r="AI576" s="197"/>
      <c r="AJ576" s="197"/>
      <c r="AK576" s="197"/>
      <c r="AL576" s="197"/>
      <c r="AM576" s="197"/>
      <c r="AN576" s="197"/>
      <c r="AO576" s="197"/>
      <c r="AP576" s="197"/>
      <c r="AQ576" s="197"/>
      <c r="AR576" s="197"/>
      <c r="AS576" s="197"/>
      <c r="AT576" s="197"/>
      <c r="AU576" s="197"/>
      <c r="AV576" s="197"/>
      <c r="AW576" s="197"/>
    </row>
    <row r="577" spans="28:49" s="196" customFormat="1">
      <c r="AB577" s="201"/>
      <c r="AC577" s="201"/>
      <c r="AD577" s="197"/>
      <c r="AE577" s="197"/>
      <c r="AF577" s="197"/>
      <c r="AG577" s="197"/>
      <c r="AH577" s="197"/>
      <c r="AI577" s="197"/>
      <c r="AJ577" s="197"/>
      <c r="AK577" s="197"/>
      <c r="AL577" s="197"/>
      <c r="AM577" s="197"/>
      <c r="AN577" s="197"/>
      <c r="AO577" s="197"/>
      <c r="AP577" s="197"/>
      <c r="AQ577" s="197"/>
      <c r="AR577" s="197"/>
      <c r="AS577" s="197"/>
      <c r="AT577" s="197"/>
      <c r="AU577" s="197"/>
      <c r="AV577" s="197"/>
      <c r="AW577" s="197"/>
    </row>
    <row r="578" spans="28:49" s="196" customFormat="1">
      <c r="AB578" s="201"/>
      <c r="AC578" s="201"/>
      <c r="AD578" s="197"/>
      <c r="AE578" s="197"/>
      <c r="AF578" s="197"/>
      <c r="AG578" s="197"/>
      <c r="AH578" s="197"/>
      <c r="AI578" s="197"/>
      <c r="AJ578" s="197"/>
      <c r="AK578" s="197"/>
      <c r="AL578" s="197"/>
      <c r="AM578" s="197"/>
      <c r="AN578" s="197"/>
      <c r="AO578" s="197"/>
      <c r="AP578" s="197"/>
      <c r="AQ578" s="197"/>
      <c r="AR578" s="197"/>
      <c r="AS578" s="197"/>
      <c r="AT578" s="197"/>
      <c r="AU578" s="197"/>
      <c r="AV578" s="197"/>
      <c r="AW578" s="197"/>
    </row>
    <row r="579" spans="28:49" s="196" customFormat="1">
      <c r="AB579" s="201"/>
      <c r="AC579" s="201"/>
      <c r="AD579" s="197"/>
      <c r="AE579" s="197"/>
      <c r="AF579" s="197"/>
      <c r="AG579" s="197"/>
      <c r="AH579" s="197"/>
      <c r="AI579" s="197"/>
      <c r="AJ579" s="197"/>
      <c r="AK579" s="197"/>
      <c r="AL579" s="197"/>
      <c r="AM579" s="197"/>
      <c r="AN579" s="197"/>
      <c r="AO579" s="197"/>
      <c r="AP579" s="197"/>
      <c r="AQ579" s="197"/>
      <c r="AR579" s="197"/>
      <c r="AS579" s="197"/>
      <c r="AT579" s="197"/>
      <c r="AU579" s="197"/>
      <c r="AV579" s="197"/>
      <c r="AW579" s="197"/>
    </row>
    <row r="580" spans="28:49" s="196" customFormat="1">
      <c r="AB580" s="201"/>
      <c r="AC580" s="201"/>
      <c r="AD580" s="197"/>
      <c r="AE580" s="197"/>
      <c r="AF580" s="197"/>
      <c r="AG580" s="197"/>
      <c r="AH580" s="197"/>
      <c r="AI580" s="197"/>
      <c r="AJ580" s="197"/>
      <c r="AK580" s="197"/>
      <c r="AL580" s="197"/>
      <c r="AM580" s="197"/>
      <c r="AN580" s="197"/>
      <c r="AO580" s="197"/>
      <c r="AP580" s="197"/>
      <c r="AQ580" s="197"/>
      <c r="AR580" s="197"/>
      <c r="AS580" s="197"/>
      <c r="AT580" s="197"/>
      <c r="AU580" s="197"/>
      <c r="AV580" s="197"/>
      <c r="AW580" s="197"/>
    </row>
    <row r="581" spans="28:49" s="196" customFormat="1">
      <c r="AB581" s="201"/>
      <c r="AC581" s="201"/>
      <c r="AD581" s="197"/>
      <c r="AE581" s="197"/>
      <c r="AF581" s="197"/>
      <c r="AG581" s="197"/>
      <c r="AH581" s="197"/>
      <c r="AI581" s="197"/>
      <c r="AJ581" s="197"/>
      <c r="AK581" s="197"/>
      <c r="AL581" s="197"/>
      <c r="AM581" s="197"/>
      <c r="AN581" s="197"/>
      <c r="AO581" s="197"/>
      <c r="AP581" s="197"/>
      <c r="AQ581" s="197"/>
      <c r="AR581" s="197"/>
      <c r="AS581" s="197"/>
      <c r="AT581" s="197"/>
      <c r="AU581" s="197"/>
      <c r="AV581" s="197"/>
      <c r="AW581" s="197"/>
    </row>
    <row r="582" spans="28:49" s="196" customFormat="1">
      <c r="AB582" s="201"/>
      <c r="AC582" s="201"/>
      <c r="AD582" s="197"/>
      <c r="AE582" s="197"/>
      <c r="AF582" s="197"/>
      <c r="AG582" s="197"/>
      <c r="AH582" s="197"/>
      <c r="AI582" s="197"/>
      <c r="AJ582" s="197"/>
      <c r="AK582" s="197"/>
      <c r="AL582" s="197"/>
      <c r="AM582" s="197"/>
      <c r="AN582" s="197"/>
      <c r="AO582" s="197"/>
      <c r="AP582" s="197"/>
      <c r="AQ582" s="197"/>
      <c r="AR582" s="197"/>
      <c r="AS582" s="197"/>
      <c r="AT582" s="197"/>
      <c r="AU582" s="197"/>
      <c r="AV582" s="197"/>
      <c r="AW582" s="197"/>
    </row>
    <row r="583" spans="28:49" s="196" customFormat="1">
      <c r="AB583" s="201"/>
      <c r="AC583" s="201"/>
      <c r="AD583" s="197"/>
      <c r="AE583" s="197"/>
      <c r="AF583" s="197"/>
      <c r="AG583" s="197"/>
      <c r="AH583" s="197"/>
      <c r="AI583" s="197"/>
      <c r="AJ583" s="197"/>
      <c r="AK583" s="197"/>
      <c r="AL583" s="197"/>
      <c r="AM583" s="197"/>
      <c r="AN583" s="197"/>
      <c r="AO583" s="197"/>
      <c r="AP583" s="197"/>
      <c r="AQ583" s="197"/>
      <c r="AR583" s="197"/>
      <c r="AS583" s="197"/>
      <c r="AT583" s="197"/>
      <c r="AU583" s="197"/>
      <c r="AV583" s="197"/>
      <c r="AW583" s="197"/>
    </row>
    <row r="584" spans="28:49" s="196" customFormat="1">
      <c r="AB584" s="201"/>
      <c r="AC584" s="201"/>
      <c r="AD584" s="197"/>
      <c r="AE584" s="197"/>
      <c r="AF584" s="197"/>
      <c r="AG584" s="197"/>
      <c r="AH584" s="197"/>
      <c r="AI584" s="197"/>
      <c r="AJ584" s="197"/>
      <c r="AK584" s="197"/>
      <c r="AL584" s="197"/>
      <c r="AM584" s="197"/>
      <c r="AN584" s="197"/>
      <c r="AO584" s="197"/>
      <c r="AP584" s="197"/>
      <c r="AQ584" s="197"/>
      <c r="AR584" s="197"/>
      <c r="AS584" s="197"/>
      <c r="AT584" s="197"/>
      <c r="AU584" s="197"/>
      <c r="AV584" s="197"/>
      <c r="AW584" s="197"/>
    </row>
    <row r="585" spans="28:49" s="196" customFormat="1">
      <c r="AB585" s="201"/>
      <c r="AC585" s="201"/>
      <c r="AD585" s="197"/>
      <c r="AE585" s="197"/>
      <c r="AF585" s="197"/>
      <c r="AG585" s="197"/>
      <c r="AH585" s="197"/>
      <c r="AI585" s="197"/>
      <c r="AJ585" s="197"/>
      <c r="AK585" s="197"/>
      <c r="AL585" s="197"/>
      <c r="AM585" s="197"/>
      <c r="AN585" s="197"/>
      <c r="AO585" s="197"/>
      <c r="AP585" s="197"/>
      <c r="AQ585" s="197"/>
      <c r="AR585" s="197"/>
      <c r="AS585" s="197"/>
      <c r="AT585" s="197"/>
      <c r="AU585" s="197"/>
      <c r="AV585" s="197"/>
      <c r="AW585" s="197"/>
    </row>
    <row r="586" spans="28:49" s="196" customFormat="1">
      <c r="AB586" s="201"/>
      <c r="AC586" s="201"/>
      <c r="AD586" s="197"/>
      <c r="AE586" s="197"/>
      <c r="AF586" s="197"/>
      <c r="AG586" s="197"/>
      <c r="AH586" s="197"/>
      <c r="AI586" s="197"/>
      <c r="AJ586" s="197"/>
      <c r="AK586" s="197"/>
      <c r="AL586" s="197"/>
      <c r="AM586" s="197"/>
      <c r="AN586" s="197"/>
      <c r="AO586" s="197"/>
      <c r="AP586" s="197"/>
      <c r="AQ586" s="197"/>
      <c r="AR586" s="197"/>
      <c r="AS586" s="197"/>
      <c r="AT586" s="197"/>
      <c r="AU586" s="197"/>
      <c r="AV586" s="197"/>
      <c r="AW586" s="197"/>
    </row>
    <row r="587" spans="28:49" s="196" customFormat="1">
      <c r="AB587" s="201"/>
      <c r="AC587" s="201"/>
      <c r="AD587" s="197"/>
      <c r="AE587" s="197"/>
      <c r="AF587" s="197"/>
      <c r="AG587" s="197"/>
      <c r="AH587" s="197"/>
      <c r="AI587" s="197"/>
      <c r="AJ587" s="197"/>
      <c r="AK587" s="197"/>
      <c r="AL587" s="197"/>
      <c r="AM587" s="197"/>
      <c r="AN587" s="197"/>
      <c r="AO587" s="197"/>
      <c r="AP587" s="197"/>
      <c r="AQ587" s="197"/>
      <c r="AR587" s="197"/>
      <c r="AS587" s="197"/>
      <c r="AT587" s="197"/>
      <c r="AU587" s="197"/>
      <c r="AV587" s="197"/>
      <c r="AW587" s="197"/>
    </row>
    <row r="588" spans="28:49" s="196" customFormat="1">
      <c r="AB588" s="201"/>
      <c r="AC588" s="201"/>
      <c r="AD588" s="197"/>
      <c r="AE588" s="197"/>
      <c r="AF588" s="197"/>
      <c r="AG588" s="197"/>
      <c r="AH588" s="197"/>
      <c r="AI588" s="197"/>
      <c r="AJ588" s="197"/>
      <c r="AK588" s="197"/>
      <c r="AL588" s="197"/>
      <c r="AM588" s="197"/>
      <c r="AN588" s="197"/>
      <c r="AO588" s="197"/>
      <c r="AP588" s="197"/>
      <c r="AQ588" s="197"/>
      <c r="AR588" s="197"/>
      <c r="AS588" s="197"/>
      <c r="AT588" s="197"/>
      <c r="AU588" s="197"/>
      <c r="AV588" s="197"/>
      <c r="AW588" s="197"/>
    </row>
    <row r="589" spans="28:49" s="196" customFormat="1">
      <c r="AB589" s="201"/>
      <c r="AC589" s="201"/>
      <c r="AD589" s="197"/>
      <c r="AE589" s="197"/>
      <c r="AF589" s="197"/>
      <c r="AG589" s="197"/>
      <c r="AH589" s="197"/>
      <c r="AI589" s="197"/>
      <c r="AJ589" s="197"/>
      <c r="AK589" s="197"/>
      <c r="AL589" s="197"/>
      <c r="AM589" s="197"/>
      <c r="AN589" s="197"/>
      <c r="AO589" s="197"/>
      <c r="AP589" s="197"/>
      <c r="AQ589" s="197"/>
      <c r="AR589" s="197"/>
      <c r="AS589" s="197"/>
      <c r="AT589" s="197"/>
      <c r="AU589" s="197"/>
      <c r="AV589" s="197"/>
      <c r="AW589" s="197"/>
    </row>
    <row r="590" spans="28:49" s="196" customFormat="1">
      <c r="AB590" s="201"/>
      <c r="AC590" s="201"/>
      <c r="AD590" s="197"/>
      <c r="AE590" s="197"/>
      <c r="AF590" s="197"/>
      <c r="AG590" s="197"/>
      <c r="AH590" s="197"/>
      <c r="AI590" s="197"/>
      <c r="AJ590" s="197"/>
      <c r="AK590" s="197"/>
      <c r="AL590" s="197"/>
      <c r="AM590" s="197"/>
      <c r="AN590" s="197"/>
      <c r="AO590" s="197"/>
      <c r="AP590" s="197"/>
      <c r="AQ590" s="197"/>
      <c r="AR590" s="197"/>
      <c r="AS590" s="197"/>
      <c r="AT590" s="197"/>
      <c r="AU590" s="197"/>
      <c r="AV590" s="197"/>
      <c r="AW590" s="197"/>
    </row>
    <row r="591" spans="28:49" s="196" customFormat="1">
      <c r="AB591" s="201"/>
      <c r="AC591" s="201"/>
      <c r="AD591" s="197"/>
      <c r="AE591" s="197"/>
      <c r="AF591" s="197"/>
      <c r="AG591" s="197"/>
      <c r="AH591" s="197"/>
      <c r="AI591" s="197"/>
      <c r="AJ591" s="197"/>
      <c r="AK591" s="197"/>
      <c r="AL591" s="197"/>
      <c r="AM591" s="197"/>
      <c r="AN591" s="197"/>
      <c r="AO591" s="197"/>
      <c r="AP591" s="197"/>
      <c r="AQ591" s="197"/>
      <c r="AR591" s="197"/>
      <c r="AS591" s="197"/>
      <c r="AT591" s="197"/>
      <c r="AU591" s="197"/>
      <c r="AV591" s="197"/>
      <c r="AW591" s="197"/>
    </row>
    <row r="592" spans="28:49" s="196" customFormat="1">
      <c r="AB592" s="201"/>
      <c r="AC592" s="201"/>
      <c r="AD592" s="197"/>
      <c r="AE592" s="197"/>
      <c r="AF592" s="197"/>
      <c r="AG592" s="197"/>
      <c r="AH592" s="197"/>
      <c r="AI592" s="197"/>
      <c r="AJ592" s="197"/>
      <c r="AK592" s="197"/>
      <c r="AL592" s="197"/>
      <c r="AM592" s="197"/>
      <c r="AN592" s="197"/>
      <c r="AO592" s="197"/>
      <c r="AP592" s="197"/>
      <c r="AQ592" s="197"/>
      <c r="AR592" s="197"/>
      <c r="AS592" s="197"/>
      <c r="AT592" s="197"/>
      <c r="AU592" s="197"/>
      <c r="AV592" s="197"/>
      <c r="AW592" s="197"/>
    </row>
    <row r="593" spans="28:49" s="196" customFormat="1">
      <c r="AB593" s="201"/>
      <c r="AC593" s="201"/>
      <c r="AD593" s="197"/>
      <c r="AE593" s="197"/>
      <c r="AF593" s="197"/>
      <c r="AG593" s="197"/>
      <c r="AH593" s="197"/>
      <c r="AI593" s="197"/>
      <c r="AJ593" s="197"/>
      <c r="AK593" s="197"/>
      <c r="AL593" s="197"/>
      <c r="AM593" s="197"/>
      <c r="AN593" s="197"/>
      <c r="AO593" s="197"/>
      <c r="AP593" s="197"/>
      <c r="AQ593" s="197"/>
      <c r="AR593" s="197"/>
      <c r="AS593" s="197"/>
      <c r="AT593" s="197"/>
      <c r="AU593" s="197"/>
      <c r="AV593" s="197"/>
      <c r="AW593" s="197"/>
    </row>
    <row r="594" spans="28:49" s="196" customFormat="1">
      <c r="AB594" s="201"/>
      <c r="AC594" s="201"/>
      <c r="AD594" s="197"/>
      <c r="AE594" s="197"/>
      <c r="AF594" s="197"/>
      <c r="AG594" s="197"/>
      <c r="AH594" s="197"/>
      <c r="AI594" s="197"/>
      <c r="AJ594" s="197"/>
      <c r="AK594" s="197"/>
      <c r="AL594" s="197"/>
      <c r="AM594" s="197"/>
      <c r="AN594" s="197"/>
      <c r="AO594" s="197"/>
      <c r="AP594" s="197"/>
      <c r="AQ594" s="197"/>
      <c r="AR594" s="197"/>
      <c r="AS594" s="197"/>
      <c r="AT594" s="197"/>
      <c r="AU594" s="197"/>
      <c r="AV594" s="197"/>
      <c r="AW594" s="197"/>
    </row>
    <row r="595" spans="28:49" s="196" customFormat="1">
      <c r="AB595" s="201"/>
      <c r="AC595" s="201"/>
      <c r="AD595" s="197"/>
      <c r="AE595" s="197"/>
      <c r="AF595" s="197"/>
      <c r="AG595" s="197"/>
      <c r="AH595" s="197"/>
      <c r="AI595" s="197"/>
      <c r="AJ595" s="197"/>
      <c r="AK595" s="197"/>
      <c r="AL595" s="197"/>
      <c r="AM595" s="197"/>
      <c r="AN595" s="197"/>
      <c r="AO595" s="197"/>
      <c r="AP595" s="197"/>
      <c r="AQ595" s="197"/>
      <c r="AR595" s="197"/>
      <c r="AS595" s="197"/>
      <c r="AT595" s="197"/>
      <c r="AU595" s="197"/>
      <c r="AV595" s="197"/>
      <c r="AW595" s="197"/>
    </row>
    <row r="596" spans="28:49" s="196" customFormat="1">
      <c r="AB596" s="201"/>
      <c r="AC596" s="201"/>
      <c r="AD596" s="197"/>
      <c r="AE596" s="197"/>
      <c r="AF596" s="197"/>
      <c r="AG596" s="197"/>
      <c r="AH596" s="197"/>
      <c r="AI596" s="197"/>
      <c r="AJ596" s="197"/>
      <c r="AK596" s="197"/>
      <c r="AL596" s="197"/>
      <c r="AM596" s="197"/>
      <c r="AN596" s="197"/>
      <c r="AO596" s="197"/>
      <c r="AP596" s="197"/>
      <c r="AQ596" s="197"/>
      <c r="AR596" s="197"/>
      <c r="AS596" s="197"/>
      <c r="AT596" s="197"/>
      <c r="AU596" s="197"/>
      <c r="AV596" s="197"/>
      <c r="AW596" s="197"/>
    </row>
    <row r="597" spans="28:49" s="196" customFormat="1">
      <c r="AB597" s="201"/>
      <c r="AC597" s="201"/>
      <c r="AD597" s="197"/>
      <c r="AE597" s="197"/>
      <c r="AF597" s="197"/>
      <c r="AG597" s="197"/>
      <c r="AH597" s="197"/>
      <c r="AI597" s="197"/>
      <c r="AJ597" s="197"/>
      <c r="AK597" s="197"/>
      <c r="AL597" s="197"/>
      <c r="AM597" s="197"/>
      <c r="AN597" s="197"/>
      <c r="AO597" s="197"/>
      <c r="AP597" s="197"/>
      <c r="AQ597" s="197"/>
      <c r="AR597" s="197"/>
      <c r="AS597" s="197"/>
      <c r="AT597" s="197"/>
      <c r="AU597" s="197"/>
      <c r="AV597" s="197"/>
      <c r="AW597" s="197"/>
    </row>
    <row r="598" spans="28:49" s="196" customFormat="1">
      <c r="AB598" s="201"/>
      <c r="AC598" s="201"/>
      <c r="AD598" s="197"/>
      <c r="AE598" s="197"/>
      <c r="AF598" s="197"/>
      <c r="AG598" s="197"/>
      <c r="AH598" s="197"/>
      <c r="AI598" s="197"/>
      <c r="AJ598" s="197"/>
      <c r="AK598" s="197"/>
      <c r="AL598" s="197"/>
      <c r="AM598" s="197"/>
      <c r="AN598" s="197"/>
      <c r="AO598" s="197"/>
      <c r="AP598" s="197"/>
      <c r="AQ598" s="197"/>
      <c r="AR598" s="197"/>
      <c r="AS598" s="197"/>
      <c r="AT598" s="197"/>
      <c r="AU598" s="197"/>
      <c r="AV598" s="197"/>
      <c r="AW598" s="197"/>
    </row>
    <row r="599" spans="28:49" s="196" customFormat="1">
      <c r="AB599" s="201"/>
      <c r="AC599" s="201"/>
      <c r="AD599" s="197"/>
      <c r="AE599" s="197"/>
      <c r="AF599" s="197"/>
      <c r="AG599" s="197"/>
      <c r="AH599" s="197"/>
      <c r="AI599" s="197"/>
      <c r="AJ599" s="197"/>
      <c r="AK599" s="197"/>
      <c r="AL599" s="197"/>
      <c r="AM599" s="197"/>
      <c r="AN599" s="197"/>
      <c r="AO599" s="197"/>
      <c r="AP599" s="197"/>
      <c r="AQ599" s="197"/>
      <c r="AR599" s="197"/>
      <c r="AS599" s="197"/>
      <c r="AT599" s="197"/>
      <c r="AU599" s="197"/>
      <c r="AV599" s="197"/>
      <c r="AW599" s="197"/>
    </row>
    <row r="600" spans="28:49" s="196" customFormat="1">
      <c r="AB600" s="201"/>
      <c r="AC600" s="201"/>
      <c r="AD600" s="197"/>
      <c r="AE600" s="197"/>
      <c r="AF600" s="197"/>
      <c r="AG600" s="197"/>
      <c r="AH600" s="197"/>
      <c r="AI600" s="197"/>
      <c r="AJ600" s="197"/>
      <c r="AK600" s="197"/>
      <c r="AL600" s="197"/>
      <c r="AM600" s="197"/>
      <c r="AN600" s="197"/>
      <c r="AO600" s="197"/>
      <c r="AP600" s="197"/>
      <c r="AQ600" s="197"/>
      <c r="AR600" s="197"/>
      <c r="AS600" s="197"/>
      <c r="AT600" s="197"/>
      <c r="AU600" s="197"/>
      <c r="AV600" s="197"/>
      <c r="AW600" s="197"/>
    </row>
    <row r="601" spans="28:49" s="196" customFormat="1">
      <c r="AB601" s="201"/>
      <c r="AC601" s="201"/>
      <c r="AD601" s="197"/>
      <c r="AE601" s="197"/>
      <c r="AF601" s="197"/>
      <c r="AG601" s="197"/>
      <c r="AH601" s="197"/>
      <c r="AI601" s="197"/>
      <c r="AJ601" s="197"/>
      <c r="AK601" s="197"/>
      <c r="AL601" s="197"/>
      <c r="AM601" s="197"/>
      <c r="AN601" s="197"/>
      <c r="AO601" s="197"/>
      <c r="AP601" s="197"/>
      <c r="AQ601" s="197"/>
      <c r="AR601" s="197"/>
      <c r="AS601" s="197"/>
      <c r="AT601" s="197"/>
      <c r="AU601" s="197"/>
      <c r="AV601" s="197"/>
      <c r="AW601" s="197"/>
    </row>
    <row r="602" spans="28:49" s="196" customFormat="1">
      <c r="AB602" s="201"/>
      <c r="AC602" s="201"/>
      <c r="AD602" s="197"/>
      <c r="AE602" s="197"/>
      <c r="AF602" s="197"/>
      <c r="AG602" s="197"/>
      <c r="AH602" s="197"/>
      <c r="AI602" s="197"/>
      <c r="AJ602" s="197"/>
      <c r="AK602" s="197"/>
      <c r="AL602" s="197"/>
      <c r="AM602" s="197"/>
      <c r="AN602" s="197"/>
      <c r="AO602" s="197"/>
      <c r="AP602" s="197"/>
      <c r="AQ602" s="197"/>
      <c r="AR602" s="197"/>
      <c r="AS602" s="197"/>
      <c r="AT602" s="197"/>
      <c r="AU602" s="197"/>
      <c r="AV602" s="197"/>
      <c r="AW602" s="197"/>
    </row>
    <row r="603" spans="28:49" s="196" customFormat="1">
      <c r="AB603" s="201"/>
      <c r="AC603" s="201"/>
      <c r="AD603" s="197"/>
      <c r="AE603" s="197"/>
      <c r="AF603" s="197"/>
      <c r="AG603" s="197"/>
      <c r="AH603" s="197"/>
      <c r="AI603" s="197"/>
      <c r="AJ603" s="197"/>
      <c r="AK603" s="197"/>
      <c r="AL603" s="197"/>
      <c r="AM603" s="197"/>
      <c r="AN603" s="197"/>
      <c r="AO603" s="197"/>
      <c r="AP603" s="197"/>
      <c r="AQ603" s="197"/>
      <c r="AR603" s="197"/>
      <c r="AS603" s="197"/>
      <c r="AT603" s="197"/>
      <c r="AU603" s="197"/>
      <c r="AV603" s="197"/>
      <c r="AW603" s="197"/>
    </row>
    <row r="604" spans="28:49" s="196" customFormat="1">
      <c r="AB604" s="201"/>
      <c r="AC604" s="201"/>
      <c r="AD604" s="197"/>
      <c r="AE604" s="197"/>
      <c r="AF604" s="197"/>
      <c r="AG604" s="197"/>
      <c r="AH604" s="197"/>
      <c r="AI604" s="197"/>
      <c r="AJ604" s="197"/>
      <c r="AK604" s="197"/>
      <c r="AL604" s="197"/>
      <c r="AM604" s="197"/>
      <c r="AN604" s="197"/>
      <c r="AO604" s="197"/>
      <c r="AP604" s="197"/>
      <c r="AQ604" s="197"/>
      <c r="AR604" s="197"/>
      <c r="AS604" s="197"/>
      <c r="AT604" s="197"/>
      <c r="AU604" s="197"/>
      <c r="AV604" s="197"/>
      <c r="AW604" s="197"/>
    </row>
    <row r="605" spans="28:49" s="196" customFormat="1">
      <c r="AB605" s="201"/>
      <c r="AC605" s="201"/>
      <c r="AD605" s="197"/>
      <c r="AE605" s="197"/>
      <c r="AF605" s="197"/>
      <c r="AG605" s="197"/>
      <c r="AH605" s="197"/>
      <c r="AI605" s="197"/>
      <c r="AJ605" s="197"/>
      <c r="AK605" s="197"/>
      <c r="AL605" s="197"/>
      <c r="AM605" s="197"/>
      <c r="AN605" s="197"/>
      <c r="AO605" s="197"/>
      <c r="AP605" s="197"/>
      <c r="AQ605" s="197"/>
      <c r="AR605" s="197"/>
      <c r="AS605" s="197"/>
      <c r="AT605" s="197"/>
      <c r="AU605" s="197"/>
      <c r="AV605" s="197"/>
      <c r="AW605" s="197"/>
    </row>
    <row r="606" spans="28:49" s="196" customFormat="1">
      <c r="AB606" s="201"/>
      <c r="AC606" s="201"/>
      <c r="AD606" s="197"/>
      <c r="AE606" s="197"/>
      <c r="AF606" s="197"/>
      <c r="AG606" s="197"/>
      <c r="AH606" s="197"/>
      <c r="AI606" s="197"/>
      <c r="AJ606" s="197"/>
      <c r="AK606" s="197"/>
      <c r="AL606" s="197"/>
      <c r="AM606" s="197"/>
      <c r="AN606" s="197"/>
      <c r="AO606" s="197"/>
      <c r="AP606" s="197"/>
      <c r="AQ606" s="197"/>
      <c r="AR606" s="197"/>
      <c r="AS606" s="197"/>
      <c r="AT606" s="197"/>
      <c r="AU606" s="197"/>
      <c r="AV606" s="197"/>
      <c r="AW606" s="197"/>
    </row>
    <row r="607" spans="28:49" s="196" customFormat="1">
      <c r="AB607" s="201"/>
      <c r="AC607" s="201"/>
      <c r="AD607" s="197"/>
      <c r="AE607" s="197"/>
      <c r="AF607" s="197"/>
      <c r="AG607" s="197"/>
      <c r="AH607" s="197"/>
      <c r="AI607" s="197"/>
      <c r="AJ607" s="197"/>
      <c r="AK607" s="197"/>
      <c r="AL607" s="197"/>
      <c r="AM607" s="197"/>
      <c r="AN607" s="197"/>
      <c r="AO607" s="197"/>
      <c r="AP607" s="197"/>
      <c r="AQ607" s="197"/>
      <c r="AR607" s="197"/>
      <c r="AS607" s="197"/>
      <c r="AT607" s="197"/>
      <c r="AU607" s="197"/>
      <c r="AV607" s="197"/>
      <c r="AW607" s="197"/>
    </row>
    <row r="608" spans="28:49" s="196" customFormat="1">
      <c r="AB608" s="201"/>
      <c r="AC608" s="201"/>
      <c r="AD608" s="197"/>
      <c r="AE608" s="197"/>
      <c r="AF608" s="197"/>
      <c r="AG608" s="197"/>
      <c r="AH608" s="197"/>
      <c r="AI608" s="197"/>
      <c r="AJ608" s="197"/>
      <c r="AK608" s="197"/>
      <c r="AL608" s="197"/>
      <c r="AM608" s="197"/>
      <c r="AN608" s="197"/>
      <c r="AO608" s="197"/>
      <c r="AP608" s="197"/>
      <c r="AQ608" s="197"/>
      <c r="AR608" s="197"/>
      <c r="AS608" s="197"/>
      <c r="AT608" s="197"/>
      <c r="AU608" s="197"/>
      <c r="AV608" s="197"/>
      <c r="AW608" s="197"/>
    </row>
    <row r="609" spans="28:49" s="196" customFormat="1">
      <c r="AB609" s="201"/>
      <c r="AC609" s="201"/>
      <c r="AD609" s="197"/>
      <c r="AE609" s="197"/>
      <c r="AF609" s="197"/>
      <c r="AG609" s="197"/>
      <c r="AH609" s="197"/>
      <c r="AI609" s="197"/>
      <c r="AJ609" s="197"/>
      <c r="AK609" s="197"/>
      <c r="AL609" s="197"/>
      <c r="AM609" s="197"/>
      <c r="AN609" s="197"/>
      <c r="AO609" s="197"/>
      <c r="AP609" s="197"/>
      <c r="AQ609" s="197"/>
      <c r="AR609" s="197"/>
      <c r="AS609" s="197"/>
      <c r="AT609" s="197"/>
      <c r="AU609" s="197"/>
      <c r="AV609" s="197"/>
      <c r="AW609" s="197"/>
    </row>
    <row r="610" spans="28:49" s="196" customFormat="1">
      <c r="AB610" s="201"/>
      <c r="AC610" s="201"/>
      <c r="AD610" s="197"/>
      <c r="AE610" s="197"/>
      <c r="AF610" s="197"/>
      <c r="AG610" s="197"/>
      <c r="AH610" s="197"/>
      <c r="AI610" s="197"/>
      <c r="AJ610" s="197"/>
      <c r="AK610" s="197"/>
      <c r="AL610" s="197"/>
      <c r="AM610" s="197"/>
      <c r="AN610" s="197"/>
      <c r="AO610" s="197"/>
      <c r="AP610" s="197"/>
      <c r="AQ610" s="197"/>
      <c r="AR610" s="197"/>
      <c r="AS610" s="197"/>
      <c r="AT610" s="197"/>
      <c r="AU610" s="197"/>
      <c r="AV610" s="197"/>
      <c r="AW610" s="197"/>
    </row>
    <row r="611" spans="28:49" s="196" customFormat="1">
      <c r="AB611" s="201"/>
      <c r="AC611" s="201"/>
      <c r="AD611" s="197"/>
      <c r="AE611" s="197"/>
      <c r="AF611" s="197"/>
      <c r="AG611" s="197"/>
      <c r="AH611" s="197"/>
      <c r="AI611" s="197"/>
      <c r="AJ611" s="197"/>
      <c r="AK611" s="197"/>
      <c r="AL611" s="197"/>
      <c r="AM611" s="197"/>
      <c r="AN611" s="197"/>
      <c r="AO611" s="197"/>
      <c r="AP611" s="197"/>
      <c r="AQ611" s="197"/>
      <c r="AR611" s="197"/>
      <c r="AS611" s="197"/>
      <c r="AT611" s="197"/>
      <c r="AU611" s="197"/>
      <c r="AV611" s="197"/>
      <c r="AW611" s="197"/>
    </row>
    <row r="612" spans="28:49" s="196" customFormat="1">
      <c r="AB612" s="201"/>
      <c r="AC612" s="201"/>
      <c r="AD612" s="197"/>
      <c r="AE612" s="197"/>
      <c r="AF612" s="197"/>
      <c r="AG612" s="197"/>
      <c r="AH612" s="197"/>
      <c r="AI612" s="197"/>
      <c r="AJ612" s="197"/>
      <c r="AK612" s="197"/>
      <c r="AL612" s="197"/>
      <c r="AM612" s="197"/>
      <c r="AN612" s="197"/>
      <c r="AO612" s="197"/>
      <c r="AP612" s="197"/>
      <c r="AQ612" s="197"/>
      <c r="AR612" s="197"/>
      <c r="AS612" s="197"/>
      <c r="AT612" s="197"/>
      <c r="AU612" s="197"/>
      <c r="AV612" s="197"/>
      <c r="AW612" s="197"/>
    </row>
    <row r="613" spans="28:49" s="196" customFormat="1">
      <c r="AB613" s="201"/>
      <c r="AC613" s="201"/>
      <c r="AD613" s="197"/>
      <c r="AE613" s="197"/>
      <c r="AF613" s="197"/>
      <c r="AG613" s="197"/>
      <c r="AH613" s="197"/>
      <c r="AI613" s="197"/>
      <c r="AJ613" s="197"/>
      <c r="AK613" s="197"/>
      <c r="AL613" s="197"/>
      <c r="AM613" s="197"/>
      <c r="AN613" s="197"/>
      <c r="AO613" s="197"/>
      <c r="AP613" s="197"/>
      <c r="AQ613" s="197"/>
      <c r="AR613" s="197"/>
      <c r="AS613" s="197"/>
      <c r="AT613" s="197"/>
      <c r="AU613" s="197"/>
      <c r="AV613" s="197"/>
      <c r="AW613" s="197"/>
    </row>
    <row r="614" spans="28:49" s="196" customFormat="1">
      <c r="AB614" s="201"/>
      <c r="AC614" s="201"/>
      <c r="AD614" s="197"/>
      <c r="AE614" s="197"/>
      <c r="AF614" s="197"/>
      <c r="AG614" s="197"/>
      <c r="AH614" s="197"/>
      <c r="AI614" s="197"/>
      <c r="AJ614" s="197"/>
      <c r="AK614" s="197"/>
      <c r="AL614" s="197"/>
      <c r="AM614" s="197"/>
      <c r="AN614" s="197"/>
      <c r="AO614" s="197"/>
      <c r="AP614" s="197"/>
      <c r="AQ614" s="197"/>
      <c r="AR614" s="197"/>
      <c r="AS614" s="197"/>
      <c r="AT614" s="197"/>
      <c r="AU614" s="197"/>
      <c r="AV614" s="197"/>
      <c r="AW614" s="197"/>
    </row>
    <row r="615" spans="28:49" s="196" customFormat="1">
      <c r="AB615" s="201"/>
      <c r="AC615" s="201"/>
      <c r="AD615" s="197"/>
      <c r="AE615" s="197"/>
      <c r="AF615" s="197"/>
      <c r="AG615" s="197"/>
      <c r="AH615" s="197"/>
      <c r="AI615" s="197"/>
      <c r="AJ615" s="197"/>
      <c r="AK615" s="197"/>
      <c r="AL615" s="197"/>
      <c r="AM615" s="197"/>
      <c r="AN615" s="197"/>
      <c r="AO615" s="197"/>
      <c r="AP615" s="197"/>
      <c r="AQ615" s="197"/>
      <c r="AR615" s="197"/>
      <c r="AS615" s="197"/>
      <c r="AT615" s="197"/>
      <c r="AU615" s="197"/>
      <c r="AV615" s="197"/>
      <c r="AW615" s="197"/>
    </row>
    <row r="616" spans="28:49" s="196" customFormat="1">
      <c r="AB616" s="201"/>
      <c r="AC616" s="201"/>
      <c r="AD616" s="197"/>
      <c r="AE616" s="197"/>
      <c r="AF616" s="197"/>
      <c r="AG616" s="197"/>
      <c r="AH616" s="197"/>
      <c r="AI616" s="197"/>
      <c r="AJ616" s="197"/>
      <c r="AK616" s="197"/>
      <c r="AL616" s="197"/>
      <c r="AM616" s="197"/>
      <c r="AN616" s="197"/>
      <c r="AO616" s="197"/>
      <c r="AP616" s="197"/>
      <c r="AQ616" s="197"/>
      <c r="AR616" s="197"/>
      <c r="AS616" s="197"/>
      <c r="AT616" s="197"/>
      <c r="AU616" s="197"/>
      <c r="AV616" s="197"/>
      <c r="AW616" s="197"/>
    </row>
    <row r="617" spans="28:49" s="196" customFormat="1">
      <c r="AB617" s="201"/>
      <c r="AC617" s="201"/>
      <c r="AD617" s="197"/>
      <c r="AE617" s="197"/>
      <c r="AF617" s="197"/>
      <c r="AG617" s="197"/>
      <c r="AH617" s="197"/>
      <c r="AI617" s="197"/>
      <c r="AJ617" s="197"/>
      <c r="AK617" s="197"/>
      <c r="AL617" s="197"/>
      <c r="AM617" s="197"/>
      <c r="AN617" s="197"/>
      <c r="AO617" s="197"/>
      <c r="AP617" s="197"/>
      <c r="AQ617" s="197"/>
      <c r="AR617" s="197"/>
      <c r="AS617" s="197"/>
      <c r="AT617" s="197"/>
      <c r="AU617" s="197"/>
      <c r="AV617" s="197"/>
      <c r="AW617" s="197"/>
    </row>
    <row r="618" spans="28:49" s="196" customFormat="1">
      <c r="AB618" s="201"/>
      <c r="AC618" s="201"/>
      <c r="AD618" s="197"/>
      <c r="AE618" s="197"/>
      <c r="AF618" s="197"/>
      <c r="AG618" s="197"/>
      <c r="AH618" s="197"/>
      <c r="AI618" s="197"/>
      <c r="AJ618" s="197"/>
      <c r="AK618" s="197"/>
      <c r="AL618" s="197"/>
      <c r="AM618" s="197"/>
      <c r="AN618" s="197"/>
      <c r="AO618" s="197"/>
      <c r="AP618" s="197"/>
      <c r="AQ618" s="197"/>
      <c r="AR618" s="197"/>
      <c r="AS618" s="197"/>
      <c r="AT618" s="197"/>
      <c r="AU618" s="197"/>
      <c r="AV618" s="197"/>
      <c r="AW618" s="197"/>
    </row>
    <row r="619" spans="28:49" s="196" customFormat="1">
      <c r="AB619" s="201"/>
      <c r="AC619" s="201"/>
      <c r="AD619" s="197"/>
      <c r="AE619" s="197"/>
      <c r="AF619" s="197"/>
      <c r="AG619" s="197"/>
      <c r="AH619" s="197"/>
      <c r="AI619" s="197"/>
      <c r="AJ619" s="197"/>
      <c r="AK619" s="197"/>
      <c r="AL619" s="197"/>
      <c r="AM619" s="197"/>
      <c r="AN619" s="197"/>
      <c r="AO619" s="197"/>
      <c r="AP619" s="197"/>
      <c r="AQ619" s="197"/>
      <c r="AR619" s="197"/>
      <c r="AS619" s="197"/>
      <c r="AT619" s="197"/>
      <c r="AU619" s="197"/>
      <c r="AV619" s="197"/>
      <c r="AW619" s="197"/>
    </row>
    <row r="620" spans="28:49" s="196" customFormat="1">
      <c r="AB620" s="201"/>
      <c r="AC620" s="201"/>
      <c r="AD620" s="197"/>
      <c r="AE620" s="197"/>
      <c r="AF620" s="197"/>
      <c r="AG620" s="197"/>
      <c r="AH620" s="197"/>
      <c r="AI620" s="197"/>
      <c r="AJ620" s="197"/>
      <c r="AK620" s="197"/>
      <c r="AL620" s="197"/>
      <c r="AM620" s="197"/>
      <c r="AN620" s="197"/>
      <c r="AO620" s="197"/>
      <c r="AP620" s="197"/>
      <c r="AQ620" s="197"/>
      <c r="AR620" s="197"/>
      <c r="AS620" s="197"/>
      <c r="AT620" s="197"/>
      <c r="AU620" s="197"/>
      <c r="AV620" s="197"/>
      <c r="AW620" s="197"/>
    </row>
    <row r="621" spans="28:49" s="196" customFormat="1">
      <c r="AB621" s="201"/>
      <c r="AC621" s="201"/>
      <c r="AD621" s="197"/>
      <c r="AE621" s="197"/>
      <c r="AF621" s="197"/>
      <c r="AG621" s="197"/>
      <c r="AH621" s="197"/>
      <c r="AI621" s="197"/>
      <c r="AJ621" s="197"/>
      <c r="AK621" s="197"/>
      <c r="AL621" s="197"/>
      <c r="AM621" s="197"/>
      <c r="AN621" s="197"/>
      <c r="AO621" s="197"/>
      <c r="AP621" s="197"/>
      <c r="AQ621" s="197"/>
      <c r="AR621" s="197"/>
      <c r="AS621" s="197"/>
      <c r="AT621" s="197"/>
      <c r="AU621" s="197"/>
      <c r="AV621" s="197"/>
      <c r="AW621" s="197"/>
    </row>
    <row r="622" spans="28:49" s="196" customFormat="1">
      <c r="AB622" s="201"/>
      <c r="AC622" s="201"/>
      <c r="AD622" s="197"/>
      <c r="AE622" s="197"/>
      <c r="AF622" s="197"/>
      <c r="AG622" s="197"/>
      <c r="AH622" s="197"/>
      <c r="AI622" s="197"/>
      <c r="AJ622" s="197"/>
      <c r="AK622" s="197"/>
      <c r="AL622" s="197"/>
      <c r="AM622" s="197"/>
      <c r="AN622" s="197"/>
      <c r="AO622" s="197"/>
      <c r="AP622" s="197"/>
      <c r="AQ622" s="197"/>
      <c r="AR622" s="197"/>
      <c r="AS622" s="197"/>
      <c r="AT622" s="197"/>
      <c r="AU622" s="197"/>
      <c r="AV622" s="197"/>
      <c r="AW622" s="197"/>
    </row>
    <row r="623" spans="28:49" s="196" customFormat="1">
      <c r="AB623" s="201"/>
      <c r="AC623" s="201"/>
      <c r="AD623" s="197"/>
      <c r="AE623" s="197"/>
      <c r="AF623" s="197"/>
      <c r="AG623" s="197"/>
      <c r="AH623" s="197"/>
      <c r="AI623" s="197"/>
      <c r="AJ623" s="197"/>
      <c r="AK623" s="197"/>
      <c r="AL623" s="197"/>
      <c r="AM623" s="197"/>
      <c r="AN623" s="197"/>
      <c r="AO623" s="197"/>
      <c r="AP623" s="197"/>
      <c r="AQ623" s="197"/>
      <c r="AR623" s="197"/>
      <c r="AS623" s="197"/>
      <c r="AT623" s="197"/>
      <c r="AU623" s="197"/>
      <c r="AV623" s="197"/>
      <c r="AW623" s="197"/>
    </row>
    <row r="624" spans="28:49" s="196" customFormat="1">
      <c r="AB624" s="201"/>
      <c r="AC624" s="201"/>
      <c r="AD624" s="197"/>
      <c r="AE624" s="197"/>
      <c r="AF624" s="197"/>
      <c r="AG624" s="197"/>
      <c r="AH624" s="197"/>
      <c r="AI624" s="197"/>
      <c r="AJ624" s="197"/>
      <c r="AK624" s="197"/>
      <c r="AL624" s="197"/>
      <c r="AM624" s="197"/>
      <c r="AN624" s="197"/>
      <c r="AO624" s="197"/>
      <c r="AP624" s="197"/>
      <c r="AQ624" s="197"/>
      <c r="AR624" s="197"/>
      <c r="AS624" s="197"/>
      <c r="AT624" s="197"/>
      <c r="AU624" s="197"/>
      <c r="AV624" s="197"/>
      <c r="AW624" s="197"/>
    </row>
    <row r="625" spans="28:49" s="196" customFormat="1">
      <c r="AB625" s="201"/>
      <c r="AC625" s="201"/>
      <c r="AD625" s="197"/>
      <c r="AE625" s="197"/>
      <c r="AF625" s="197"/>
      <c r="AG625" s="197"/>
      <c r="AH625" s="197"/>
      <c r="AI625" s="197"/>
      <c r="AJ625" s="197"/>
      <c r="AK625" s="197"/>
      <c r="AL625" s="197"/>
      <c r="AM625" s="197"/>
      <c r="AN625" s="197"/>
      <c r="AO625" s="197"/>
      <c r="AP625" s="197"/>
      <c r="AQ625" s="197"/>
      <c r="AR625" s="197"/>
      <c r="AS625" s="197"/>
      <c r="AT625" s="197"/>
      <c r="AU625" s="197"/>
      <c r="AV625" s="197"/>
      <c r="AW625" s="197"/>
    </row>
    <row r="626" spans="28:49" s="196" customFormat="1">
      <c r="AB626" s="201"/>
      <c r="AC626" s="201"/>
      <c r="AD626" s="197"/>
      <c r="AE626" s="197"/>
      <c r="AF626" s="197"/>
      <c r="AG626" s="197"/>
      <c r="AH626" s="197"/>
      <c r="AI626" s="197"/>
      <c r="AJ626" s="197"/>
      <c r="AK626" s="197"/>
      <c r="AL626" s="197"/>
      <c r="AM626" s="197"/>
      <c r="AN626" s="197"/>
      <c r="AO626" s="197"/>
      <c r="AP626" s="197"/>
      <c r="AQ626" s="197"/>
      <c r="AR626" s="197"/>
      <c r="AS626" s="197"/>
      <c r="AT626" s="197"/>
      <c r="AU626" s="197"/>
      <c r="AV626" s="197"/>
      <c r="AW626" s="197"/>
    </row>
    <row r="627" spans="28:49" s="196" customFormat="1">
      <c r="AB627" s="201"/>
      <c r="AC627" s="201"/>
      <c r="AD627" s="197"/>
      <c r="AE627" s="197"/>
      <c r="AF627" s="197"/>
      <c r="AG627" s="197"/>
      <c r="AH627" s="197"/>
      <c r="AI627" s="197"/>
      <c r="AJ627" s="197"/>
      <c r="AK627" s="197"/>
      <c r="AL627" s="197"/>
      <c r="AM627" s="197"/>
      <c r="AN627" s="197"/>
      <c r="AO627" s="197"/>
      <c r="AP627" s="197"/>
      <c r="AQ627" s="197"/>
      <c r="AR627" s="197"/>
      <c r="AS627" s="197"/>
      <c r="AT627" s="197"/>
      <c r="AU627" s="197"/>
      <c r="AV627" s="197"/>
      <c r="AW627" s="197"/>
    </row>
    <row r="628" spans="28:49" s="196" customFormat="1">
      <c r="AB628" s="201"/>
      <c r="AC628" s="201"/>
      <c r="AD628" s="197"/>
      <c r="AE628" s="197"/>
      <c r="AF628" s="197"/>
      <c r="AG628" s="197"/>
      <c r="AH628" s="197"/>
      <c r="AI628" s="197"/>
      <c r="AJ628" s="197"/>
      <c r="AK628" s="197"/>
      <c r="AL628" s="197"/>
      <c r="AM628" s="197"/>
      <c r="AN628" s="197"/>
      <c r="AO628" s="197"/>
      <c r="AP628" s="197"/>
      <c r="AQ628" s="197"/>
      <c r="AR628" s="197"/>
      <c r="AS628" s="197"/>
      <c r="AT628" s="197"/>
      <c r="AU628" s="197"/>
      <c r="AV628" s="197"/>
      <c r="AW628" s="197"/>
    </row>
    <row r="629" spans="28:49" s="196" customFormat="1">
      <c r="AB629" s="201"/>
      <c r="AC629" s="201"/>
      <c r="AD629" s="197"/>
      <c r="AE629" s="197"/>
      <c r="AF629" s="197"/>
      <c r="AG629" s="197"/>
      <c r="AH629" s="197"/>
      <c r="AI629" s="197"/>
      <c r="AJ629" s="197"/>
      <c r="AK629" s="197"/>
      <c r="AL629" s="197"/>
      <c r="AM629" s="197"/>
      <c r="AN629" s="197"/>
      <c r="AO629" s="197"/>
      <c r="AP629" s="197"/>
      <c r="AQ629" s="197"/>
      <c r="AR629" s="197"/>
      <c r="AS629" s="197"/>
      <c r="AT629" s="197"/>
      <c r="AU629" s="197"/>
      <c r="AV629" s="197"/>
      <c r="AW629" s="197"/>
    </row>
    <row r="630" spans="28:49" s="196" customFormat="1">
      <c r="AB630" s="201"/>
      <c r="AC630" s="201"/>
      <c r="AD630" s="197"/>
      <c r="AE630" s="197"/>
      <c r="AF630" s="197"/>
      <c r="AG630" s="197"/>
      <c r="AH630" s="197"/>
      <c r="AI630" s="197"/>
      <c r="AJ630" s="197"/>
      <c r="AK630" s="197"/>
      <c r="AL630" s="197"/>
      <c r="AM630" s="197"/>
      <c r="AN630" s="197"/>
      <c r="AO630" s="197"/>
      <c r="AP630" s="197"/>
      <c r="AQ630" s="197"/>
      <c r="AR630" s="197"/>
      <c r="AS630" s="197"/>
      <c r="AT630" s="197"/>
      <c r="AU630" s="197"/>
      <c r="AV630" s="197"/>
      <c r="AW630" s="197"/>
    </row>
    <row r="631" spans="28:49" s="196" customFormat="1">
      <c r="AB631" s="201"/>
      <c r="AC631" s="201"/>
      <c r="AD631" s="197"/>
      <c r="AE631" s="197"/>
      <c r="AF631" s="197"/>
      <c r="AG631" s="197"/>
      <c r="AH631" s="197"/>
      <c r="AI631" s="197"/>
      <c r="AJ631" s="197"/>
      <c r="AK631" s="197"/>
      <c r="AL631" s="197"/>
      <c r="AM631" s="197"/>
      <c r="AN631" s="197"/>
      <c r="AO631" s="197"/>
      <c r="AP631" s="197"/>
      <c r="AQ631" s="197"/>
      <c r="AR631" s="197"/>
      <c r="AS631" s="197"/>
      <c r="AT631" s="197"/>
      <c r="AU631" s="197"/>
      <c r="AV631" s="197"/>
      <c r="AW631" s="197"/>
    </row>
    <row r="632" spans="28:49" s="196" customFormat="1">
      <c r="AB632" s="201"/>
      <c r="AC632" s="201"/>
      <c r="AD632" s="197"/>
      <c r="AE632" s="197"/>
      <c r="AF632" s="197"/>
      <c r="AG632" s="197"/>
      <c r="AH632" s="197"/>
      <c r="AI632" s="197"/>
      <c r="AJ632" s="197"/>
      <c r="AK632" s="197"/>
      <c r="AL632" s="197"/>
      <c r="AM632" s="197"/>
      <c r="AN632" s="197"/>
      <c r="AO632" s="197"/>
      <c r="AP632" s="197"/>
      <c r="AQ632" s="197"/>
      <c r="AR632" s="197"/>
      <c r="AS632" s="197"/>
      <c r="AT632" s="197"/>
      <c r="AU632" s="197"/>
      <c r="AV632" s="197"/>
      <c r="AW632" s="197"/>
    </row>
    <row r="633" spans="28:49" s="196" customFormat="1">
      <c r="AB633" s="201"/>
      <c r="AC633" s="201"/>
      <c r="AD633" s="197"/>
      <c r="AE633" s="197"/>
      <c r="AF633" s="197"/>
      <c r="AG633" s="197"/>
      <c r="AH633" s="197"/>
      <c r="AI633" s="197"/>
      <c r="AJ633" s="197"/>
      <c r="AK633" s="197"/>
      <c r="AL633" s="197"/>
      <c r="AM633" s="197"/>
      <c r="AN633" s="197"/>
      <c r="AO633" s="197"/>
      <c r="AP633" s="197"/>
      <c r="AQ633" s="197"/>
      <c r="AR633" s="197"/>
      <c r="AS633" s="197"/>
      <c r="AT633" s="197"/>
      <c r="AU633" s="197"/>
      <c r="AV633" s="197"/>
      <c r="AW633" s="197"/>
    </row>
    <row r="634" spans="28:49" s="196" customFormat="1">
      <c r="AB634" s="201"/>
      <c r="AC634" s="201"/>
      <c r="AD634" s="197"/>
      <c r="AE634" s="197"/>
      <c r="AF634" s="197"/>
      <c r="AG634" s="197"/>
      <c r="AH634" s="197"/>
      <c r="AI634" s="197"/>
      <c r="AJ634" s="197"/>
      <c r="AK634" s="197"/>
      <c r="AL634" s="197"/>
      <c r="AM634" s="197"/>
      <c r="AN634" s="197"/>
      <c r="AO634" s="197"/>
      <c r="AP634" s="197"/>
      <c r="AQ634" s="197"/>
      <c r="AR634" s="197"/>
      <c r="AS634" s="197"/>
      <c r="AT634" s="197"/>
      <c r="AU634" s="197"/>
      <c r="AV634" s="197"/>
      <c r="AW634" s="197"/>
    </row>
    <row r="635" spans="28:49" s="196" customFormat="1">
      <c r="AB635" s="201"/>
      <c r="AC635" s="201"/>
      <c r="AD635" s="197"/>
      <c r="AE635" s="197"/>
      <c r="AF635" s="197"/>
      <c r="AG635" s="197"/>
      <c r="AH635" s="197"/>
      <c r="AI635" s="197"/>
      <c r="AJ635" s="197"/>
      <c r="AK635" s="197"/>
      <c r="AL635" s="197"/>
      <c r="AM635" s="197"/>
      <c r="AN635" s="197"/>
      <c r="AO635" s="197"/>
      <c r="AP635" s="197"/>
      <c r="AQ635" s="197"/>
      <c r="AR635" s="197"/>
      <c r="AS635" s="197"/>
      <c r="AT635" s="197"/>
      <c r="AU635" s="197"/>
      <c r="AV635" s="197"/>
      <c r="AW635" s="197"/>
    </row>
    <row r="636" spans="28:49" s="196" customFormat="1">
      <c r="AB636" s="201"/>
      <c r="AC636" s="201"/>
      <c r="AD636" s="197"/>
      <c r="AE636" s="197"/>
      <c r="AF636" s="197"/>
      <c r="AG636" s="197"/>
      <c r="AH636" s="197"/>
      <c r="AI636" s="197"/>
      <c r="AJ636" s="197"/>
      <c r="AK636" s="197"/>
      <c r="AL636" s="197"/>
      <c r="AM636" s="197"/>
      <c r="AN636" s="197"/>
      <c r="AO636" s="197"/>
      <c r="AP636" s="197"/>
      <c r="AQ636" s="197"/>
      <c r="AR636" s="197"/>
      <c r="AS636" s="197"/>
      <c r="AT636" s="197"/>
      <c r="AU636" s="197"/>
      <c r="AV636" s="197"/>
      <c r="AW636" s="197"/>
    </row>
    <row r="637" spans="28:49" s="196" customFormat="1">
      <c r="AB637" s="201"/>
      <c r="AC637" s="201"/>
      <c r="AD637" s="197"/>
      <c r="AE637" s="197"/>
      <c r="AF637" s="197"/>
      <c r="AG637" s="197"/>
      <c r="AH637" s="197"/>
      <c r="AI637" s="197"/>
      <c r="AJ637" s="197"/>
      <c r="AK637" s="197"/>
      <c r="AL637" s="197"/>
      <c r="AM637" s="197"/>
      <c r="AN637" s="197"/>
      <c r="AO637" s="197"/>
      <c r="AP637" s="197"/>
      <c r="AQ637" s="197"/>
      <c r="AR637" s="197"/>
      <c r="AS637" s="197"/>
      <c r="AT637" s="197"/>
      <c r="AU637" s="197"/>
      <c r="AV637" s="197"/>
      <c r="AW637" s="197"/>
    </row>
    <row r="638" spans="28:49" s="196" customFormat="1">
      <c r="AB638" s="201"/>
      <c r="AC638" s="201"/>
      <c r="AD638" s="197"/>
      <c r="AE638" s="197"/>
      <c r="AF638" s="197"/>
      <c r="AG638" s="197"/>
      <c r="AH638" s="197"/>
      <c r="AI638" s="197"/>
      <c r="AJ638" s="197"/>
      <c r="AK638" s="197"/>
      <c r="AL638" s="197"/>
      <c r="AM638" s="197"/>
      <c r="AN638" s="197"/>
      <c r="AO638" s="197"/>
      <c r="AP638" s="197"/>
      <c r="AQ638" s="197"/>
      <c r="AR638" s="197"/>
      <c r="AS638" s="197"/>
      <c r="AT638" s="197"/>
      <c r="AU638" s="197"/>
      <c r="AV638" s="197"/>
      <c r="AW638" s="197"/>
    </row>
    <row r="639" spans="28:49" s="196" customFormat="1">
      <c r="AB639" s="201"/>
      <c r="AC639" s="201"/>
      <c r="AD639" s="197"/>
      <c r="AE639" s="197"/>
      <c r="AF639" s="197"/>
      <c r="AG639" s="197"/>
      <c r="AH639" s="197"/>
      <c r="AI639" s="197"/>
      <c r="AJ639" s="197"/>
      <c r="AK639" s="197"/>
      <c r="AL639" s="197"/>
      <c r="AM639" s="197"/>
      <c r="AN639" s="197"/>
      <c r="AO639" s="197"/>
      <c r="AP639" s="197"/>
      <c r="AQ639" s="197"/>
      <c r="AR639" s="197"/>
      <c r="AS639" s="197"/>
      <c r="AT639" s="197"/>
      <c r="AU639" s="197"/>
      <c r="AV639" s="197"/>
      <c r="AW639" s="197"/>
    </row>
    <row r="640" spans="28:49" s="196" customFormat="1">
      <c r="AB640" s="201"/>
      <c r="AC640" s="201"/>
      <c r="AD640" s="197"/>
      <c r="AE640" s="197"/>
      <c r="AF640" s="197"/>
      <c r="AG640" s="197"/>
      <c r="AH640" s="197"/>
      <c r="AI640" s="197"/>
      <c r="AJ640" s="197"/>
      <c r="AK640" s="197"/>
      <c r="AL640" s="197"/>
      <c r="AM640" s="197"/>
      <c r="AN640" s="197"/>
      <c r="AO640" s="197"/>
      <c r="AP640" s="197"/>
      <c r="AQ640" s="197"/>
      <c r="AR640" s="197"/>
      <c r="AS640" s="197"/>
      <c r="AT640" s="197"/>
      <c r="AU640" s="197"/>
      <c r="AV640" s="197"/>
      <c r="AW640" s="197"/>
    </row>
    <row r="641" spans="28:49" s="196" customFormat="1">
      <c r="AB641" s="201"/>
      <c r="AC641" s="201"/>
      <c r="AD641" s="197"/>
      <c r="AE641" s="197"/>
      <c r="AF641" s="197"/>
      <c r="AG641" s="197"/>
      <c r="AH641" s="197"/>
      <c r="AI641" s="197"/>
      <c r="AJ641" s="197"/>
      <c r="AK641" s="197"/>
      <c r="AL641" s="197"/>
      <c r="AM641" s="197"/>
      <c r="AN641" s="197"/>
      <c r="AO641" s="197"/>
      <c r="AP641" s="197"/>
      <c r="AQ641" s="197"/>
      <c r="AR641" s="197"/>
      <c r="AS641" s="197"/>
      <c r="AT641" s="197"/>
      <c r="AU641" s="197"/>
      <c r="AV641" s="197"/>
      <c r="AW641" s="197"/>
    </row>
    <row r="642" spans="28:49" s="196" customFormat="1">
      <c r="AB642" s="201"/>
      <c r="AC642" s="201"/>
      <c r="AD642" s="197"/>
      <c r="AE642" s="197"/>
      <c r="AF642" s="197"/>
      <c r="AG642" s="197"/>
      <c r="AH642" s="197"/>
      <c r="AI642" s="197"/>
      <c r="AJ642" s="197"/>
      <c r="AK642" s="197"/>
      <c r="AL642" s="197"/>
      <c r="AM642" s="197"/>
      <c r="AN642" s="197"/>
      <c r="AO642" s="197"/>
      <c r="AP642" s="197"/>
      <c r="AQ642" s="197"/>
      <c r="AR642" s="197"/>
      <c r="AS642" s="197"/>
      <c r="AT642" s="197"/>
      <c r="AU642" s="197"/>
      <c r="AV642" s="197"/>
      <c r="AW642" s="197"/>
    </row>
    <row r="643" spans="28:49" s="196" customFormat="1">
      <c r="AB643" s="201"/>
      <c r="AC643" s="201"/>
      <c r="AD643" s="197"/>
      <c r="AE643" s="197"/>
      <c r="AF643" s="197"/>
      <c r="AG643" s="197"/>
      <c r="AH643" s="197"/>
      <c r="AI643" s="197"/>
      <c r="AJ643" s="197"/>
      <c r="AK643" s="197"/>
      <c r="AL643" s="197"/>
      <c r="AM643" s="197"/>
      <c r="AN643" s="197"/>
      <c r="AO643" s="197"/>
      <c r="AP643" s="197"/>
      <c r="AQ643" s="197"/>
      <c r="AR643" s="197"/>
      <c r="AS643" s="197"/>
      <c r="AT643" s="197"/>
      <c r="AU643" s="197"/>
      <c r="AV643" s="197"/>
      <c r="AW643" s="197"/>
    </row>
    <row r="644" spans="28:49" s="196" customFormat="1">
      <c r="AB644" s="201"/>
      <c r="AC644" s="201"/>
      <c r="AD644" s="197"/>
      <c r="AE644" s="197"/>
      <c r="AF644" s="197"/>
      <c r="AG644" s="197"/>
      <c r="AH644" s="197"/>
      <c r="AI644" s="197"/>
      <c r="AJ644" s="197"/>
      <c r="AK644" s="197"/>
      <c r="AL644" s="197"/>
      <c r="AM644" s="197"/>
      <c r="AN644" s="197"/>
      <c r="AO644" s="197"/>
      <c r="AP644" s="197"/>
      <c r="AQ644" s="197"/>
      <c r="AR644" s="197"/>
      <c r="AS644" s="197"/>
      <c r="AT644" s="197"/>
      <c r="AU644" s="197"/>
      <c r="AV644" s="197"/>
      <c r="AW644" s="197"/>
    </row>
    <row r="645" spans="28:49" s="196" customFormat="1">
      <c r="AB645" s="201"/>
      <c r="AC645" s="201"/>
      <c r="AD645" s="197"/>
      <c r="AE645" s="197"/>
      <c r="AF645" s="197"/>
      <c r="AG645" s="197"/>
      <c r="AH645" s="197"/>
      <c r="AI645" s="197"/>
      <c r="AJ645" s="197"/>
      <c r="AK645" s="197"/>
      <c r="AL645" s="197"/>
      <c r="AM645" s="197"/>
      <c r="AN645" s="197"/>
      <c r="AO645" s="197"/>
      <c r="AP645" s="197"/>
      <c r="AQ645" s="197"/>
      <c r="AR645" s="197"/>
      <c r="AS645" s="197"/>
      <c r="AT645" s="197"/>
      <c r="AU645" s="197"/>
      <c r="AV645" s="197"/>
      <c r="AW645" s="197"/>
    </row>
    <row r="646" spans="28:49" s="196" customFormat="1">
      <c r="AB646" s="201"/>
      <c r="AC646" s="201"/>
      <c r="AD646" s="197"/>
      <c r="AE646" s="197"/>
      <c r="AF646" s="197"/>
      <c r="AG646" s="197"/>
      <c r="AH646" s="197"/>
      <c r="AI646" s="197"/>
      <c r="AJ646" s="197"/>
      <c r="AK646" s="197"/>
      <c r="AL646" s="197"/>
      <c r="AM646" s="197"/>
      <c r="AN646" s="197"/>
      <c r="AO646" s="197"/>
      <c r="AP646" s="197"/>
      <c r="AQ646" s="197"/>
      <c r="AR646" s="197"/>
      <c r="AS646" s="197"/>
      <c r="AT646" s="197"/>
      <c r="AU646" s="197"/>
      <c r="AV646" s="197"/>
      <c r="AW646" s="197"/>
    </row>
    <row r="647" spans="28:49" s="196" customFormat="1">
      <c r="AB647" s="201"/>
      <c r="AC647" s="201"/>
      <c r="AD647" s="197"/>
      <c r="AE647" s="197"/>
      <c r="AF647" s="197"/>
      <c r="AG647" s="197"/>
      <c r="AH647" s="197"/>
      <c r="AI647" s="197"/>
      <c r="AJ647" s="197"/>
      <c r="AK647" s="197"/>
      <c r="AL647" s="197"/>
      <c r="AM647" s="197"/>
      <c r="AN647" s="197"/>
      <c r="AO647" s="197"/>
      <c r="AP647" s="197"/>
      <c r="AQ647" s="197"/>
      <c r="AR647" s="197"/>
      <c r="AS647" s="197"/>
      <c r="AT647" s="197"/>
      <c r="AU647" s="197"/>
      <c r="AV647" s="197"/>
      <c r="AW647" s="197"/>
    </row>
    <row r="648" spans="28:49" s="196" customFormat="1">
      <c r="AB648" s="201"/>
      <c r="AC648" s="201"/>
      <c r="AD648" s="197"/>
      <c r="AE648" s="197"/>
      <c r="AF648" s="197"/>
      <c r="AG648" s="197"/>
      <c r="AH648" s="197"/>
      <c r="AI648" s="197"/>
      <c r="AJ648" s="197"/>
      <c r="AK648" s="197"/>
      <c r="AL648" s="197"/>
      <c r="AM648" s="197"/>
      <c r="AN648" s="197"/>
      <c r="AO648" s="197"/>
      <c r="AP648" s="197"/>
      <c r="AQ648" s="197"/>
      <c r="AR648" s="197"/>
      <c r="AS648" s="197"/>
      <c r="AT648" s="197"/>
      <c r="AU648" s="197"/>
      <c r="AV648" s="197"/>
      <c r="AW648" s="197"/>
    </row>
    <row r="649" spans="28:49" s="196" customFormat="1">
      <c r="AB649" s="201"/>
      <c r="AC649" s="201"/>
      <c r="AD649" s="197"/>
      <c r="AE649" s="197"/>
      <c r="AF649" s="197"/>
      <c r="AG649" s="197"/>
      <c r="AH649" s="197"/>
      <c r="AI649" s="197"/>
      <c r="AJ649" s="197"/>
      <c r="AK649" s="197"/>
      <c r="AL649" s="197"/>
      <c r="AM649" s="197"/>
      <c r="AN649" s="197"/>
      <c r="AO649" s="197"/>
      <c r="AP649" s="197"/>
      <c r="AQ649" s="197"/>
      <c r="AR649" s="197"/>
      <c r="AS649" s="197"/>
      <c r="AT649" s="197"/>
      <c r="AU649" s="197"/>
      <c r="AV649" s="197"/>
      <c r="AW649" s="197"/>
    </row>
    <row r="650" spans="28:49" s="196" customFormat="1">
      <c r="AB650" s="201"/>
      <c r="AC650" s="201"/>
      <c r="AD650" s="197"/>
      <c r="AE650" s="197"/>
      <c r="AF650" s="197"/>
      <c r="AG650" s="197"/>
      <c r="AH650" s="197"/>
      <c r="AI650" s="197"/>
      <c r="AJ650" s="197"/>
      <c r="AK650" s="197"/>
      <c r="AL650" s="197"/>
      <c r="AM650" s="197"/>
      <c r="AN650" s="197"/>
      <c r="AO650" s="197"/>
      <c r="AP650" s="197"/>
      <c r="AQ650" s="197"/>
      <c r="AR650" s="197"/>
      <c r="AS650" s="197"/>
      <c r="AT650" s="197"/>
      <c r="AU650" s="197"/>
      <c r="AV650" s="197"/>
      <c r="AW650" s="197"/>
    </row>
    <row r="651" spans="28:49" s="196" customFormat="1">
      <c r="AB651" s="201"/>
      <c r="AC651" s="201"/>
      <c r="AD651" s="197"/>
      <c r="AE651" s="197"/>
      <c r="AF651" s="197"/>
      <c r="AG651" s="197"/>
      <c r="AH651" s="197"/>
      <c r="AI651" s="197"/>
      <c r="AJ651" s="197"/>
      <c r="AK651" s="197"/>
      <c r="AL651" s="197"/>
      <c r="AM651" s="197"/>
      <c r="AN651" s="197"/>
      <c r="AO651" s="197"/>
      <c r="AP651" s="197"/>
      <c r="AQ651" s="197"/>
      <c r="AR651" s="197"/>
      <c r="AS651" s="197"/>
      <c r="AT651" s="197"/>
      <c r="AU651" s="197"/>
      <c r="AV651" s="197"/>
      <c r="AW651" s="197"/>
    </row>
    <row r="652" spans="28:49" s="196" customFormat="1">
      <c r="AB652" s="201"/>
      <c r="AC652" s="201"/>
      <c r="AD652" s="197"/>
      <c r="AE652" s="197"/>
      <c r="AF652" s="197"/>
      <c r="AG652" s="197"/>
      <c r="AH652" s="197"/>
      <c r="AI652" s="197"/>
      <c r="AJ652" s="197"/>
      <c r="AK652" s="197"/>
      <c r="AL652" s="197"/>
      <c r="AM652" s="197"/>
      <c r="AN652" s="197"/>
      <c r="AO652" s="197"/>
      <c r="AP652" s="197"/>
      <c r="AQ652" s="197"/>
      <c r="AR652" s="197"/>
      <c r="AS652" s="197"/>
      <c r="AT652" s="197"/>
      <c r="AU652" s="197"/>
      <c r="AV652" s="197"/>
      <c r="AW652" s="197"/>
    </row>
    <row r="653" spans="28:49" s="196" customFormat="1">
      <c r="AB653" s="201"/>
      <c r="AC653" s="201"/>
      <c r="AD653" s="197"/>
      <c r="AE653" s="197"/>
      <c r="AF653" s="197"/>
      <c r="AG653" s="197"/>
      <c r="AH653" s="197"/>
      <c r="AI653" s="197"/>
      <c r="AJ653" s="197"/>
      <c r="AK653" s="197"/>
      <c r="AL653" s="197"/>
      <c r="AM653" s="197"/>
      <c r="AN653" s="197"/>
      <c r="AO653" s="197"/>
      <c r="AP653" s="197"/>
      <c r="AQ653" s="197"/>
      <c r="AR653" s="197"/>
      <c r="AS653" s="197"/>
      <c r="AT653" s="197"/>
      <c r="AU653" s="197"/>
      <c r="AV653" s="197"/>
      <c r="AW653" s="197"/>
    </row>
    <row r="654" spans="28:49" s="196" customFormat="1">
      <c r="AB654" s="201"/>
      <c r="AC654" s="201"/>
      <c r="AD654" s="197"/>
      <c r="AE654" s="197"/>
      <c r="AF654" s="197"/>
      <c r="AG654" s="197"/>
      <c r="AH654" s="197"/>
      <c r="AI654" s="197"/>
      <c r="AJ654" s="197"/>
      <c r="AK654" s="197"/>
      <c r="AL654" s="197"/>
      <c r="AM654" s="197"/>
      <c r="AN654" s="197"/>
      <c r="AO654" s="197"/>
      <c r="AP654" s="197"/>
      <c r="AQ654" s="197"/>
      <c r="AR654" s="197"/>
      <c r="AS654" s="197"/>
      <c r="AT654" s="197"/>
      <c r="AU654" s="197"/>
      <c r="AV654" s="197"/>
      <c r="AW654" s="197"/>
    </row>
    <row r="655" spans="28:49" s="196" customFormat="1">
      <c r="AB655" s="201"/>
      <c r="AC655" s="201"/>
      <c r="AD655" s="197"/>
      <c r="AE655" s="197"/>
      <c r="AF655" s="197"/>
      <c r="AG655" s="197"/>
      <c r="AH655" s="197"/>
      <c r="AI655" s="197"/>
      <c r="AJ655" s="197"/>
      <c r="AK655" s="197"/>
      <c r="AL655" s="197"/>
      <c r="AM655" s="197"/>
      <c r="AN655" s="197"/>
      <c r="AO655" s="197"/>
      <c r="AP655" s="197"/>
      <c r="AQ655" s="197"/>
      <c r="AR655" s="197"/>
      <c r="AS655" s="197"/>
      <c r="AT655" s="197"/>
      <c r="AU655" s="197"/>
      <c r="AV655" s="197"/>
      <c r="AW655" s="197"/>
    </row>
    <row r="656" spans="28:49" s="196" customFormat="1">
      <c r="AB656" s="201"/>
      <c r="AC656" s="201"/>
      <c r="AD656" s="197"/>
      <c r="AE656" s="197"/>
      <c r="AF656" s="197"/>
      <c r="AG656" s="197"/>
      <c r="AH656" s="197"/>
      <c r="AI656" s="197"/>
      <c r="AJ656" s="197"/>
      <c r="AK656" s="197"/>
      <c r="AL656" s="197"/>
      <c r="AM656" s="197"/>
      <c r="AN656" s="197"/>
      <c r="AO656" s="197"/>
      <c r="AP656" s="197"/>
      <c r="AQ656" s="197"/>
      <c r="AR656" s="197"/>
      <c r="AS656" s="197"/>
      <c r="AT656" s="197"/>
      <c r="AU656" s="197"/>
      <c r="AV656" s="197"/>
      <c r="AW656" s="197"/>
    </row>
    <row r="657" spans="28:49" s="196" customFormat="1">
      <c r="AB657" s="201"/>
      <c r="AC657" s="201"/>
      <c r="AD657" s="197"/>
      <c r="AE657" s="197"/>
      <c r="AF657" s="197"/>
      <c r="AG657" s="197"/>
      <c r="AH657" s="197"/>
      <c r="AI657" s="197"/>
      <c r="AJ657" s="197"/>
      <c r="AK657" s="197"/>
      <c r="AL657" s="197"/>
      <c r="AM657" s="197"/>
      <c r="AN657" s="197"/>
      <c r="AO657" s="197"/>
      <c r="AP657" s="197"/>
      <c r="AQ657" s="197"/>
      <c r="AR657" s="197"/>
      <c r="AS657" s="197"/>
      <c r="AT657" s="197"/>
      <c r="AU657" s="197"/>
      <c r="AV657" s="197"/>
      <c r="AW657" s="197"/>
    </row>
    <row r="658" spans="28:49" s="196" customFormat="1">
      <c r="AB658" s="201"/>
      <c r="AC658" s="201"/>
      <c r="AD658" s="197"/>
      <c r="AE658" s="197"/>
      <c r="AF658" s="197"/>
      <c r="AG658" s="197"/>
      <c r="AH658" s="197"/>
      <c r="AI658" s="197"/>
      <c r="AJ658" s="197"/>
      <c r="AK658" s="197"/>
      <c r="AL658" s="197"/>
      <c r="AM658" s="197"/>
      <c r="AN658" s="197"/>
      <c r="AO658" s="197"/>
      <c r="AP658" s="197"/>
      <c r="AQ658" s="197"/>
      <c r="AR658" s="197"/>
      <c r="AS658" s="197"/>
      <c r="AT658" s="197"/>
      <c r="AU658" s="197"/>
      <c r="AV658" s="197"/>
      <c r="AW658" s="197"/>
    </row>
    <row r="659" spans="28:49" s="196" customFormat="1">
      <c r="AB659" s="201"/>
      <c r="AC659" s="201"/>
      <c r="AD659" s="197"/>
      <c r="AE659" s="197"/>
      <c r="AF659" s="197"/>
      <c r="AG659" s="197"/>
      <c r="AH659" s="197"/>
      <c r="AI659" s="197"/>
      <c r="AJ659" s="197"/>
      <c r="AK659" s="197"/>
      <c r="AL659" s="197"/>
      <c r="AM659" s="197"/>
      <c r="AN659" s="197"/>
      <c r="AO659" s="197"/>
      <c r="AP659" s="197"/>
      <c r="AQ659" s="197"/>
      <c r="AR659" s="197"/>
      <c r="AS659" s="197"/>
      <c r="AT659" s="197"/>
      <c r="AU659" s="197"/>
      <c r="AV659" s="197"/>
      <c r="AW659" s="197"/>
    </row>
    <row r="660" spans="28:49" s="196" customFormat="1">
      <c r="AB660" s="201"/>
      <c r="AC660" s="201"/>
      <c r="AD660" s="197"/>
      <c r="AE660" s="197"/>
      <c r="AF660" s="197"/>
      <c r="AG660" s="197"/>
      <c r="AH660" s="197"/>
      <c r="AI660" s="197"/>
      <c r="AJ660" s="197"/>
      <c r="AK660" s="197"/>
      <c r="AL660" s="197"/>
      <c r="AM660" s="197"/>
      <c r="AN660" s="197"/>
      <c r="AO660" s="197"/>
      <c r="AP660" s="197"/>
      <c r="AQ660" s="197"/>
      <c r="AR660" s="197"/>
      <c r="AS660" s="197"/>
      <c r="AT660" s="197"/>
      <c r="AU660" s="197"/>
      <c r="AV660" s="197"/>
      <c r="AW660" s="197"/>
    </row>
    <row r="661" spans="28:49" s="196" customFormat="1">
      <c r="AB661" s="201"/>
      <c r="AC661" s="201"/>
      <c r="AD661" s="197"/>
      <c r="AE661" s="197"/>
      <c r="AF661" s="197"/>
      <c r="AG661" s="197"/>
      <c r="AH661" s="197"/>
      <c r="AI661" s="197"/>
      <c r="AJ661" s="197"/>
      <c r="AK661" s="197"/>
      <c r="AL661" s="197"/>
      <c r="AM661" s="197"/>
      <c r="AN661" s="197"/>
      <c r="AO661" s="197"/>
      <c r="AP661" s="197"/>
      <c r="AQ661" s="197"/>
      <c r="AR661" s="197"/>
      <c r="AS661" s="197"/>
      <c r="AT661" s="197"/>
      <c r="AU661" s="197"/>
      <c r="AV661" s="197"/>
      <c r="AW661" s="197"/>
    </row>
    <row r="662" spans="28:49" s="196" customFormat="1">
      <c r="AB662" s="201"/>
      <c r="AC662" s="201"/>
      <c r="AD662" s="197"/>
      <c r="AE662" s="197"/>
      <c r="AF662" s="197"/>
      <c r="AG662" s="197"/>
      <c r="AH662" s="197"/>
      <c r="AI662" s="197"/>
      <c r="AJ662" s="197"/>
      <c r="AK662" s="197"/>
      <c r="AL662" s="197"/>
      <c r="AM662" s="197"/>
      <c r="AN662" s="197"/>
      <c r="AO662" s="197"/>
      <c r="AP662" s="197"/>
      <c r="AQ662" s="197"/>
      <c r="AR662" s="197"/>
      <c r="AS662" s="197"/>
      <c r="AT662" s="197"/>
      <c r="AU662" s="197"/>
      <c r="AV662" s="197"/>
      <c r="AW662" s="197"/>
    </row>
    <row r="663" spans="28:49" s="196" customFormat="1">
      <c r="AB663" s="201"/>
      <c r="AC663" s="201"/>
      <c r="AD663" s="197"/>
      <c r="AE663" s="197"/>
      <c r="AF663" s="197"/>
      <c r="AG663" s="197"/>
      <c r="AH663" s="197"/>
      <c r="AI663" s="197"/>
      <c r="AJ663" s="197"/>
      <c r="AK663" s="197"/>
      <c r="AL663" s="197"/>
      <c r="AM663" s="197"/>
      <c r="AN663" s="197"/>
      <c r="AO663" s="197"/>
      <c r="AP663" s="197"/>
      <c r="AQ663" s="197"/>
      <c r="AR663" s="197"/>
      <c r="AS663" s="197"/>
      <c r="AT663" s="197"/>
      <c r="AU663" s="197"/>
      <c r="AV663" s="197"/>
      <c r="AW663" s="197"/>
    </row>
    <row r="664" spans="28:49" s="196" customFormat="1">
      <c r="AB664" s="201"/>
      <c r="AC664" s="201"/>
      <c r="AD664" s="197"/>
      <c r="AE664" s="197"/>
      <c r="AF664" s="197"/>
      <c r="AG664" s="197"/>
      <c r="AH664" s="197"/>
      <c r="AI664" s="197"/>
      <c r="AJ664" s="197"/>
      <c r="AK664" s="197"/>
      <c r="AL664" s="197"/>
      <c r="AM664" s="197"/>
      <c r="AN664" s="197"/>
      <c r="AO664" s="197"/>
      <c r="AP664" s="197"/>
      <c r="AQ664" s="197"/>
      <c r="AR664" s="197"/>
      <c r="AS664" s="197"/>
      <c r="AT664" s="197"/>
      <c r="AU664" s="197"/>
      <c r="AV664" s="197"/>
      <c r="AW664" s="197"/>
    </row>
    <row r="665" spans="28:49" s="196" customFormat="1">
      <c r="AB665" s="201"/>
      <c r="AC665" s="201"/>
      <c r="AD665" s="197"/>
      <c r="AE665" s="197"/>
      <c r="AF665" s="197"/>
      <c r="AG665" s="197"/>
      <c r="AH665" s="197"/>
      <c r="AI665" s="197"/>
      <c r="AJ665" s="197"/>
      <c r="AK665" s="197"/>
      <c r="AL665" s="197"/>
      <c r="AM665" s="197"/>
      <c r="AN665" s="197"/>
      <c r="AO665" s="197"/>
      <c r="AP665" s="197"/>
      <c r="AQ665" s="197"/>
      <c r="AR665" s="197"/>
      <c r="AS665" s="197"/>
      <c r="AT665" s="197"/>
      <c r="AU665" s="197"/>
      <c r="AV665" s="197"/>
      <c r="AW665" s="197"/>
    </row>
    <row r="666" spans="28:49" s="196" customFormat="1">
      <c r="AB666" s="201"/>
      <c r="AC666" s="201"/>
      <c r="AD666" s="197"/>
      <c r="AE666" s="197"/>
      <c r="AF666" s="197"/>
      <c r="AG666" s="197"/>
      <c r="AH666" s="197"/>
      <c r="AI666" s="197"/>
      <c r="AJ666" s="197"/>
      <c r="AK666" s="197"/>
      <c r="AL666" s="197"/>
      <c r="AM666" s="197"/>
      <c r="AN666" s="197"/>
      <c r="AO666" s="197"/>
      <c r="AP666" s="197"/>
      <c r="AQ666" s="197"/>
      <c r="AR666" s="197"/>
      <c r="AS666" s="197"/>
      <c r="AT666" s="197"/>
      <c r="AU666" s="197"/>
      <c r="AV666" s="197"/>
      <c r="AW666" s="197"/>
    </row>
    <row r="667" spans="28:49" s="196" customFormat="1">
      <c r="AB667" s="201"/>
      <c r="AC667" s="201"/>
      <c r="AD667" s="197"/>
      <c r="AE667" s="197"/>
      <c r="AF667" s="197"/>
      <c r="AG667" s="197"/>
      <c r="AH667" s="197"/>
      <c r="AI667" s="197"/>
      <c r="AJ667" s="197"/>
      <c r="AK667" s="197"/>
      <c r="AL667" s="197"/>
      <c r="AM667" s="197"/>
      <c r="AN667" s="197"/>
      <c r="AO667" s="197"/>
      <c r="AP667" s="197"/>
      <c r="AQ667" s="197"/>
      <c r="AR667" s="197"/>
      <c r="AS667" s="197"/>
      <c r="AT667" s="197"/>
      <c r="AU667" s="197"/>
      <c r="AV667" s="197"/>
      <c r="AW667" s="197"/>
    </row>
    <row r="668" spans="28:49" s="196" customFormat="1">
      <c r="AB668" s="201"/>
      <c r="AC668" s="201"/>
      <c r="AD668" s="197"/>
      <c r="AE668" s="197"/>
      <c r="AF668" s="197"/>
      <c r="AG668" s="197"/>
      <c r="AH668" s="197"/>
      <c r="AI668" s="197"/>
      <c r="AJ668" s="197"/>
      <c r="AK668" s="197"/>
      <c r="AL668" s="197"/>
      <c r="AM668" s="197"/>
      <c r="AN668" s="197"/>
      <c r="AO668" s="197"/>
      <c r="AP668" s="197"/>
      <c r="AQ668" s="197"/>
      <c r="AR668" s="197"/>
      <c r="AS668" s="197"/>
      <c r="AT668" s="197"/>
      <c r="AU668" s="197"/>
      <c r="AV668" s="197"/>
      <c r="AW668" s="197"/>
    </row>
    <row r="669" spans="28:49" s="196" customFormat="1">
      <c r="AB669" s="201"/>
      <c r="AC669" s="201"/>
      <c r="AD669" s="197"/>
      <c r="AE669" s="197"/>
      <c r="AF669" s="197"/>
      <c r="AG669" s="197"/>
      <c r="AH669" s="197"/>
      <c r="AI669" s="197"/>
      <c r="AJ669" s="197"/>
      <c r="AK669" s="197"/>
      <c r="AL669" s="197"/>
      <c r="AM669" s="197"/>
      <c r="AN669" s="197"/>
      <c r="AO669" s="197"/>
      <c r="AP669" s="197"/>
      <c r="AQ669" s="197"/>
      <c r="AR669" s="197"/>
      <c r="AS669" s="197"/>
      <c r="AT669" s="197"/>
      <c r="AU669" s="197"/>
      <c r="AV669" s="197"/>
      <c r="AW669" s="197"/>
    </row>
    <row r="670" spans="28:49" s="196" customFormat="1">
      <c r="AB670" s="201"/>
      <c r="AC670" s="201"/>
      <c r="AD670" s="197"/>
      <c r="AE670" s="197"/>
      <c r="AF670" s="197"/>
      <c r="AG670" s="197"/>
      <c r="AH670" s="197"/>
      <c r="AI670" s="197"/>
      <c r="AJ670" s="197"/>
      <c r="AK670" s="197"/>
      <c r="AL670" s="197"/>
      <c r="AM670" s="197"/>
      <c r="AN670" s="197"/>
      <c r="AO670" s="197"/>
      <c r="AP670" s="197"/>
      <c r="AQ670" s="197"/>
      <c r="AR670" s="197"/>
      <c r="AS670" s="197"/>
      <c r="AT670" s="197"/>
      <c r="AU670" s="197"/>
      <c r="AV670" s="197"/>
      <c r="AW670" s="197"/>
    </row>
    <row r="671" spans="28:49" s="196" customFormat="1">
      <c r="AB671" s="201"/>
      <c r="AC671" s="201"/>
      <c r="AD671" s="197"/>
      <c r="AE671" s="197"/>
      <c r="AF671" s="197"/>
      <c r="AG671" s="197"/>
      <c r="AH671" s="197"/>
      <c r="AI671" s="197"/>
      <c r="AJ671" s="197"/>
      <c r="AK671" s="197"/>
      <c r="AL671" s="197"/>
      <c r="AM671" s="197"/>
      <c r="AN671" s="197"/>
      <c r="AO671" s="197"/>
      <c r="AP671" s="197"/>
      <c r="AQ671" s="197"/>
      <c r="AR671" s="197"/>
      <c r="AS671" s="197"/>
      <c r="AT671" s="197"/>
      <c r="AU671" s="197"/>
      <c r="AV671" s="197"/>
      <c r="AW671" s="197"/>
    </row>
    <row r="672" spans="28:49" s="196" customFormat="1">
      <c r="AB672" s="201"/>
      <c r="AC672" s="201"/>
      <c r="AD672" s="197"/>
      <c r="AE672" s="197"/>
      <c r="AF672" s="197"/>
      <c r="AG672" s="197"/>
      <c r="AH672" s="197"/>
      <c r="AI672" s="197"/>
      <c r="AJ672" s="197"/>
      <c r="AK672" s="197"/>
      <c r="AL672" s="197"/>
      <c r="AM672" s="197"/>
      <c r="AN672" s="197"/>
      <c r="AO672" s="197"/>
      <c r="AP672" s="197"/>
      <c r="AQ672" s="197"/>
      <c r="AR672" s="197"/>
      <c r="AS672" s="197"/>
      <c r="AT672" s="197"/>
      <c r="AU672" s="197"/>
      <c r="AV672" s="197"/>
      <c r="AW672" s="197"/>
    </row>
    <row r="673" spans="28:49" s="196" customFormat="1">
      <c r="AB673" s="201"/>
      <c r="AC673" s="201"/>
      <c r="AD673" s="197"/>
      <c r="AE673" s="197"/>
      <c r="AF673" s="197"/>
      <c r="AG673" s="197"/>
      <c r="AH673" s="197"/>
      <c r="AI673" s="197"/>
      <c r="AJ673" s="197"/>
      <c r="AK673" s="197"/>
      <c r="AL673" s="197"/>
      <c r="AM673" s="197"/>
      <c r="AN673" s="197"/>
      <c r="AO673" s="197"/>
      <c r="AP673" s="197"/>
      <c r="AQ673" s="197"/>
      <c r="AR673" s="197"/>
      <c r="AS673" s="197"/>
      <c r="AT673" s="197"/>
      <c r="AU673" s="197"/>
      <c r="AV673" s="197"/>
      <c r="AW673" s="197"/>
    </row>
    <row r="674" spans="28:49" s="196" customFormat="1">
      <c r="AB674" s="201"/>
      <c r="AC674" s="201"/>
      <c r="AD674" s="197"/>
      <c r="AE674" s="197"/>
      <c r="AF674" s="197"/>
      <c r="AG674" s="197"/>
      <c r="AH674" s="197"/>
      <c r="AI674" s="197"/>
      <c r="AJ674" s="197"/>
      <c r="AK674" s="197"/>
      <c r="AL674" s="197"/>
      <c r="AM674" s="197"/>
      <c r="AN674" s="197"/>
      <c r="AO674" s="197"/>
      <c r="AP674" s="197"/>
      <c r="AQ674" s="197"/>
      <c r="AR674" s="197"/>
      <c r="AS674" s="197"/>
      <c r="AT674" s="197"/>
      <c r="AU674" s="197"/>
      <c r="AV674" s="197"/>
      <c r="AW674" s="197"/>
    </row>
    <row r="675" spans="28:49" s="196" customFormat="1">
      <c r="AB675" s="201"/>
      <c r="AC675" s="201"/>
      <c r="AD675" s="197"/>
      <c r="AE675" s="197"/>
      <c r="AF675" s="197"/>
      <c r="AG675" s="197"/>
      <c r="AH675" s="197"/>
      <c r="AI675" s="197"/>
      <c r="AJ675" s="197"/>
      <c r="AK675" s="197"/>
      <c r="AL675" s="197"/>
      <c r="AM675" s="197"/>
      <c r="AN675" s="197"/>
      <c r="AO675" s="197"/>
      <c r="AP675" s="197"/>
      <c r="AQ675" s="197"/>
      <c r="AR675" s="197"/>
      <c r="AS675" s="197"/>
      <c r="AT675" s="197"/>
      <c r="AU675" s="197"/>
      <c r="AV675" s="197"/>
      <c r="AW675" s="197"/>
    </row>
    <row r="676" spans="28:49" s="196" customFormat="1">
      <c r="AB676" s="201"/>
      <c r="AC676" s="201"/>
      <c r="AD676" s="197"/>
      <c r="AE676" s="197"/>
      <c r="AF676" s="197"/>
      <c r="AG676" s="197"/>
      <c r="AH676" s="197"/>
      <c r="AI676" s="197"/>
      <c r="AJ676" s="197"/>
      <c r="AK676" s="197"/>
      <c r="AL676" s="197"/>
      <c r="AM676" s="197"/>
      <c r="AN676" s="197"/>
      <c r="AO676" s="197"/>
      <c r="AP676" s="197"/>
      <c r="AQ676" s="197"/>
      <c r="AR676" s="197"/>
      <c r="AS676" s="197"/>
      <c r="AT676" s="197"/>
      <c r="AU676" s="197"/>
      <c r="AV676" s="197"/>
      <c r="AW676" s="197"/>
    </row>
    <row r="677" spans="28:49" s="196" customFormat="1">
      <c r="AB677" s="201"/>
      <c r="AC677" s="201"/>
      <c r="AD677" s="197"/>
      <c r="AE677" s="197"/>
      <c r="AF677" s="197"/>
      <c r="AG677" s="197"/>
      <c r="AH677" s="197"/>
      <c r="AI677" s="197"/>
      <c r="AJ677" s="197"/>
      <c r="AK677" s="197"/>
      <c r="AL677" s="197"/>
      <c r="AM677" s="197"/>
      <c r="AN677" s="197"/>
      <c r="AO677" s="197"/>
      <c r="AP677" s="197"/>
      <c r="AQ677" s="197"/>
      <c r="AR677" s="197"/>
      <c r="AS677" s="197"/>
      <c r="AT677" s="197"/>
      <c r="AU677" s="197"/>
      <c r="AV677" s="197"/>
      <c r="AW677" s="197"/>
    </row>
    <row r="678" spans="28:49" s="196" customFormat="1">
      <c r="AB678" s="201"/>
      <c r="AC678" s="201"/>
      <c r="AD678" s="197"/>
      <c r="AE678" s="197"/>
      <c r="AF678" s="197"/>
      <c r="AG678" s="197"/>
      <c r="AH678" s="197"/>
      <c r="AI678" s="197"/>
      <c r="AJ678" s="197"/>
      <c r="AK678" s="197"/>
      <c r="AL678" s="197"/>
      <c r="AM678" s="197"/>
      <c r="AN678" s="197"/>
      <c r="AO678" s="197"/>
      <c r="AP678" s="197"/>
      <c r="AQ678" s="197"/>
      <c r="AR678" s="197"/>
      <c r="AS678" s="197"/>
      <c r="AT678" s="197"/>
      <c r="AU678" s="197"/>
      <c r="AV678" s="197"/>
      <c r="AW678" s="197"/>
    </row>
    <row r="679" spans="28:49" s="196" customFormat="1">
      <c r="AB679" s="201"/>
      <c r="AC679" s="201"/>
      <c r="AD679" s="197"/>
      <c r="AE679" s="197"/>
      <c r="AF679" s="197"/>
      <c r="AG679" s="197"/>
      <c r="AH679" s="197"/>
      <c r="AI679" s="197"/>
      <c r="AJ679" s="197"/>
      <c r="AK679" s="197"/>
      <c r="AL679" s="197"/>
      <c r="AM679" s="197"/>
      <c r="AN679" s="197"/>
      <c r="AO679" s="197"/>
      <c r="AP679" s="197"/>
      <c r="AQ679" s="197"/>
      <c r="AR679" s="197"/>
      <c r="AS679" s="197"/>
      <c r="AT679" s="197"/>
      <c r="AU679" s="197"/>
      <c r="AV679" s="197"/>
      <c r="AW679" s="197"/>
    </row>
    <row r="680" spans="28:49" s="196" customFormat="1">
      <c r="AB680" s="201"/>
      <c r="AC680" s="201"/>
      <c r="AD680" s="197"/>
      <c r="AE680" s="197"/>
      <c r="AF680" s="197"/>
      <c r="AG680" s="197"/>
      <c r="AH680" s="197"/>
      <c r="AI680" s="197"/>
      <c r="AJ680" s="197"/>
      <c r="AK680" s="197"/>
      <c r="AL680" s="197"/>
      <c r="AM680" s="197"/>
      <c r="AN680" s="197"/>
      <c r="AO680" s="197"/>
      <c r="AP680" s="197"/>
      <c r="AQ680" s="197"/>
      <c r="AR680" s="197"/>
      <c r="AS680" s="197"/>
      <c r="AT680" s="197"/>
      <c r="AU680" s="197"/>
      <c r="AV680" s="197"/>
      <c r="AW680" s="197"/>
    </row>
    <row r="681" spans="28:49" s="196" customFormat="1">
      <c r="AB681" s="201"/>
      <c r="AC681" s="201"/>
      <c r="AD681" s="197"/>
      <c r="AE681" s="197"/>
      <c r="AF681" s="197"/>
      <c r="AG681" s="197"/>
      <c r="AH681" s="197"/>
      <c r="AI681" s="197"/>
      <c r="AJ681" s="197"/>
      <c r="AK681" s="197"/>
      <c r="AL681" s="197"/>
      <c r="AM681" s="197"/>
      <c r="AN681" s="197"/>
      <c r="AO681" s="197"/>
      <c r="AP681" s="197"/>
      <c r="AQ681" s="197"/>
      <c r="AR681" s="197"/>
      <c r="AS681" s="197"/>
      <c r="AT681" s="197"/>
      <c r="AU681" s="197"/>
      <c r="AV681" s="197"/>
      <c r="AW681" s="197"/>
    </row>
    <row r="682" spans="28:49" s="196" customFormat="1">
      <c r="AB682" s="201"/>
      <c r="AC682" s="201"/>
      <c r="AD682" s="197"/>
      <c r="AE682" s="197"/>
      <c r="AF682" s="197"/>
      <c r="AG682" s="197"/>
      <c r="AH682" s="197"/>
      <c r="AI682" s="197"/>
      <c r="AJ682" s="197"/>
      <c r="AK682" s="197"/>
      <c r="AL682" s="197"/>
      <c r="AM682" s="197"/>
      <c r="AN682" s="197"/>
      <c r="AO682" s="197"/>
      <c r="AP682" s="197"/>
      <c r="AQ682" s="197"/>
      <c r="AR682" s="197"/>
      <c r="AS682" s="197"/>
      <c r="AT682" s="197"/>
      <c r="AU682" s="197"/>
      <c r="AV682" s="197"/>
      <c r="AW682" s="197"/>
    </row>
    <row r="683" spans="28:49" s="196" customFormat="1">
      <c r="AB683" s="201"/>
      <c r="AC683" s="201"/>
      <c r="AD683" s="197"/>
      <c r="AE683" s="197"/>
      <c r="AF683" s="197"/>
      <c r="AG683" s="197"/>
      <c r="AH683" s="197"/>
      <c r="AI683" s="197"/>
      <c r="AJ683" s="197"/>
      <c r="AK683" s="197"/>
      <c r="AL683" s="197"/>
      <c r="AM683" s="197"/>
      <c r="AN683" s="197"/>
      <c r="AO683" s="197"/>
      <c r="AP683" s="197"/>
      <c r="AQ683" s="197"/>
      <c r="AR683" s="197"/>
      <c r="AS683" s="197"/>
      <c r="AT683" s="197"/>
      <c r="AU683" s="197"/>
      <c r="AV683" s="197"/>
      <c r="AW683" s="197"/>
    </row>
    <row r="684" spans="28:49" s="196" customFormat="1">
      <c r="AB684" s="201"/>
      <c r="AC684" s="201"/>
      <c r="AD684" s="197"/>
      <c r="AE684" s="197"/>
      <c r="AF684" s="197"/>
      <c r="AG684" s="197"/>
      <c r="AH684" s="197"/>
      <c r="AI684" s="197"/>
      <c r="AJ684" s="197"/>
      <c r="AK684" s="197"/>
      <c r="AL684" s="197"/>
      <c r="AM684" s="197"/>
      <c r="AN684" s="197"/>
      <c r="AO684" s="197"/>
      <c r="AP684" s="197"/>
      <c r="AQ684" s="197"/>
      <c r="AR684" s="197"/>
      <c r="AS684" s="197"/>
      <c r="AT684" s="197"/>
      <c r="AU684" s="197"/>
      <c r="AV684" s="197"/>
      <c r="AW684" s="197"/>
    </row>
    <row r="685" spans="28:49" s="196" customFormat="1">
      <c r="AB685" s="201"/>
      <c r="AC685" s="201"/>
      <c r="AD685" s="197"/>
      <c r="AE685" s="197"/>
      <c r="AF685" s="197"/>
      <c r="AG685" s="197"/>
      <c r="AH685" s="197"/>
      <c r="AI685" s="197"/>
      <c r="AJ685" s="197"/>
      <c r="AK685" s="197"/>
      <c r="AL685" s="197"/>
      <c r="AM685" s="197"/>
      <c r="AN685" s="197"/>
      <c r="AO685" s="197"/>
      <c r="AP685" s="197"/>
      <c r="AQ685" s="197"/>
      <c r="AR685" s="197"/>
      <c r="AS685" s="197"/>
      <c r="AT685" s="197"/>
      <c r="AU685" s="197"/>
      <c r="AV685" s="197"/>
      <c r="AW685" s="197"/>
    </row>
    <row r="686" spans="28:49" s="196" customFormat="1">
      <c r="AB686" s="201"/>
      <c r="AC686" s="201"/>
      <c r="AD686" s="197"/>
      <c r="AE686" s="197"/>
      <c r="AF686" s="197"/>
      <c r="AG686" s="197"/>
      <c r="AH686" s="197"/>
      <c r="AI686" s="197"/>
      <c r="AJ686" s="197"/>
      <c r="AK686" s="197"/>
      <c r="AL686" s="197"/>
      <c r="AM686" s="197"/>
      <c r="AN686" s="197"/>
      <c r="AO686" s="197"/>
      <c r="AP686" s="197"/>
      <c r="AQ686" s="197"/>
      <c r="AR686" s="197"/>
      <c r="AS686" s="197"/>
      <c r="AT686" s="197"/>
      <c r="AU686" s="197"/>
      <c r="AV686" s="197"/>
      <c r="AW686" s="197"/>
    </row>
    <row r="687" spans="28:49" s="196" customFormat="1">
      <c r="AB687" s="201"/>
      <c r="AC687" s="201"/>
      <c r="AD687" s="197"/>
      <c r="AE687" s="197"/>
      <c r="AF687" s="197"/>
      <c r="AG687" s="197"/>
      <c r="AH687" s="197"/>
      <c r="AI687" s="197"/>
      <c r="AJ687" s="197"/>
      <c r="AK687" s="197"/>
      <c r="AL687" s="197"/>
      <c r="AM687" s="197"/>
      <c r="AN687" s="197"/>
      <c r="AO687" s="197"/>
      <c r="AP687" s="197"/>
      <c r="AQ687" s="197"/>
      <c r="AR687" s="197"/>
      <c r="AS687" s="197"/>
      <c r="AT687" s="197"/>
      <c r="AU687" s="197"/>
      <c r="AV687" s="197"/>
      <c r="AW687" s="197"/>
    </row>
    <row r="688" spans="28:49" s="196" customFormat="1">
      <c r="AB688" s="201"/>
      <c r="AC688" s="201"/>
      <c r="AD688" s="197"/>
      <c r="AE688" s="197"/>
      <c r="AF688" s="197"/>
      <c r="AG688" s="197"/>
      <c r="AH688" s="197"/>
      <c r="AI688" s="197"/>
      <c r="AJ688" s="197"/>
      <c r="AK688" s="197"/>
      <c r="AL688" s="197"/>
      <c r="AM688" s="197"/>
      <c r="AN688" s="197"/>
      <c r="AO688" s="197"/>
      <c r="AP688" s="197"/>
      <c r="AQ688" s="197"/>
      <c r="AR688" s="197"/>
      <c r="AS688" s="197"/>
      <c r="AT688" s="197"/>
      <c r="AU688" s="197"/>
      <c r="AV688" s="197"/>
      <c r="AW688" s="197"/>
    </row>
    <row r="689" spans="28:49" s="196" customFormat="1">
      <c r="AB689" s="201"/>
      <c r="AC689" s="201"/>
      <c r="AD689" s="197"/>
      <c r="AE689" s="197"/>
      <c r="AF689" s="197"/>
      <c r="AG689" s="197"/>
      <c r="AH689" s="197"/>
      <c r="AI689" s="197"/>
      <c r="AJ689" s="197"/>
      <c r="AK689" s="197"/>
      <c r="AL689" s="197"/>
      <c r="AM689" s="197"/>
      <c r="AN689" s="197"/>
      <c r="AO689" s="197"/>
      <c r="AP689" s="197"/>
      <c r="AQ689" s="197"/>
      <c r="AR689" s="197"/>
      <c r="AS689" s="197"/>
      <c r="AT689" s="197"/>
      <c r="AU689" s="197"/>
      <c r="AV689" s="197"/>
      <c r="AW689" s="197"/>
    </row>
    <row r="690" spans="28:49" s="196" customFormat="1">
      <c r="AB690" s="201"/>
      <c r="AC690" s="201"/>
      <c r="AD690" s="197"/>
      <c r="AE690" s="197"/>
      <c r="AF690" s="197"/>
      <c r="AG690" s="197"/>
      <c r="AH690" s="197"/>
      <c r="AI690" s="197"/>
      <c r="AJ690" s="197"/>
      <c r="AK690" s="197"/>
      <c r="AL690" s="197"/>
      <c r="AM690" s="197"/>
      <c r="AN690" s="197"/>
      <c r="AO690" s="197"/>
      <c r="AP690" s="197"/>
      <c r="AQ690" s="197"/>
      <c r="AR690" s="197"/>
      <c r="AS690" s="197"/>
      <c r="AT690" s="197"/>
      <c r="AU690" s="197"/>
      <c r="AV690" s="197"/>
      <c r="AW690" s="197"/>
    </row>
    <row r="691" spans="28:49" s="196" customFormat="1">
      <c r="AB691" s="201"/>
      <c r="AC691" s="201"/>
      <c r="AD691" s="197"/>
      <c r="AE691" s="197"/>
      <c r="AF691" s="197"/>
      <c r="AG691" s="197"/>
      <c r="AH691" s="197"/>
      <c r="AI691" s="197"/>
      <c r="AJ691" s="197"/>
      <c r="AK691" s="197"/>
      <c r="AL691" s="197"/>
      <c r="AM691" s="197"/>
      <c r="AN691" s="197"/>
      <c r="AO691" s="197"/>
      <c r="AP691" s="197"/>
      <c r="AQ691" s="197"/>
      <c r="AR691" s="197"/>
      <c r="AS691" s="197"/>
      <c r="AT691" s="197"/>
      <c r="AU691" s="197"/>
      <c r="AV691" s="197"/>
      <c r="AW691" s="197"/>
    </row>
    <row r="692" spans="28:49" s="196" customFormat="1">
      <c r="AB692" s="201"/>
      <c r="AC692" s="201"/>
      <c r="AD692" s="197"/>
      <c r="AE692" s="197"/>
      <c r="AF692" s="197"/>
      <c r="AG692" s="197"/>
      <c r="AH692" s="197"/>
      <c r="AI692" s="197"/>
      <c r="AJ692" s="197"/>
      <c r="AK692" s="197"/>
      <c r="AL692" s="197"/>
      <c r="AM692" s="197"/>
      <c r="AN692" s="197"/>
      <c r="AO692" s="197"/>
      <c r="AP692" s="197"/>
      <c r="AQ692" s="197"/>
      <c r="AR692" s="197"/>
      <c r="AS692" s="197"/>
      <c r="AT692" s="197"/>
      <c r="AU692" s="197"/>
      <c r="AV692" s="197"/>
      <c r="AW692" s="197"/>
    </row>
    <row r="693" spans="28:49" s="196" customFormat="1">
      <c r="AB693" s="201"/>
      <c r="AC693" s="201"/>
      <c r="AD693" s="197"/>
      <c r="AE693" s="197"/>
      <c r="AF693" s="197"/>
      <c r="AG693" s="197"/>
      <c r="AH693" s="197"/>
      <c r="AI693" s="197"/>
      <c r="AJ693" s="197"/>
      <c r="AK693" s="197"/>
      <c r="AL693" s="197"/>
      <c r="AM693" s="197"/>
      <c r="AN693" s="197"/>
      <c r="AO693" s="197"/>
      <c r="AP693" s="197"/>
      <c r="AQ693" s="197"/>
      <c r="AR693" s="197"/>
      <c r="AS693" s="197"/>
      <c r="AT693" s="197"/>
      <c r="AU693" s="197"/>
      <c r="AV693" s="197"/>
      <c r="AW693" s="197"/>
    </row>
    <row r="694" spans="28:49" s="196" customFormat="1">
      <c r="AB694" s="201"/>
      <c r="AC694" s="201"/>
      <c r="AD694" s="197"/>
      <c r="AE694" s="197"/>
      <c r="AF694" s="197"/>
      <c r="AG694" s="197"/>
      <c r="AH694" s="197"/>
      <c r="AI694" s="197"/>
      <c r="AJ694" s="197"/>
      <c r="AK694" s="197"/>
      <c r="AL694" s="197"/>
      <c r="AM694" s="197"/>
      <c r="AN694" s="197"/>
      <c r="AO694" s="197"/>
      <c r="AP694" s="197"/>
      <c r="AQ694" s="197"/>
      <c r="AR694" s="197"/>
      <c r="AS694" s="197"/>
      <c r="AT694" s="197"/>
      <c r="AU694" s="197"/>
      <c r="AV694" s="197"/>
      <c r="AW694" s="197"/>
    </row>
    <row r="695" spans="28:49" s="196" customFormat="1">
      <c r="AB695" s="201"/>
      <c r="AC695" s="201"/>
      <c r="AD695" s="197"/>
      <c r="AE695" s="197"/>
      <c r="AF695" s="197"/>
      <c r="AG695" s="197"/>
      <c r="AH695" s="197"/>
      <c r="AI695" s="197"/>
      <c r="AJ695" s="197"/>
      <c r="AK695" s="197"/>
      <c r="AL695" s="197"/>
      <c r="AM695" s="197"/>
      <c r="AN695" s="197"/>
      <c r="AO695" s="197"/>
      <c r="AP695" s="197"/>
      <c r="AQ695" s="197"/>
      <c r="AR695" s="197"/>
      <c r="AS695" s="197"/>
      <c r="AT695" s="197"/>
      <c r="AU695" s="197"/>
      <c r="AV695" s="197"/>
      <c r="AW695" s="197"/>
    </row>
    <row r="696" spans="28:49" s="196" customFormat="1">
      <c r="AB696" s="201"/>
      <c r="AC696" s="201"/>
      <c r="AD696" s="197"/>
      <c r="AE696" s="197"/>
      <c r="AF696" s="197"/>
      <c r="AG696" s="197"/>
      <c r="AH696" s="197"/>
      <c r="AI696" s="197"/>
      <c r="AJ696" s="197"/>
      <c r="AK696" s="197"/>
      <c r="AL696" s="197"/>
      <c r="AM696" s="197"/>
      <c r="AN696" s="197"/>
      <c r="AO696" s="197"/>
      <c r="AP696" s="197"/>
      <c r="AQ696" s="197"/>
      <c r="AR696" s="197"/>
      <c r="AS696" s="197"/>
      <c r="AT696" s="197"/>
      <c r="AU696" s="197"/>
      <c r="AV696" s="197"/>
      <c r="AW696" s="197"/>
    </row>
    <row r="697" spans="28:49" s="196" customFormat="1">
      <c r="AB697" s="201"/>
      <c r="AC697" s="201"/>
      <c r="AD697" s="197"/>
      <c r="AE697" s="197"/>
      <c r="AF697" s="197"/>
      <c r="AG697" s="197"/>
      <c r="AH697" s="197"/>
      <c r="AI697" s="197"/>
      <c r="AJ697" s="197"/>
      <c r="AK697" s="197"/>
      <c r="AL697" s="197"/>
      <c r="AM697" s="197"/>
      <c r="AN697" s="197"/>
      <c r="AO697" s="197"/>
      <c r="AP697" s="197"/>
      <c r="AQ697" s="197"/>
      <c r="AR697" s="197"/>
      <c r="AS697" s="197"/>
      <c r="AT697" s="197"/>
      <c r="AU697" s="197"/>
      <c r="AV697" s="197"/>
      <c r="AW697" s="197"/>
    </row>
    <row r="698" spans="28:49" s="196" customFormat="1">
      <c r="AB698" s="201"/>
      <c r="AC698" s="201"/>
      <c r="AD698" s="197"/>
      <c r="AE698" s="197"/>
      <c r="AF698" s="197"/>
      <c r="AG698" s="197"/>
      <c r="AH698" s="197"/>
      <c r="AI698" s="197"/>
      <c r="AJ698" s="197"/>
      <c r="AK698" s="197"/>
      <c r="AL698" s="197"/>
      <c r="AM698" s="197"/>
      <c r="AN698" s="197"/>
      <c r="AO698" s="197"/>
      <c r="AP698" s="197"/>
      <c r="AQ698" s="197"/>
      <c r="AR698" s="197"/>
      <c r="AS698" s="197"/>
      <c r="AT698" s="197"/>
      <c r="AU698" s="197"/>
      <c r="AV698" s="197"/>
      <c r="AW698" s="197"/>
    </row>
    <row r="699" spans="28:49" s="196" customFormat="1">
      <c r="AB699" s="201"/>
      <c r="AC699" s="201"/>
      <c r="AD699" s="197"/>
      <c r="AE699" s="197"/>
      <c r="AF699" s="197"/>
      <c r="AG699" s="197"/>
      <c r="AH699" s="197"/>
      <c r="AI699" s="197"/>
      <c r="AJ699" s="197"/>
      <c r="AK699" s="197"/>
      <c r="AL699" s="197"/>
      <c r="AM699" s="197"/>
      <c r="AN699" s="197"/>
      <c r="AO699" s="197"/>
      <c r="AP699" s="197"/>
      <c r="AQ699" s="197"/>
      <c r="AR699" s="197"/>
      <c r="AS699" s="197"/>
      <c r="AT699" s="197"/>
      <c r="AU699" s="197"/>
      <c r="AV699" s="197"/>
      <c r="AW699" s="197"/>
    </row>
    <row r="700" spans="28:49" s="196" customFormat="1">
      <c r="AB700" s="201"/>
      <c r="AC700" s="201"/>
      <c r="AD700" s="197"/>
      <c r="AE700" s="197"/>
      <c r="AF700" s="197"/>
      <c r="AG700" s="197"/>
      <c r="AH700" s="197"/>
      <c r="AI700" s="197"/>
      <c r="AJ700" s="197"/>
      <c r="AK700" s="197"/>
      <c r="AL700" s="197"/>
      <c r="AM700" s="197"/>
      <c r="AN700" s="197"/>
      <c r="AO700" s="197"/>
      <c r="AP700" s="197"/>
      <c r="AQ700" s="197"/>
      <c r="AR700" s="197"/>
      <c r="AS700" s="197"/>
      <c r="AT700" s="197"/>
      <c r="AU700" s="197"/>
      <c r="AV700" s="197"/>
      <c r="AW700" s="197"/>
    </row>
    <row r="701" spans="28:49" s="196" customFormat="1">
      <c r="AB701" s="201"/>
      <c r="AC701" s="201"/>
      <c r="AD701" s="197"/>
      <c r="AE701" s="197"/>
      <c r="AF701" s="197"/>
      <c r="AG701" s="197"/>
      <c r="AH701" s="197"/>
      <c r="AI701" s="197"/>
      <c r="AJ701" s="197"/>
      <c r="AK701" s="197"/>
      <c r="AL701" s="197"/>
      <c r="AM701" s="197"/>
      <c r="AN701" s="197"/>
      <c r="AO701" s="197"/>
      <c r="AP701" s="197"/>
      <c r="AQ701" s="197"/>
      <c r="AR701" s="197"/>
      <c r="AS701" s="197"/>
      <c r="AT701" s="197"/>
      <c r="AU701" s="197"/>
      <c r="AV701" s="197"/>
      <c r="AW701" s="197"/>
    </row>
    <row r="702" spans="28:49" s="196" customFormat="1">
      <c r="AB702" s="201"/>
      <c r="AC702" s="201"/>
      <c r="AD702" s="197"/>
      <c r="AE702" s="197"/>
      <c r="AF702" s="197"/>
      <c r="AG702" s="197"/>
      <c r="AH702" s="197"/>
      <c r="AI702" s="197"/>
      <c r="AJ702" s="197"/>
      <c r="AK702" s="197"/>
      <c r="AL702" s="197"/>
      <c r="AM702" s="197"/>
      <c r="AN702" s="197"/>
      <c r="AO702" s="197"/>
      <c r="AP702" s="197"/>
      <c r="AQ702" s="197"/>
      <c r="AR702" s="197"/>
      <c r="AS702" s="197"/>
      <c r="AT702" s="197"/>
      <c r="AU702" s="197"/>
      <c r="AV702" s="197"/>
      <c r="AW702" s="197"/>
    </row>
    <row r="703" spans="28:49" s="196" customFormat="1">
      <c r="AB703" s="201"/>
      <c r="AC703" s="201"/>
      <c r="AD703" s="197"/>
      <c r="AE703" s="197"/>
      <c r="AF703" s="197"/>
      <c r="AG703" s="197"/>
      <c r="AH703" s="197"/>
      <c r="AI703" s="197"/>
      <c r="AJ703" s="197"/>
      <c r="AK703" s="197"/>
      <c r="AL703" s="197"/>
      <c r="AM703" s="197"/>
      <c r="AN703" s="197"/>
      <c r="AO703" s="197"/>
      <c r="AP703" s="197"/>
      <c r="AQ703" s="197"/>
      <c r="AR703" s="197"/>
      <c r="AS703" s="197"/>
      <c r="AT703" s="197"/>
      <c r="AU703" s="197"/>
      <c r="AV703" s="197"/>
      <c r="AW703" s="197"/>
    </row>
    <row r="704" spans="28:49" s="196" customFormat="1">
      <c r="AB704" s="201"/>
      <c r="AC704" s="201"/>
      <c r="AD704" s="197"/>
      <c r="AE704" s="197"/>
      <c r="AF704" s="197"/>
      <c r="AG704" s="197"/>
      <c r="AH704" s="197"/>
      <c r="AI704" s="197"/>
      <c r="AJ704" s="197"/>
      <c r="AK704" s="197"/>
      <c r="AL704" s="197"/>
      <c r="AM704" s="197"/>
      <c r="AN704" s="197"/>
      <c r="AO704" s="197"/>
      <c r="AP704" s="197"/>
      <c r="AQ704" s="197"/>
      <c r="AR704" s="197"/>
      <c r="AS704" s="197"/>
      <c r="AT704" s="197"/>
      <c r="AU704" s="197"/>
      <c r="AV704" s="197"/>
      <c r="AW704" s="197"/>
    </row>
    <row r="705" spans="28:49" s="196" customFormat="1">
      <c r="AB705" s="201"/>
      <c r="AC705" s="201"/>
      <c r="AD705" s="197"/>
      <c r="AE705" s="197"/>
      <c r="AF705" s="197"/>
      <c r="AG705" s="197"/>
      <c r="AH705" s="197"/>
      <c r="AI705" s="197"/>
      <c r="AJ705" s="197"/>
      <c r="AK705" s="197"/>
      <c r="AL705" s="197"/>
      <c r="AM705" s="197"/>
      <c r="AN705" s="197"/>
      <c r="AO705" s="197"/>
      <c r="AP705" s="197"/>
      <c r="AQ705" s="197"/>
      <c r="AR705" s="197"/>
      <c r="AS705" s="197"/>
      <c r="AT705" s="197"/>
      <c r="AU705" s="197"/>
      <c r="AV705" s="197"/>
      <c r="AW705" s="197"/>
    </row>
    <row r="706" spans="28:49" s="196" customFormat="1">
      <c r="AB706" s="201"/>
      <c r="AC706" s="201"/>
      <c r="AD706" s="197"/>
      <c r="AE706" s="197"/>
      <c r="AF706" s="197"/>
      <c r="AG706" s="197"/>
      <c r="AH706" s="197"/>
      <c r="AI706" s="197"/>
      <c r="AJ706" s="197"/>
      <c r="AK706" s="197"/>
      <c r="AL706" s="197"/>
      <c r="AM706" s="197"/>
      <c r="AN706" s="197"/>
      <c r="AO706" s="197"/>
      <c r="AP706" s="197"/>
      <c r="AQ706" s="197"/>
      <c r="AR706" s="197"/>
      <c r="AS706" s="197"/>
      <c r="AT706" s="197"/>
      <c r="AU706" s="197"/>
      <c r="AV706" s="197"/>
      <c r="AW706" s="197"/>
    </row>
    <row r="707" spans="28:49" s="196" customFormat="1">
      <c r="AB707" s="201"/>
      <c r="AC707" s="201"/>
      <c r="AD707" s="197"/>
      <c r="AE707" s="197"/>
      <c r="AF707" s="197"/>
      <c r="AG707" s="197"/>
      <c r="AH707" s="197"/>
      <c r="AI707" s="197"/>
      <c r="AJ707" s="197"/>
      <c r="AK707" s="197"/>
      <c r="AL707" s="197"/>
      <c r="AM707" s="197"/>
      <c r="AN707" s="197"/>
      <c r="AO707" s="197"/>
      <c r="AP707" s="197"/>
      <c r="AQ707" s="197"/>
      <c r="AR707" s="197"/>
      <c r="AS707" s="197"/>
      <c r="AT707" s="197"/>
      <c r="AU707" s="197"/>
      <c r="AV707" s="197"/>
      <c r="AW707" s="197"/>
    </row>
    <row r="708" spans="28:49" s="196" customFormat="1">
      <c r="AB708" s="201"/>
      <c r="AC708" s="201"/>
      <c r="AD708" s="197"/>
      <c r="AE708" s="197"/>
      <c r="AF708" s="197"/>
      <c r="AG708" s="197"/>
      <c r="AH708" s="197"/>
      <c r="AI708" s="197"/>
      <c r="AJ708" s="197"/>
      <c r="AK708" s="197"/>
      <c r="AL708" s="197"/>
      <c r="AM708" s="197"/>
      <c r="AN708" s="197"/>
      <c r="AO708" s="197"/>
      <c r="AP708" s="197"/>
      <c r="AQ708" s="197"/>
      <c r="AR708" s="197"/>
      <c r="AS708" s="197"/>
      <c r="AT708" s="197"/>
      <c r="AU708" s="197"/>
      <c r="AV708" s="197"/>
      <c r="AW708" s="197"/>
    </row>
    <row r="709" spans="28:49" s="196" customFormat="1">
      <c r="AB709" s="201"/>
      <c r="AC709" s="201"/>
      <c r="AD709" s="197"/>
      <c r="AE709" s="197"/>
      <c r="AF709" s="197"/>
      <c r="AG709" s="197"/>
      <c r="AH709" s="197"/>
      <c r="AI709" s="197"/>
      <c r="AJ709" s="197"/>
      <c r="AK709" s="197"/>
      <c r="AL709" s="197"/>
      <c r="AM709" s="197"/>
      <c r="AN709" s="197"/>
      <c r="AO709" s="197"/>
      <c r="AP709" s="197"/>
      <c r="AQ709" s="197"/>
      <c r="AR709" s="197"/>
      <c r="AS709" s="197"/>
      <c r="AT709" s="197"/>
      <c r="AU709" s="197"/>
      <c r="AV709" s="197"/>
      <c r="AW709" s="197"/>
    </row>
    <row r="710" spans="28:49" s="196" customFormat="1">
      <c r="AB710" s="201"/>
      <c r="AC710" s="201"/>
      <c r="AD710" s="197"/>
      <c r="AE710" s="197"/>
      <c r="AF710" s="197"/>
      <c r="AG710" s="197"/>
      <c r="AH710" s="197"/>
      <c r="AI710" s="197"/>
      <c r="AJ710" s="197"/>
      <c r="AK710" s="197"/>
      <c r="AL710" s="197"/>
      <c r="AM710" s="197"/>
      <c r="AN710" s="197"/>
      <c r="AO710" s="197"/>
      <c r="AP710" s="197"/>
      <c r="AQ710" s="197"/>
      <c r="AR710" s="197"/>
      <c r="AS710" s="197"/>
      <c r="AT710" s="197"/>
      <c r="AU710" s="197"/>
      <c r="AV710" s="197"/>
      <c r="AW710" s="197"/>
    </row>
    <row r="711" spans="28:49" s="196" customFormat="1">
      <c r="AB711" s="201"/>
      <c r="AC711" s="201"/>
      <c r="AD711" s="197"/>
      <c r="AE711" s="197"/>
      <c r="AF711" s="197"/>
      <c r="AG711" s="197"/>
      <c r="AH711" s="197"/>
      <c r="AI711" s="197"/>
      <c r="AJ711" s="197"/>
      <c r="AK711" s="197"/>
      <c r="AL711" s="197"/>
      <c r="AM711" s="197"/>
      <c r="AN711" s="197"/>
      <c r="AO711" s="197"/>
      <c r="AP711" s="197"/>
      <c r="AQ711" s="197"/>
      <c r="AR711" s="197"/>
      <c r="AS711" s="197"/>
      <c r="AT711" s="197"/>
      <c r="AU711" s="197"/>
      <c r="AV711" s="197"/>
      <c r="AW711" s="197"/>
    </row>
    <row r="712" spans="28:49" s="196" customFormat="1">
      <c r="AB712" s="201"/>
      <c r="AC712" s="201"/>
      <c r="AD712" s="197"/>
      <c r="AE712" s="197"/>
      <c r="AF712" s="197"/>
      <c r="AG712" s="197"/>
      <c r="AH712" s="197"/>
      <c r="AI712" s="197"/>
      <c r="AJ712" s="197"/>
      <c r="AK712" s="197"/>
      <c r="AL712" s="197"/>
      <c r="AM712" s="197"/>
      <c r="AN712" s="197"/>
      <c r="AO712" s="197"/>
      <c r="AP712" s="197"/>
      <c r="AQ712" s="197"/>
      <c r="AR712" s="197"/>
      <c r="AS712" s="197"/>
      <c r="AT712" s="197"/>
      <c r="AU712" s="197"/>
      <c r="AV712" s="197"/>
      <c r="AW712" s="197"/>
    </row>
    <row r="713" spans="28:49" s="196" customFormat="1">
      <c r="AB713" s="201"/>
      <c r="AC713" s="201"/>
      <c r="AD713" s="197"/>
      <c r="AE713" s="197"/>
      <c r="AF713" s="197"/>
      <c r="AG713" s="197"/>
      <c r="AH713" s="197"/>
      <c r="AI713" s="197"/>
      <c r="AJ713" s="197"/>
      <c r="AK713" s="197"/>
      <c r="AL713" s="197"/>
      <c r="AM713" s="197"/>
      <c r="AN713" s="197"/>
      <c r="AO713" s="197"/>
      <c r="AP713" s="197"/>
      <c r="AQ713" s="197"/>
      <c r="AR713" s="197"/>
      <c r="AS713" s="197"/>
      <c r="AT713" s="197"/>
      <c r="AU713" s="197"/>
      <c r="AV713" s="197"/>
      <c r="AW713" s="197"/>
    </row>
    <row r="714" spans="28:49" s="196" customFormat="1">
      <c r="AB714" s="201"/>
      <c r="AC714" s="201"/>
      <c r="AD714" s="197"/>
      <c r="AE714" s="197"/>
      <c r="AF714" s="197"/>
      <c r="AG714" s="197"/>
      <c r="AH714" s="197"/>
      <c r="AI714" s="197"/>
      <c r="AJ714" s="197"/>
      <c r="AK714" s="197"/>
      <c r="AL714" s="197"/>
      <c r="AM714" s="197"/>
      <c r="AN714" s="197"/>
      <c r="AO714" s="197"/>
      <c r="AP714" s="197"/>
      <c r="AQ714" s="197"/>
      <c r="AR714" s="197"/>
      <c r="AS714" s="197"/>
      <c r="AT714" s="197"/>
      <c r="AU714" s="197"/>
      <c r="AV714" s="197"/>
      <c r="AW714" s="197"/>
    </row>
    <row r="715" spans="28:49" s="196" customFormat="1">
      <c r="AB715" s="201"/>
      <c r="AC715" s="201"/>
      <c r="AD715" s="197"/>
      <c r="AE715" s="197"/>
      <c r="AF715" s="197"/>
      <c r="AG715" s="197"/>
      <c r="AH715" s="197"/>
      <c r="AI715" s="197"/>
      <c r="AJ715" s="197"/>
      <c r="AK715" s="197"/>
      <c r="AL715" s="197"/>
      <c r="AM715" s="197"/>
      <c r="AN715" s="197"/>
      <c r="AO715" s="197"/>
      <c r="AP715" s="197"/>
      <c r="AQ715" s="197"/>
      <c r="AR715" s="197"/>
      <c r="AS715" s="197"/>
      <c r="AT715" s="197"/>
      <c r="AU715" s="197"/>
      <c r="AV715" s="197"/>
      <c r="AW715" s="197"/>
    </row>
    <row r="716" spans="28:49" s="196" customFormat="1">
      <c r="AB716" s="201"/>
      <c r="AC716" s="201"/>
      <c r="AD716" s="197"/>
      <c r="AE716" s="197"/>
      <c r="AF716" s="197"/>
      <c r="AG716" s="197"/>
      <c r="AH716" s="197"/>
      <c r="AI716" s="197"/>
      <c r="AJ716" s="197"/>
      <c r="AK716" s="197"/>
      <c r="AL716" s="197"/>
      <c r="AM716" s="197"/>
      <c r="AN716" s="197"/>
      <c r="AO716" s="197"/>
      <c r="AP716" s="197"/>
      <c r="AQ716" s="197"/>
      <c r="AR716" s="197"/>
      <c r="AS716" s="197"/>
      <c r="AT716" s="197"/>
      <c r="AU716" s="197"/>
      <c r="AV716" s="197"/>
      <c r="AW716" s="197"/>
    </row>
    <row r="717" spans="28:49" s="196" customFormat="1">
      <c r="AB717" s="201"/>
      <c r="AC717" s="201"/>
      <c r="AD717" s="197"/>
      <c r="AE717" s="197"/>
      <c r="AF717" s="197"/>
      <c r="AG717" s="197"/>
      <c r="AH717" s="197"/>
      <c r="AI717" s="197"/>
      <c r="AJ717" s="197"/>
      <c r="AK717" s="197"/>
      <c r="AL717" s="197"/>
      <c r="AM717" s="197"/>
      <c r="AN717" s="197"/>
      <c r="AO717" s="197"/>
      <c r="AP717" s="197"/>
      <c r="AQ717" s="197"/>
      <c r="AR717" s="197"/>
      <c r="AS717" s="197"/>
      <c r="AT717" s="197"/>
      <c r="AU717" s="197"/>
      <c r="AV717" s="197"/>
      <c r="AW717" s="197"/>
    </row>
    <row r="718" spans="28:49" s="196" customFormat="1">
      <c r="AB718" s="201"/>
      <c r="AC718" s="201"/>
      <c r="AD718" s="197"/>
      <c r="AE718" s="197"/>
      <c r="AF718" s="197"/>
      <c r="AG718" s="197"/>
      <c r="AH718" s="197"/>
      <c r="AI718" s="197"/>
      <c r="AJ718" s="197"/>
      <c r="AK718" s="197"/>
      <c r="AL718" s="197"/>
      <c r="AM718" s="197"/>
      <c r="AN718" s="197"/>
      <c r="AO718" s="197"/>
      <c r="AP718" s="197"/>
      <c r="AQ718" s="197"/>
      <c r="AR718" s="197"/>
      <c r="AS718" s="197"/>
      <c r="AT718" s="197"/>
      <c r="AU718" s="197"/>
      <c r="AV718" s="197"/>
      <c r="AW718" s="197"/>
    </row>
    <row r="719" spans="28:49" s="196" customFormat="1">
      <c r="AB719" s="201"/>
      <c r="AC719" s="201"/>
      <c r="AD719" s="197"/>
      <c r="AE719" s="197"/>
      <c r="AF719" s="197"/>
      <c r="AG719" s="197"/>
      <c r="AH719" s="197"/>
      <c r="AI719" s="197"/>
      <c r="AJ719" s="197"/>
      <c r="AK719" s="197"/>
      <c r="AL719" s="197"/>
      <c r="AM719" s="197"/>
      <c r="AN719" s="197"/>
      <c r="AO719" s="197"/>
      <c r="AP719" s="197"/>
      <c r="AQ719" s="197"/>
      <c r="AR719" s="197"/>
      <c r="AS719" s="197"/>
      <c r="AT719" s="197"/>
      <c r="AU719" s="197"/>
      <c r="AV719" s="197"/>
      <c r="AW719" s="197"/>
    </row>
    <row r="720" spans="28:49" s="196" customFormat="1">
      <c r="AB720" s="201"/>
      <c r="AC720" s="201"/>
      <c r="AD720" s="197"/>
      <c r="AE720" s="197"/>
      <c r="AF720" s="197"/>
      <c r="AG720" s="197"/>
      <c r="AH720" s="197"/>
      <c r="AI720" s="197"/>
      <c r="AJ720" s="197"/>
      <c r="AK720" s="197"/>
      <c r="AL720" s="197"/>
      <c r="AM720" s="197"/>
      <c r="AN720" s="197"/>
      <c r="AO720" s="197"/>
      <c r="AP720" s="197"/>
      <c r="AQ720" s="197"/>
      <c r="AR720" s="197"/>
      <c r="AS720" s="197"/>
      <c r="AT720" s="197"/>
      <c r="AU720" s="197"/>
      <c r="AV720" s="197"/>
      <c r="AW720" s="197"/>
    </row>
    <row r="721" spans="28:49" s="196" customFormat="1">
      <c r="AB721" s="201"/>
      <c r="AC721" s="201"/>
      <c r="AD721" s="197"/>
      <c r="AE721" s="197"/>
      <c r="AF721" s="197"/>
      <c r="AG721" s="197"/>
      <c r="AH721" s="197"/>
      <c r="AI721" s="197"/>
      <c r="AJ721" s="197"/>
      <c r="AK721" s="197"/>
      <c r="AL721" s="197"/>
      <c r="AM721" s="197"/>
      <c r="AN721" s="197"/>
      <c r="AO721" s="197"/>
      <c r="AP721" s="197"/>
      <c r="AQ721" s="197"/>
      <c r="AR721" s="197"/>
      <c r="AS721" s="197"/>
      <c r="AT721" s="197"/>
      <c r="AU721" s="197"/>
      <c r="AV721" s="197"/>
      <c r="AW721" s="197"/>
    </row>
    <row r="722" spans="28:49" s="196" customFormat="1">
      <c r="AB722" s="201"/>
      <c r="AC722" s="201"/>
      <c r="AD722" s="197"/>
      <c r="AE722" s="197"/>
      <c r="AF722" s="197"/>
      <c r="AG722" s="197"/>
      <c r="AH722" s="197"/>
      <c r="AI722" s="197"/>
      <c r="AJ722" s="197"/>
      <c r="AK722" s="197"/>
      <c r="AL722" s="197"/>
      <c r="AM722" s="197"/>
      <c r="AN722" s="197"/>
      <c r="AO722" s="197"/>
      <c r="AP722" s="197"/>
      <c r="AQ722" s="197"/>
      <c r="AR722" s="197"/>
      <c r="AS722" s="197"/>
      <c r="AT722" s="197"/>
      <c r="AU722" s="197"/>
      <c r="AV722" s="197"/>
      <c r="AW722" s="197"/>
    </row>
    <row r="723" spans="28:49" s="196" customFormat="1">
      <c r="AB723" s="201"/>
      <c r="AC723" s="201"/>
      <c r="AD723" s="197"/>
      <c r="AE723" s="197"/>
      <c r="AF723" s="197"/>
      <c r="AG723" s="197"/>
      <c r="AH723" s="197"/>
      <c r="AI723" s="197"/>
      <c r="AJ723" s="197"/>
      <c r="AK723" s="197"/>
      <c r="AL723" s="197"/>
      <c r="AM723" s="197"/>
      <c r="AN723" s="197"/>
      <c r="AO723" s="197"/>
      <c r="AP723" s="197"/>
      <c r="AQ723" s="197"/>
      <c r="AR723" s="197"/>
      <c r="AS723" s="197"/>
      <c r="AT723" s="197"/>
      <c r="AU723" s="197"/>
      <c r="AV723" s="197"/>
      <c r="AW723" s="197"/>
    </row>
    <row r="724" spans="28:49" s="196" customFormat="1">
      <c r="AB724" s="201"/>
      <c r="AC724" s="201"/>
      <c r="AD724" s="197"/>
      <c r="AE724" s="197"/>
      <c r="AF724" s="197"/>
      <c r="AG724" s="197"/>
      <c r="AH724" s="197"/>
      <c r="AI724" s="197"/>
      <c r="AJ724" s="197"/>
      <c r="AK724" s="197"/>
      <c r="AL724" s="197"/>
      <c r="AM724" s="197"/>
      <c r="AN724" s="197"/>
      <c r="AO724" s="197"/>
      <c r="AP724" s="197"/>
      <c r="AQ724" s="197"/>
      <c r="AR724" s="197"/>
      <c r="AS724" s="197"/>
      <c r="AT724" s="197"/>
      <c r="AU724" s="197"/>
      <c r="AV724" s="197"/>
      <c r="AW724" s="197"/>
    </row>
    <row r="725" spans="28:49" s="196" customFormat="1">
      <c r="AB725" s="201"/>
      <c r="AC725" s="201"/>
      <c r="AD725" s="197"/>
      <c r="AE725" s="197"/>
      <c r="AF725" s="197"/>
      <c r="AG725" s="197"/>
      <c r="AH725" s="197"/>
      <c r="AI725" s="197"/>
      <c r="AJ725" s="197"/>
      <c r="AK725" s="197"/>
      <c r="AL725" s="197"/>
      <c r="AM725" s="197"/>
      <c r="AN725" s="197"/>
      <c r="AO725" s="197"/>
      <c r="AP725" s="197"/>
      <c r="AQ725" s="197"/>
      <c r="AR725" s="197"/>
      <c r="AS725" s="197"/>
      <c r="AT725" s="197"/>
      <c r="AU725" s="197"/>
      <c r="AV725" s="197"/>
      <c r="AW725" s="197"/>
    </row>
    <row r="726" spans="28:49" s="196" customFormat="1">
      <c r="AB726" s="201"/>
      <c r="AC726" s="201"/>
      <c r="AD726" s="197"/>
      <c r="AE726" s="197"/>
      <c r="AF726" s="197"/>
      <c r="AG726" s="197"/>
      <c r="AH726" s="197"/>
      <c r="AI726" s="197"/>
      <c r="AJ726" s="197"/>
      <c r="AK726" s="197"/>
      <c r="AL726" s="197"/>
      <c r="AM726" s="197"/>
      <c r="AN726" s="197"/>
      <c r="AO726" s="197"/>
      <c r="AP726" s="197"/>
      <c r="AQ726" s="197"/>
      <c r="AR726" s="197"/>
      <c r="AS726" s="197"/>
      <c r="AT726" s="197"/>
      <c r="AU726" s="197"/>
      <c r="AV726" s="197"/>
      <c r="AW726" s="197"/>
    </row>
    <row r="727" spans="28:49" s="196" customFormat="1">
      <c r="AB727" s="201"/>
      <c r="AC727" s="201"/>
      <c r="AD727" s="197"/>
      <c r="AE727" s="197"/>
      <c r="AF727" s="197"/>
      <c r="AG727" s="197"/>
      <c r="AH727" s="197"/>
      <c r="AI727" s="197"/>
      <c r="AJ727" s="197"/>
      <c r="AK727" s="197"/>
      <c r="AL727" s="197"/>
      <c r="AM727" s="197"/>
      <c r="AN727" s="197"/>
      <c r="AO727" s="197"/>
      <c r="AP727" s="197"/>
      <c r="AQ727" s="197"/>
      <c r="AR727" s="197"/>
      <c r="AS727" s="197"/>
      <c r="AT727" s="197"/>
      <c r="AU727" s="197"/>
      <c r="AV727" s="197"/>
      <c r="AW727" s="197"/>
    </row>
    <row r="728" spans="28:49" s="196" customFormat="1">
      <c r="AB728" s="201"/>
      <c r="AC728" s="201"/>
      <c r="AD728" s="197"/>
      <c r="AE728" s="197"/>
      <c r="AF728" s="197"/>
      <c r="AG728" s="197"/>
      <c r="AH728" s="197"/>
      <c r="AI728" s="197"/>
      <c r="AJ728" s="197"/>
      <c r="AK728" s="197"/>
      <c r="AL728" s="197"/>
      <c r="AM728" s="197"/>
      <c r="AN728" s="197"/>
      <c r="AO728" s="197"/>
      <c r="AP728" s="197"/>
      <c r="AQ728" s="197"/>
      <c r="AR728" s="197"/>
      <c r="AS728" s="197"/>
      <c r="AT728" s="197"/>
      <c r="AU728" s="197"/>
      <c r="AV728" s="197"/>
      <c r="AW728" s="197"/>
    </row>
    <row r="729" spans="28:49" s="196" customFormat="1">
      <c r="AB729" s="201"/>
      <c r="AC729" s="201"/>
      <c r="AD729" s="197"/>
      <c r="AE729" s="197"/>
      <c r="AF729" s="197"/>
      <c r="AG729" s="197"/>
      <c r="AH729" s="197"/>
      <c r="AI729" s="197"/>
      <c r="AJ729" s="197"/>
      <c r="AK729" s="197"/>
      <c r="AL729" s="197"/>
      <c r="AM729" s="197"/>
      <c r="AN729" s="197"/>
      <c r="AO729" s="197"/>
      <c r="AP729" s="197"/>
      <c r="AQ729" s="197"/>
      <c r="AR729" s="197"/>
      <c r="AS729" s="197"/>
      <c r="AT729" s="197"/>
      <c r="AU729" s="197"/>
      <c r="AV729" s="197"/>
      <c r="AW729" s="197"/>
    </row>
    <row r="730" spans="28:49" s="196" customFormat="1">
      <c r="AB730" s="201"/>
      <c r="AC730" s="201"/>
      <c r="AD730" s="197"/>
      <c r="AE730" s="197"/>
      <c r="AF730" s="197"/>
      <c r="AG730" s="197"/>
      <c r="AH730" s="197"/>
      <c r="AI730" s="197"/>
      <c r="AJ730" s="197"/>
      <c r="AK730" s="197"/>
      <c r="AL730" s="197"/>
      <c r="AM730" s="197"/>
      <c r="AN730" s="197"/>
      <c r="AO730" s="197"/>
      <c r="AP730" s="197"/>
      <c r="AQ730" s="197"/>
      <c r="AR730" s="197"/>
      <c r="AS730" s="197"/>
      <c r="AT730" s="197"/>
      <c r="AU730" s="197"/>
      <c r="AV730" s="197"/>
      <c r="AW730" s="197"/>
    </row>
    <row r="731" spans="28:49" s="196" customFormat="1">
      <c r="AB731" s="201"/>
      <c r="AC731" s="201"/>
      <c r="AD731" s="197"/>
      <c r="AE731" s="197"/>
      <c r="AF731" s="197"/>
      <c r="AG731" s="197"/>
      <c r="AH731" s="197"/>
      <c r="AI731" s="197"/>
      <c r="AJ731" s="197"/>
      <c r="AK731" s="197"/>
      <c r="AL731" s="197"/>
      <c r="AM731" s="197"/>
      <c r="AN731" s="197"/>
      <c r="AO731" s="197"/>
      <c r="AP731" s="197"/>
      <c r="AQ731" s="197"/>
      <c r="AR731" s="197"/>
      <c r="AS731" s="197"/>
      <c r="AT731" s="197"/>
      <c r="AU731" s="197"/>
      <c r="AV731" s="197"/>
      <c r="AW731" s="197"/>
    </row>
    <row r="732" spans="28:49" s="196" customFormat="1">
      <c r="AB732" s="201"/>
      <c r="AC732" s="201"/>
      <c r="AD732" s="197"/>
      <c r="AE732" s="197"/>
      <c r="AF732" s="197"/>
      <c r="AG732" s="197"/>
      <c r="AH732" s="197"/>
      <c r="AI732" s="197"/>
      <c r="AJ732" s="197"/>
      <c r="AK732" s="197"/>
      <c r="AL732" s="197"/>
      <c r="AM732" s="197"/>
      <c r="AN732" s="197"/>
      <c r="AO732" s="197"/>
      <c r="AP732" s="197"/>
      <c r="AQ732" s="197"/>
      <c r="AR732" s="197"/>
      <c r="AS732" s="197"/>
      <c r="AT732" s="197"/>
      <c r="AU732" s="197"/>
      <c r="AV732" s="197"/>
      <c r="AW732" s="197"/>
    </row>
    <row r="733" spans="28:49" s="196" customFormat="1">
      <c r="AB733" s="201"/>
      <c r="AC733" s="201"/>
      <c r="AD733" s="197"/>
      <c r="AE733" s="197"/>
      <c r="AF733" s="197"/>
      <c r="AG733" s="197"/>
      <c r="AH733" s="197"/>
      <c r="AI733" s="197"/>
      <c r="AJ733" s="197"/>
      <c r="AK733" s="197"/>
      <c r="AL733" s="197"/>
      <c r="AM733" s="197"/>
      <c r="AN733" s="197"/>
      <c r="AO733" s="197"/>
      <c r="AP733" s="197"/>
      <c r="AQ733" s="197"/>
      <c r="AR733" s="197"/>
      <c r="AS733" s="197"/>
      <c r="AT733" s="197"/>
      <c r="AU733" s="197"/>
      <c r="AV733" s="197"/>
      <c r="AW733" s="197"/>
    </row>
    <row r="734" spans="28:49" s="196" customFormat="1">
      <c r="AB734" s="201"/>
      <c r="AC734" s="201"/>
      <c r="AD734" s="197"/>
      <c r="AE734" s="197"/>
      <c r="AF734" s="197"/>
      <c r="AG734" s="197"/>
      <c r="AH734" s="197"/>
      <c r="AI734" s="197"/>
      <c r="AJ734" s="197"/>
      <c r="AK734" s="197"/>
      <c r="AL734" s="197"/>
      <c r="AM734" s="197"/>
      <c r="AN734" s="197"/>
      <c r="AO734" s="197"/>
      <c r="AP734" s="197"/>
      <c r="AQ734" s="197"/>
      <c r="AR734" s="197"/>
      <c r="AS734" s="197"/>
      <c r="AT734" s="197"/>
      <c r="AU734" s="197"/>
      <c r="AV734" s="197"/>
      <c r="AW734" s="197"/>
    </row>
    <row r="735" spans="28:49" s="196" customFormat="1">
      <c r="AB735" s="201"/>
      <c r="AC735" s="201"/>
      <c r="AD735" s="197"/>
      <c r="AE735" s="197"/>
      <c r="AF735" s="197"/>
      <c r="AG735" s="197"/>
      <c r="AH735" s="197"/>
      <c r="AI735" s="197"/>
      <c r="AJ735" s="197"/>
      <c r="AK735" s="197"/>
      <c r="AL735" s="197"/>
      <c r="AM735" s="197"/>
      <c r="AN735" s="197"/>
      <c r="AO735" s="197"/>
      <c r="AP735" s="197"/>
      <c r="AQ735" s="197"/>
      <c r="AR735" s="197"/>
      <c r="AS735" s="197"/>
      <c r="AT735" s="197"/>
      <c r="AU735" s="197"/>
      <c r="AV735" s="197"/>
      <c r="AW735" s="197"/>
    </row>
    <row r="736" spans="28:49" s="196" customFormat="1">
      <c r="AB736" s="201"/>
      <c r="AC736" s="201"/>
      <c r="AD736" s="197"/>
      <c r="AE736" s="197"/>
      <c r="AF736" s="197"/>
      <c r="AG736" s="197"/>
      <c r="AH736" s="197"/>
      <c r="AI736" s="197"/>
      <c r="AJ736" s="197"/>
      <c r="AK736" s="197"/>
      <c r="AL736" s="197"/>
      <c r="AM736" s="197"/>
      <c r="AN736" s="197"/>
      <c r="AO736" s="197"/>
      <c r="AP736" s="197"/>
      <c r="AQ736" s="197"/>
      <c r="AR736" s="197"/>
      <c r="AS736" s="197"/>
      <c r="AT736" s="197"/>
      <c r="AU736" s="197"/>
      <c r="AV736" s="197"/>
      <c r="AW736" s="197"/>
    </row>
    <row r="737" spans="28:49" s="196" customFormat="1">
      <c r="AB737" s="201"/>
      <c r="AC737" s="201"/>
      <c r="AD737" s="197"/>
      <c r="AE737" s="197"/>
      <c r="AF737" s="197"/>
      <c r="AG737" s="197"/>
      <c r="AH737" s="197"/>
      <c r="AI737" s="197"/>
      <c r="AJ737" s="197"/>
      <c r="AK737" s="197"/>
      <c r="AL737" s="197"/>
      <c r="AM737" s="197"/>
      <c r="AN737" s="197"/>
      <c r="AO737" s="197"/>
      <c r="AP737" s="197"/>
      <c r="AQ737" s="197"/>
      <c r="AR737" s="197"/>
      <c r="AS737" s="197"/>
      <c r="AT737" s="197"/>
      <c r="AU737" s="197"/>
      <c r="AV737" s="197"/>
      <c r="AW737" s="197"/>
    </row>
    <row r="738" spans="28:49" s="196" customFormat="1">
      <c r="AB738" s="201"/>
      <c r="AC738" s="201"/>
      <c r="AD738" s="197"/>
      <c r="AE738" s="197"/>
      <c r="AF738" s="197"/>
      <c r="AG738" s="197"/>
      <c r="AH738" s="197"/>
      <c r="AI738" s="197"/>
      <c r="AJ738" s="197"/>
      <c r="AK738" s="197"/>
      <c r="AL738" s="197"/>
      <c r="AM738" s="197"/>
      <c r="AN738" s="197"/>
      <c r="AO738" s="197"/>
      <c r="AP738" s="197"/>
      <c r="AQ738" s="197"/>
      <c r="AR738" s="197"/>
      <c r="AS738" s="197"/>
      <c r="AT738" s="197"/>
      <c r="AU738" s="197"/>
      <c r="AV738" s="197"/>
      <c r="AW738" s="197"/>
    </row>
    <row r="739" spans="28:49" s="196" customFormat="1">
      <c r="AB739" s="201"/>
      <c r="AC739" s="201"/>
      <c r="AD739" s="197"/>
      <c r="AE739" s="197"/>
      <c r="AF739" s="197"/>
      <c r="AG739" s="197"/>
      <c r="AH739" s="197"/>
      <c r="AI739" s="197"/>
      <c r="AJ739" s="197"/>
      <c r="AK739" s="197"/>
      <c r="AL739" s="197"/>
      <c r="AM739" s="197"/>
      <c r="AN739" s="197"/>
      <c r="AO739" s="197"/>
      <c r="AP739" s="197"/>
      <c r="AQ739" s="197"/>
      <c r="AR739" s="197"/>
      <c r="AS739" s="197"/>
      <c r="AT739" s="197"/>
      <c r="AU739" s="197"/>
      <c r="AV739" s="197"/>
      <c r="AW739" s="197"/>
    </row>
    <row r="740" spans="28:49" s="196" customFormat="1">
      <c r="AB740" s="201"/>
      <c r="AC740" s="201"/>
      <c r="AD740" s="197"/>
      <c r="AE740" s="197"/>
      <c r="AF740" s="197"/>
      <c r="AG740" s="197"/>
      <c r="AH740" s="197"/>
      <c r="AI740" s="197"/>
      <c r="AJ740" s="197"/>
      <c r="AK740" s="197"/>
      <c r="AL740" s="197"/>
      <c r="AM740" s="197"/>
      <c r="AN740" s="197"/>
      <c r="AO740" s="197"/>
      <c r="AP740" s="197"/>
      <c r="AQ740" s="197"/>
      <c r="AR740" s="197"/>
      <c r="AS740" s="197"/>
      <c r="AT740" s="197"/>
      <c r="AU740" s="197"/>
      <c r="AV740" s="197"/>
      <c r="AW740" s="197"/>
    </row>
    <row r="741" spans="28:49" s="196" customFormat="1">
      <c r="AB741" s="201"/>
      <c r="AC741" s="201"/>
      <c r="AD741" s="197"/>
      <c r="AE741" s="197"/>
      <c r="AF741" s="197"/>
      <c r="AG741" s="197"/>
      <c r="AH741" s="197"/>
      <c r="AI741" s="197"/>
      <c r="AJ741" s="197"/>
      <c r="AK741" s="197"/>
      <c r="AL741" s="197"/>
      <c r="AM741" s="197"/>
      <c r="AN741" s="197"/>
      <c r="AO741" s="197"/>
      <c r="AP741" s="197"/>
      <c r="AQ741" s="197"/>
      <c r="AR741" s="197"/>
      <c r="AS741" s="197"/>
      <c r="AT741" s="197"/>
      <c r="AU741" s="197"/>
      <c r="AV741" s="197"/>
      <c r="AW741" s="197"/>
    </row>
    <row r="742" spans="28:49" s="196" customFormat="1">
      <c r="AB742" s="201"/>
      <c r="AC742" s="201"/>
      <c r="AD742" s="197"/>
      <c r="AE742" s="197"/>
      <c r="AF742" s="197"/>
      <c r="AG742" s="197"/>
      <c r="AH742" s="197"/>
      <c r="AI742" s="197"/>
      <c r="AJ742" s="197"/>
      <c r="AK742" s="197"/>
      <c r="AL742" s="197"/>
      <c r="AM742" s="197"/>
      <c r="AN742" s="197"/>
      <c r="AO742" s="197"/>
      <c r="AP742" s="197"/>
      <c r="AQ742" s="197"/>
      <c r="AR742" s="197"/>
      <c r="AS742" s="197"/>
      <c r="AT742" s="197"/>
      <c r="AU742" s="197"/>
      <c r="AV742" s="197"/>
      <c r="AW742" s="197"/>
    </row>
    <row r="743" spans="28:49" s="196" customFormat="1">
      <c r="AB743" s="201"/>
      <c r="AC743" s="201"/>
      <c r="AD743" s="197"/>
      <c r="AE743" s="197"/>
      <c r="AF743" s="197"/>
      <c r="AG743" s="197"/>
      <c r="AH743" s="197"/>
      <c r="AI743" s="197"/>
      <c r="AJ743" s="197"/>
      <c r="AK743" s="197"/>
      <c r="AL743" s="197"/>
      <c r="AM743" s="197"/>
      <c r="AN743" s="197"/>
      <c r="AO743" s="197"/>
      <c r="AP743" s="197"/>
      <c r="AQ743" s="197"/>
      <c r="AR743" s="197"/>
      <c r="AS743" s="197"/>
      <c r="AT743" s="197"/>
      <c r="AU743" s="197"/>
      <c r="AV743" s="197"/>
      <c r="AW743" s="197"/>
    </row>
    <row r="744" spans="28:49" s="196" customFormat="1">
      <c r="AB744" s="201"/>
      <c r="AC744" s="201"/>
      <c r="AD744" s="197"/>
      <c r="AE744" s="197"/>
      <c r="AF744" s="197"/>
      <c r="AG744" s="197"/>
      <c r="AH744" s="197"/>
      <c r="AI744" s="197"/>
      <c r="AJ744" s="197"/>
      <c r="AK744" s="197"/>
      <c r="AL744" s="197"/>
      <c r="AM744" s="197"/>
      <c r="AN744" s="197"/>
      <c r="AO744" s="197"/>
      <c r="AP744" s="197"/>
      <c r="AQ744" s="197"/>
      <c r="AR744" s="197"/>
      <c r="AS744" s="197"/>
      <c r="AT744" s="197"/>
      <c r="AU744" s="197"/>
      <c r="AV744" s="197"/>
      <c r="AW744" s="197"/>
    </row>
    <row r="745" spans="28:49" s="196" customFormat="1">
      <c r="AB745" s="201"/>
      <c r="AC745" s="201"/>
      <c r="AD745" s="197"/>
      <c r="AE745" s="197"/>
      <c r="AF745" s="197"/>
      <c r="AG745" s="197"/>
      <c r="AH745" s="197"/>
      <c r="AI745" s="197"/>
      <c r="AJ745" s="197"/>
      <c r="AK745" s="197"/>
      <c r="AL745" s="197"/>
      <c r="AM745" s="197"/>
      <c r="AN745" s="197"/>
      <c r="AO745" s="197"/>
      <c r="AP745" s="197"/>
      <c r="AQ745" s="197"/>
      <c r="AR745" s="197"/>
      <c r="AS745" s="197"/>
      <c r="AT745" s="197"/>
      <c r="AU745" s="197"/>
      <c r="AV745" s="197"/>
      <c r="AW745" s="197"/>
    </row>
    <row r="746" spans="28:49" s="196" customFormat="1">
      <c r="AB746" s="201"/>
      <c r="AC746" s="201"/>
      <c r="AD746" s="197"/>
      <c r="AE746" s="197"/>
      <c r="AF746" s="197"/>
      <c r="AG746" s="197"/>
      <c r="AH746" s="197"/>
      <c r="AI746" s="197"/>
      <c r="AJ746" s="197"/>
      <c r="AK746" s="197"/>
      <c r="AL746" s="197"/>
      <c r="AM746" s="197"/>
      <c r="AN746" s="197"/>
      <c r="AO746" s="197"/>
      <c r="AP746" s="197"/>
      <c r="AQ746" s="197"/>
      <c r="AR746" s="197"/>
      <c r="AS746" s="197"/>
      <c r="AT746" s="197"/>
      <c r="AU746" s="197"/>
      <c r="AV746" s="197"/>
      <c r="AW746" s="197"/>
    </row>
    <row r="747" spans="28:49" s="196" customFormat="1">
      <c r="AB747" s="201"/>
      <c r="AC747" s="201"/>
      <c r="AD747" s="197"/>
      <c r="AE747" s="197"/>
      <c r="AF747" s="197"/>
      <c r="AG747" s="197"/>
      <c r="AH747" s="197"/>
      <c r="AI747" s="197"/>
      <c r="AJ747" s="197"/>
      <c r="AK747" s="197"/>
      <c r="AL747" s="197"/>
      <c r="AM747" s="197"/>
      <c r="AN747" s="197"/>
      <c r="AO747" s="197"/>
      <c r="AP747" s="197"/>
      <c r="AQ747" s="197"/>
      <c r="AR747" s="197"/>
      <c r="AS747" s="197"/>
      <c r="AT747" s="197"/>
      <c r="AU747" s="197"/>
      <c r="AV747" s="197"/>
      <c r="AW747" s="197"/>
    </row>
    <row r="748" spans="28:49" s="196" customFormat="1">
      <c r="AB748" s="201"/>
      <c r="AC748" s="201"/>
      <c r="AD748" s="197"/>
      <c r="AE748" s="197"/>
      <c r="AF748" s="197"/>
      <c r="AG748" s="197"/>
      <c r="AH748" s="197"/>
      <c r="AI748" s="197"/>
      <c r="AJ748" s="197"/>
      <c r="AK748" s="197"/>
      <c r="AL748" s="197"/>
      <c r="AM748" s="197"/>
      <c r="AN748" s="197"/>
      <c r="AO748" s="197"/>
      <c r="AP748" s="197"/>
      <c r="AQ748" s="197"/>
      <c r="AR748" s="197"/>
      <c r="AS748" s="197"/>
      <c r="AT748" s="197"/>
      <c r="AU748" s="197"/>
      <c r="AV748" s="197"/>
      <c r="AW748" s="197"/>
    </row>
    <row r="749" spans="28:49" s="196" customFormat="1">
      <c r="AB749" s="201"/>
      <c r="AC749" s="201"/>
      <c r="AD749" s="197"/>
      <c r="AE749" s="197"/>
      <c r="AF749" s="197"/>
      <c r="AG749" s="197"/>
      <c r="AH749" s="197"/>
      <c r="AI749" s="197"/>
      <c r="AJ749" s="197"/>
      <c r="AK749" s="197"/>
      <c r="AL749" s="197"/>
      <c r="AM749" s="197"/>
      <c r="AN749" s="197"/>
      <c r="AO749" s="197"/>
      <c r="AP749" s="197"/>
      <c r="AQ749" s="197"/>
      <c r="AR749" s="197"/>
      <c r="AS749" s="197"/>
      <c r="AT749" s="197"/>
      <c r="AU749" s="197"/>
      <c r="AV749" s="197"/>
      <c r="AW749" s="197"/>
    </row>
    <row r="750" spans="28:49" s="196" customFormat="1">
      <c r="AB750" s="201"/>
      <c r="AC750" s="201"/>
      <c r="AD750" s="197"/>
      <c r="AE750" s="197"/>
      <c r="AF750" s="197"/>
      <c r="AG750" s="197"/>
      <c r="AH750" s="197"/>
      <c r="AI750" s="197"/>
      <c r="AJ750" s="197"/>
      <c r="AK750" s="197"/>
      <c r="AL750" s="197"/>
      <c r="AM750" s="197"/>
      <c r="AN750" s="197"/>
      <c r="AO750" s="197"/>
      <c r="AP750" s="197"/>
      <c r="AQ750" s="197"/>
      <c r="AR750" s="197"/>
      <c r="AS750" s="197"/>
      <c r="AT750" s="197"/>
      <c r="AU750" s="197"/>
      <c r="AV750" s="197"/>
      <c r="AW750" s="197"/>
    </row>
    <row r="751" spans="28:49" s="196" customFormat="1">
      <c r="AB751" s="201"/>
      <c r="AC751" s="201"/>
      <c r="AD751" s="197"/>
      <c r="AE751" s="197"/>
      <c r="AF751" s="197"/>
      <c r="AG751" s="197"/>
      <c r="AH751" s="197"/>
      <c r="AI751" s="197"/>
      <c r="AJ751" s="197"/>
      <c r="AK751" s="197"/>
      <c r="AL751" s="197"/>
      <c r="AM751" s="197"/>
      <c r="AN751" s="197"/>
      <c r="AO751" s="197"/>
      <c r="AP751" s="197"/>
      <c r="AQ751" s="197"/>
      <c r="AR751" s="197"/>
      <c r="AS751" s="197"/>
      <c r="AT751" s="197"/>
      <c r="AU751" s="197"/>
      <c r="AV751" s="197"/>
      <c r="AW751" s="197"/>
    </row>
    <row r="752" spans="28:49" s="196" customFormat="1">
      <c r="AB752" s="201"/>
      <c r="AC752" s="201"/>
      <c r="AD752" s="197"/>
      <c r="AE752" s="197"/>
      <c r="AF752" s="197"/>
      <c r="AG752" s="197"/>
      <c r="AH752" s="197"/>
      <c r="AI752" s="197"/>
      <c r="AJ752" s="197"/>
      <c r="AK752" s="197"/>
      <c r="AL752" s="197"/>
      <c r="AM752" s="197"/>
      <c r="AN752" s="197"/>
      <c r="AO752" s="197"/>
      <c r="AP752" s="197"/>
      <c r="AQ752" s="197"/>
      <c r="AR752" s="197"/>
      <c r="AS752" s="197"/>
      <c r="AT752" s="197"/>
      <c r="AU752" s="197"/>
      <c r="AV752" s="197"/>
      <c r="AW752" s="197"/>
    </row>
    <row r="753" spans="28:49" s="196" customFormat="1">
      <c r="AB753" s="201"/>
      <c r="AC753" s="201"/>
      <c r="AD753" s="197"/>
      <c r="AE753" s="197"/>
      <c r="AF753" s="197"/>
      <c r="AG753" s="197"/>
      <c r="AH753" s="197"/>
      <c r="AI753" s="197"/>
      <c r="AJ753" s="197"/>
      <c r="AK753" s="197"/>
      <c r="AL753" s="197"/>
      <c r="AM753" s="197"/>
      <c r="AN753" s="197"/>
      <c r="AO753" s="197"/>
      <c r="AP753" s="197"/>
      <c r="AQ753" s="197"/>
      <c r="AR753" s="197"/>
      <c r="AS753" s="197"/>
      <c r="AT753" s="197"/>
      <c r="AU753" s="197"/>
      <c r="AV753" s="197"/>
      <c r="AW753" s="197"/>
    </row>
    <row r="754" spans="28:49" s="196" customFormat="1">
      <c r="AB754" s="201"/>
      <c r="AC754" s="201"/>
      <c r="AD754" s="197"/>
      <c r="AE754" s="197"/>
      <c r="AF754" s="197"/>
      <c r="AG754" s="197"/>
      <c r="AH754" s="197"/>
      <c r="AI754" s="197"/>
      <c r="AJ754" s="197"/>
      <c r="AK754" s="197"/>
      <c r="AL754" s="197"/>
      <c r="AM754" s="197"/>
      <c r="AN754" s="197"/>
      <c r="AO754" s="197"/>
      <c r="AP754" s="197"/>
      <c r="AQ754" s="197"/>
      <c r="AR754" s="197"/>
      <c r="AS754" s="197"/>
      <c r="AT754" s="197"/>
      <c r="AU754" s="197"/>
      <c r="AV754" s="197"/>
      <c r="AW754" s="197"/>
    </row>
    <row r="755" spans="28:49" s="196" customFormat="1">
      <c r="AB755" s="201"/>
      <c r="AC755" s="201"/>
      <c r="AD755" s="197"/>
      <c r="AE755" s="197"/>
      <c r="AF755" s="197"/>
      <c r="AG755" s="197"/>
      <c r="AH755" s="197"/>
      <c r="AI755" s="197"/>
      <c r="AJ755" s="197"/>
      <c r="AK755" s="197"/>
      <c r="AL755" s="197"/>
      <c r="AM755" s="197"/>
      <c r="AN755" s="197"/>
      <c r="AO755" s="197"/>
      <c r="AP755" s="197"/>
      <c r="AQ755" s="197"/>
      <c r="AR755" s="197"/>
      <c r="AS755" s="197"/>
      <c r="AT755" s="197"/>
      <c r="AU755" s="197"/>
      <c r="AV755" s="197"/>
      <c r="AW755" s="197"/>
    </row>
    <row r="756" spans="28:49" s="196" customFormat="1">
      <c r="AB756" s="201"/>
      <c r="AC756" s="201"/>
      <c r="AD756" s="197"/>
      <c r="AE756" s="197"/>
      <c r="AF756" s="197"/>
      <c r="AG756" s="197"/>
      <c r="AH756" s="197"/>
      <c r="AI756" s="197"/>
      <c r="AJ756" s="197"/>
      <c r="AK756" s="197"/>
      <c r="AL756" s="197"/>
      <c r="AM756" s="197"/>
      <c r="AN756" s="197"/>
      <c r="AO756" s="197"/>
      <c r="AP756" s="197"/>
      <c r="AQ756" s="197"/>
      <c r="AR756" s="197"/>
      <c r="AS756" s="197"/>
      <c r="AT756" s="197"/>
      <c r="AU756" s="197"/>
      <c r="AV756" s="197"/>
      <c r="AW756" s="197"/>
    </row>
    <row r="757" spans="28:49" s="196" customFormat="1">
      <c r="AB757" s="201"/>
      <c r="AC757" s="201"/>
      <c r="AD757" s="197"/>
      <c r="AE757" s="197"/>
      <c r="AF757" s="197"/>
      <c r="AG757" s="197"/>
      <c r="AH757" s="197"/>
      <c r="AI757" s="197"/>
      <c r="AJ757" s="197"/>
      <c r="AK757" s="197"/>
      <c r="AL757" s="197"/>
      <c r="AM757" s="197"/>
      <c r="AN757" s="197"/>
      <c r="AO757" s="197"/>
      <c r="AP757" s="197"/>
      <c r="AQ757" s="197"/>
      <c r="AR757" s="197"/>
      <c r="AS757" s="197"/>
      <c r="AT757" s="197"/>
      <c r="AU757" s="197"/>
      <c r="AV757" s="197"/>
      <c r="AW757" s="197"/>
    </row>
    <row r="758" spans="28:49" s="196" customFormat="1">
      <c r="AB758" s="201"/>
      <c r="AC758" s="201"/>
      <c r="AD758" s="197"/>
      <c r="AE758" s="197"/>
      <c r="AF758" s="197"/>
      <c r="AG758" s="197"/>
      <c r="AH758" s="197"/>
      <c r="AI758" s="197"/>
      <c r="AJ758" s="197"/>
      <c r="AK758" s="197"/>
      <c r="AL758" s="197"/>
      <c r="AM758" s="197"/>
      <c r="AN758" s="197"/>
      <c r="AO758" s="197"/>
      <c r="AP758" s="197"/>
      <c r="AQ758" s="197"/>
      <c r="AR758" s="197"/>
      <c r="AS758" s="197"/>
      <c r="AT758" s="197"/>
      <c r="AU758" s="197"/>
      <c r="AV758" s="197"/>
      <c r="AW758" s="197"/>
    </row>
    <row r="759" spans="28:49" s="196" customFormat="1">
      <c r="AB759" s="201"/>
      <c r="AC759" s="201"/>
      <c r="AD759" s="197"/>
      <c r="AE759" s="197"/>
      <c r="AF759" s="197"/>
      <c r="AG759" s="197"/>
      <c r="AH759" s="197"/>
      <c r="AI759" s="197"/>
      <c r="AJ759" s="197"/>
      <c r="AK759" s="197"/>
      <c r="AL759" s="197"/>
      <c r="AM759" s="197"/>
      <c r="AN759" s="197"/>
      <c r="AO759" s="197"/>
      <c r="AP759" s="197"/>
      <c r="AQ759" s="197"/>
      <c r="AR759" s="197"/>
      <c r="AS759" s="197"/>
      <c r="AT759" s="197"/>
      <c r="AU759" s="197"/>
      <c r="AV759" s="197"/>
      <c r="AW759" s="197"/>
    </row>
    <row r="760" spans="28:49" s="196" customFormat="1">
      <c r="AB760" s="201"/>
      <c r="AC760" s="201"/>
      <c r="AD760" s="197"/>
      <c r="AE760" s="197"/>
      <c r="AF760" s="197"/>
      <c r="AG760" s="197"/>
      <c r="AH760" s="197"/>
      <c r="AI760" s="197"/>
      <c r="AJ760" s="197"/>
      <c r="AK760" s="197"/>
      <c r="AL760" s="197"/>
      <c r="AM760" s="197"/>
      <c r="AN760" s="197"/>
      <c r="AO760" s="197"/>
      <c r="AP760" s="197"/>
      <c r="AQ760" s="197"/>
      <c r="AR760" s="197"/>
      <c r="AS760" s="197"/>
      <c r="AT760" s="197"/>
      <c r="AU760" s="197"/>
      <c r="AV760" s="197"/>
      <c r="AW760" s="197"/>
    </row>
    <row r="761" spans="28:49" s="196" customFormat="1">
      <c r="AB761" s="201"/>
      <c r="AC761" s="201"/>
      <c r="AD761" s="197"/>
      <c r="AE761" s="197"/>
      <c r="AF761" s="197"/>
      <c r="AG761" s="197"/>
      <c r="AH761" s="197"/>
      <c r="AI761" s="197"/>
      <c r="AJ761" s="197"/>
      <c r="AK761" s="197"/>
      <c r="AL761" s="197"/>
      <c r="AM761" s="197"/>
      <c r="AN761" s="197"/>
      <c r="AO761" s="197"/>
      <c r="AP761" s="197"/>
      <c r="AQ761" s="197"/>
      <c r="AR761" s="197"/>
      <c r="AS761" s="197"/>
      <c r="AT761" s="197"/>
      <c r="AU761" s="197"/>
      <c r="AV761" s="197"/>
      <c r="AW761" s="197"/>
    </row>
    <row r="762" spans="28:49" s="196" customFormat="1">
      <c r="AB762" s="201"/>
      <c r="AC762" s="201"/>
      <c r="AD762" s="197"/>
      <c r="AE762" s="197"/>
      <c r="AF762" s="197"/>
      <c r="AG762" s="197"/>
      <c r="AH762" s="197"/>
      <c r="AI762" s="197"/>
      <c r="AJ762" s="197"/>
      <c r="AK762" s="197"/>
      <c r="AL762" s="197"/>
      <c r="AM762" s="197"/>
      <c r="AN762" s="197"/>
      <c r="AO762" s="197"/>
      <c r="AP762" s="197"/>
      <c r="AQ762" s="197"/>
      <c r="AR762" s="197"/>
      <c r="AS762" s="197"/>
      <c r="AT762" s="197"/>
      <c r="AU762" s="197"/>
      <c r="AV762" s="197"/>
      <c r="AW762" s="197"/>
    </row>
    <row r="763" spans="28:49" s="196" customFormat="1">
      <c r="AB763" s="201"/>
      <c r="AC763" s="201"/>
      <c r="AD763" s="197"/>
      <c r="AE763" s="197"/>
      <c r="AF763" s="197"/>
      <c r="AG763" s="197"/>
      <c r="AH763" s="197"/>
      <c r="AI763" s="197"/>
      <c r="AJ763" s="197"/>
      <c r="AK763" s="197"/>
      <c r="AL763" s="197"/>
      <c r="AM763" s="197"/>
      <c r="AN763" s="197"/>
      <c r="AO763" s="197"/>
      <c r="AP763" s="197"/>
      <c r="AQ763" s="197"/>
      <c r="AR763" s="197"/>
      <c r="AS763" s="197"/>
      <c r="AT763" s="197"/>
      <c r="AU763" s="197"/>
      <c r="AV763" s="197"/>
      <c r="AW763" s="197"/>
    </row>
    <row r="764" spans="28:49" s="196" customFormat="1">
      <c r="AB764" s="201"/>
      <c r="AC764" s="201"/>
      <c r="AD764" s="197"/>
      <c r="AE764" s="197"/>
      <c r="AF764" s="197"/>
      <c r="AG764" s="197"/>
      <c r="AH764" s="197"/>
      <c r="AI764" s="197"/>
      <c r="AJ764" s="197"/>
      <c r="AK764" s="197"/>
      <c r="AL764" s="197"/>
      <c r="AM764" s="197"/>
      <c r="AN764" s="197"/>
      <c r="AO764" s="197"/>
      <c r="AP764" s="197"/>
      <c r="AQ764" s="197"/>
      <c r="AR764" s="197"/>
      <c r="AS764" s="197"/>
      <c r="AT764" s="197"/>
      <c r="AU764" s="197"/>
      <c r="AV764" s="197"/>
      <c r="AW764" s="197"/>
    </row>
    <row r="765" spans="28:49" s="196" customFormat="1">
      <c r="AB765" s="201"/>
      <c r="AC765" s="201"/>
      <c r="AD765" s="197"/>
      <c r="AE765" s="197"/>
      <c r="AF765" s="197"/>
      <c r="AG765" s="197"/>
      <c r="AH765" s="197"/>
      <c r="AI765" s="197"/>
      <c r="AJ765" s="197"/>
      <c r="AK765" s="197"/>
      <c r="AL765" s="197"/>
      <c r="AM765" s="197"/>
      <c r="AN765" s="197"/>
      <c r="AO765" s="197"/>
      <c r="AP765" s="197"/>
      <c r="AQ765" s="197"/>
      <c r="AR765" s="197"/>
      <c r="AS765" s="197"/>
      <c r="AT765" s="197"/>
      <c r="AU765" s="197"/>
      <c r="AV765" s="197"/>
      <c r="AW765" s="197"/>
    </row>
    <row r="766" spans="28:49" s="196" customFormat="1">
      <c r="AB766" s="201"/>
      <c r="AC766" s="201"/>
      <c r="AD766" s="197"/>
      <c r="AE766" s="197"/>
      <c r="AF766" s="197"/>
      <c r="AG766" s="197"/>
      <c r="AH766" s="197"/>
      <c r="AI766" s="197"/>
      <c r="AJ766" s="197"/>
      <c r="AK766" s="197"/>
      <c r="AL766" s="197"/>
      <c r="AM766" s="197"/>
      <c r="AN766" s="197"/>
      <c r="AO766" s="197"/>
      <c r="AP766" s="197"/>
      <c r="AQ766" s="197"/>
      <c r="AR766" s="197"/>
      <c r="AS766" s="197"/>
      <c r="AT766" s="197"/>
      <c r="AU766" s="197"/>
      <c r="AV766" s="197"/>
      <c r="AW766" s="197"/>
    </row>
    <row r="767" spans="28:49" s="196" customFormat="1">
      <c r="AB767" s="201"/>
      <c r="AC767" s="201"/>
      <c r="AD767" s="197"/>
      <c r="AE767" s="197"/>
      <c r="AF767" s="197"/>
      <c r="AG767" s="197"/>
      <c r="AH767" s="197"/>
      <c r="AI767" s="197"/>
      <c r="AJ767" s="197"/>
      <c r="AK767" s="197"/>
      <c r="AL767" s="197"/>
      <c r="AM767" s="197"/>
      <c r="AN767" s="197"/>
      <c r="AO767" s="197"/>
      <c r="AP767" s="197"/>
      <c r="AQ767" s="197"/>
      <c r="AR767" s="197"/>
      <c r="AS767" s="197"/>
      <c r="AT767" s="197"/>
      <c r="AU767" s="197"/>
      <c r="AV767" s="197"/>
      <c r="AW767" s="197"/>
    </row>
    <row r="768" spans="28:49" s="196" customFormat="1">
      <c r="AB768" s="201"/>
      <c r="AC768" s="201"/>
      <c r="AD768" s="197"/>
      <c r="AE768" s="197"/>
      <c r="AF768" s="197"/>
      <c r="AG768" s="197"/>
      <c r="AH768" s="197"/>
      <c r="AI768" s="197"/>
      <c r="AJ768" s="197"/>
      <c r="AK768" s="197"/>
      <c r="AL768" s="197"/>
      <c r="AM768" s="197"/>
      <c r="AN768" s="197"/>
      <c r="AO768" s="197"/>
      <c r="AP768" s="197"/>
      <c r="AQ768" s="197"/>
      <c r="AR768" s="197"/>
      <c r="AS768" s="197"/>
      <c r="AT768" s="197"/>
      <c r="AU768" s="197"/>
      <c r="AV768" s="197"/>
      <c r="AW768" s="197"/>
    </row>
    <row r="769" spans="28:49" s="196" customFormat="1">
      <c r="AB769" s="201"/>
      <c r="AC769" s="201"/>
      <c r="AD769" s="197"/>
      <c r="AE769" s="197"/>
      <c r="AF769" s="197"/>
      <c r="AG769" s="197"/>
      <c r="AH769" s="197"/>
      <c r="AI769" s="197"/>
      <c r="AJ769" s="197"/>
      <c r="AK769" s="197"/>
      <c r="AL769" s="197"/>
      <c r="AM769" s="197"/>
      <c r="AN769" s="197"/>
      <c r="AO769" s="197"/>
      <c r="AP769" s="197"/>
      <c r="AQ769" s="197"/>
      <c r="AR769" s="197"/>
      <c r="AS769" s="197"/>
      <c r="AT769" s="197"/>
      <c r="AU769" s="197"/>
      <c r="AV769" s="197"/>
      <c r="AW769" s="197"/>
    </row>
    <row r="770" spans="28:49" s="196" customFormat="1">
      <c r="AB770" s="201"/>
      <c r="AC770" s="201"/>
      <c r="AD770" s="197"/>
      <c r="AE770" s="197"/>
      <c r="AF770" s="197"/>
      <c r="AG770" s="197"/>
      <c r="AH770" s="197"/>
      <c r="AI770" s="197"/>
      <c r="AJ770" s="197"/>
      <c r="AK770" s="197"/>
      <c r="AL770" s="197"/>
      <c r="AM770" s="197"/>
      <c r="AN770" s="197"/>
      <c r="AO770" s="197"/>
      <c r="AP770" s="197"/>
      <c r="AQ770" s="197"/>
      <c r="AR770" s="197"/>
      <c r="AS770" s="197"/>
      <c r="AT770" s="197"/>
      <c r="AU770" s="197"/>
      <c r="AV770" s="197"/>
      <c r="AW770" s="197"/>
    </row>
    <row r="771" spans="28:49" s="196" customFormat="1">
      <c r="AB771" s="201"/>
      <c r="AC771" s="201"/>
      <c r="AD771" s="197"/>
      <c r="AE771" s="197"/>
      <c r="AF771" s="197"/>
      <c r="AG771" s="197"/>
      <c r="AH771" s="197"/>
      <c r="AI771" s="197"/>
      <c r="AJ771" s="197"/>
      <c r="AK771" s="197"/>
      <c r="AL771" s="197"/>
      <c r="AM771" s="197"/>
      <c r="AN771" s="197"/>
      <c r="AO771" s="197"/>
      <c r="AP771" s="197"/>
      <c r="AQ771" s="197"/>
      <c r="AR771" s="197"/>
      <c r="AS771" s="197"/>
      <c r="AT771" s="197"/>
      <c r="AU771" s="197"/>
      <c r="AV771" s="197"/>
      <c r="AW771" s="197"/>
    </row>
    <row r="772" spans="28:49" s="196" customFormat="1">
      <c r="AB772" s="201"/>
      <c r="AC772" s="201"/>
      <c r="AD772" s="197"/>
      <c r="AE772" s="197"/>
      <c r="AF772" s="197"/>
      <c r="AG772" s="197"/>
      <c r="AH772" s="197"/>
      <c r="AI772" s="197"/>
      <c r="AJ772" s="197"/>
      <c r="AK772" s="197"/>
      <c r="AL772" s="197"/>
      <c r="AM772" s="197"/>
      <c r="AN772" s="197"/>
      <c r="AO772" s="197"/>
      <c r="AP772" s="197"/>
      <c r="AQ772" s="197"/>
      <c r="AR772" s="197"/>
      <c r="AS772" s="197"/>
      <c r="AT772" s="197"/>
      <c r="AU772" s="197"/>
      <c r="AV772" s="197"/>
      <c r="AW772" s="197"/>
    </row>
    <row r="773" spans="28:49" s="196" customFormat="1">
      <c r="AB773" s="201"/>
      <c r="AC773" s="201"/>
      <c r="AD773" s="197"/>
      <c r="AE773" s="197"/>
      <c r="AF773" s="197"/>
      <c r="AG773" s="197"/>
      <c r="AH773" s="197"/>
      <c r="AI773" s="197"/>
      <c r="AJ773" s="197"/>
      <c r="AK773" s="197"/>
      <c r="AL773" s="197"/>
      <c r="AM773" s="197"/>
      <c r="AN773" s="197"/>
      <c r="AO773" s="197"/>
      <c r="AP773" s="197"/>
      <c r="AQ773" s="197"/>
      <c r="AR773" s="197"/>
      <c r="AS773" s="197"/>
      <c r="AT773" s="197"/>
      <c r="AU773" s="197"/>
      <c r="AV773" s="197"/>
      <c r="AW773" s="197"/>
    </row>
    <row r="774" spans="28:49" s="196" customFormat="1">
      <c r="AB774" s="201"/>
      <c r="AC774" s="201"/>
      <c r="AD774" s="197"/>
      <c r="AE774" s="197"/>
      <c r="AF774" s="197"/>
      <c r="AG774" s="197"/>
      <c r="AH774" s="197"/>
      <c r="AI774" s="197"/>
      <c r="AJ774" s="197"/>
      <c r="AK774" s="197"/>
      <c r="AL774" s="197"/>
      <c r="AM774" s="197"/>
      <c r="AN774" s="197"/>
      <c r="AO774" s="197"/>
      <c r="AP774" s="197"/>
      <c r="AQ774" s="197"/>
      <c r="AR774" s="197"/>
      <c r="AS774" s="197"/>
      <c r="AT774" s="197"/>
      <c r="AU774" s="197"/>
      <c r="AV774" s="197"/>
      <c r="AW774" s="197"/>
    </row>
    <row r="775" spans="28:49" s="196" customFormat="1">
      <c r="AB775" s="201"/>
      <c r="AC775" s="201"/>
      <c r="AD775" s="197"/>
      <c r="AE775" s="197"/>
      <c r="AF775" s="197"/>
      <c r="AG775" s="197"/>
      <c r="AH775" s="197"/>
      <c r="AI775" s="197"/>
      <c r="AJ775" s="197"/>
      <c r="AK775" s="197"/>
      <c r="AL775" s="197"/>
      <c r="AM775" s="197"/>
      <c r="AN775" s="197"/>
      <c r="AO775" s="197"/>
      <c r="AP775" s="197"/>
      <c r="AQ775" s="197"/>
      <c r="AR775" s="197"/>
      <c r="AS775" s="197"/>
      <c r="AT775" s="197"/>
      <c r="AU775" s="197"/>
      <c r="AV775" s="197"/>
      <c r="AW775" s="197"/>
    </row>
    <row r="776" spans="28:49" s="196" customFormat="1">
      <c r="AB776" s="201"/>
      <c r="AC776" s="201"/>
      <c r="AD776" s="197"/>
      <c r="AE776" s="197"/>
      <c r="AF776" s="197"/>
      <c r="AG776" s="197"/>
      <c r="AH776" s="197"/>
      <c r="AI776" s="197"/>
      <c r="AJ776" s="197"/>
      <c r="AK776" s="197"/>
      <c r="AL776" s="197"/>
      <c r="AM776" s="197"/>
      <c r="AN776" s="197"/>
      <c r="AO776" s="197"/>
      <c r="AP776" s="197"/>
      <c r="AQ776" s="197"/>
      <c r="AR776" s="197"/>
      <c r="AS776" s="197"/>
      <c r="AT776" s="197"/>
      <c r="AU776" s="197"/>
      <c r="AV776" s="197"/>
      <c r="AW776" s="197"/>
    </row>
    <row r="777" spans="28:49" s="196" customFormat="1">
      <c r="AB777" s="201"/>
      <c r="AC777" s="201"/>
      <c r="AD777" s="197"/>
      <c r="AE777" s="197"/>
      <c r="AF777" s="197"/>
      <c r="AG777" s="197"/>
      <c r="AH777" s="197"/>
      <c r="AI777" s="197"/>
      <c r="AJ777" s="197"/>
      <c r="AK777" s="197"/>
      <c r="AL777" s="197"/>
      <c r="AM777" s="197"/>
      <c r="AN777" s="197"/>
      <c r="AO777" s="197"/>
      <c r="AP777" s="197"/>
      <c r="AQ777" s="197"/>
      <c r="AR777" s="197"/>
      <c r="AS777" s="197"/>
      <c r="AT777" s="197"/>
      <c r="AU777" s="197"/>
      <c r="AV777" s="197"/>
      <c r="AW777" s="197"/>
    </row>
    <row r="778" spans="28:49" s="196" customFormat="1">
      <c r="AB778" s="201"/>
      <c r="AC778" s="201"/>
      <c r="AD778" s="197"/>
      <c r="AE778" s="197"/>
      <c r="AF778" s="197"/>
      <c r="AG778" s="197"/>
      <c r="AH778" s="197"/>
      <c r="AI778" s="197"/>
      <c r="AJ778" s="197"/>
      <c r="AK778" s="197"/>
      <c r="AL778" s="197"/>
      <c r="AM778" s="197"/>
      <c r="AN778" s="197"/>
      <c r="AO778" s="197"/>
      <c r="AP778" s="197"/>
      <c r="AQ778" s="197"/>
      <c r="AR778" s="197"/>
      <c r="AS778" s="197"/>
      <c r="AT778" s="197"/>
      <c r="AU778" s="197"/>
      <c r="AV778" s="197"/>
      <c r="AW778" s="197"/>
    </row>
    <row r="779" spans="28:49" s="196" customFormat="1">
      <c r="AB779" s="201"/>
      <c r="AC779" s="201"/>
      <c r="AD779" s="197"/>
      <c r="AE779" s="197"/>
      <c r="AF779" s="197"/>
      <c r="AG779" s="197"/>
      <c r="AH779" s="197"/>
      <c r="AI779" s="197"/>
      <c r="AJ779" s="197"/>
      <c r="AK779" s="197"/>
      <c r="AL779" s="197"/>
      <c r="AM779" s="197"/>
      <c r="AN779" s="197"/>
      <c r="AO779" s="197"/>
      <c r="AP779" s="197"/>
      <c r="AQ779" s="197"/>
      <c r="AR779" s="197"/>
      <c r="AS779" s="197"/>
      <c r="AT779" s="197"/>
      <c r="AU779" s="197"/>
      <c r="AV779" s="197"/>
      <c r="AW779" s="197"/>
    </row>
    <row r="780" spans="28:49" s="196" customFormat="1">
      <c r="AB780" s="201"/>
      <c r="AC780" s="201"/>
      <c r="AD780" s="197"/>
      <c r="AE780" s="197"/>
      <c r="AF780" s="197"/>
      <c r="AG780" s="197"/>
      <c r="AH780" s="197"/>
      <c r="AI780" s="197"/>
      <c r="AJ780" s="197"/>
      <c r="AK780" s="197"/>
      <c r="AL780" s="197"/>
      <c r="AM780" s="197"/>
      <c r="AN780" s="197"/>
      <c r="AO780" s="197"/>
      <c r="AP780" s="197"/>
      <c r="AQ780" s="197"/>
      <c r="AR780" s="197"/>
      <c r="AS780" s="197"/>
      <c r="AT780" s="197"/>
      <c r="AU780" s="197"/>
      <c r="AV780" s="197"/>
      <c r="AW780" s="197"/>
    </row>
    <row r="781" spans="28:49" s="196" customFormat="1">
      <c r="AB781" s="201"/>
      <c r="AC781" s="201"/>
      <c r="AD781" s="197"/>
      <c r="AE781" s="197"/>
      <c r="AF781" s="197"/>
      <c r="AG781" s="197"/>
      <c r="AH781" s="197"/>
      <c r="AI781" s="197"/>
      <c r="AJ781" s="197"/>
      <c r="AK781" s="197"/>
      <c r="AL781" s="197"/>
      <c r="AM781" s="197"/>
      <c r="AN781" s="197"/>
      <c r="AO781" s="197"/>
      <c r="AP781" s="197"/>
      <c r="AQ781" s="197"/>
      <c r="AR781" s="197"/>
      <c r="AS781" s="197"/>
      <c r="AT781" s="197"/>
      <c r="AU781" s="197"/>
      <c r="AV781" s="197"/>
      <c r="AW781" s="197"/>
    </row>
    <row r="782" spans="28:49" s="196" customFormat="1">
      <c r="AB782" s="201"/>
      <c r="AC782" s="201"/>
      <c r="AD782" s="197"/>
      <c r="AE782" s="197"/>
      <c r="AF782" s="197"/>
      <c r="AG782" s="197"/>
      <c r="AH782" s="197"/>
      <c r="AI782" s="197"/>
      <c r="AJ782" s="197"/>
      <c r="AK782" s="197"/>
      <c r="AL782" s="197"/>
      <c r="AM782" s="197"/>
      <c r="AN782" s="197"/>
      <c r="AO782" s="197"/>
      <c r="AP782" s="197"/>
      <c r="AQ782" s="197"/>
      <c r="AR782" s="197"/>
      <c r="AS782" s="197"/>
      <c r="AT782" s="197"/>
      <c r="AU782" s="197"/>
      <c r="AV782" s="197"/>
      <c r="AW782" s="197"/>
    </row>
    <row r="783" spans="28:49" s="196" customFormat="1">
      <c r="AB783" s="201"/>
      <c r="AC783" s="201"/>
      <c r="AD783" s="197"/>
      <c r="AE783" s="197"/>
      <c r="AF783" s="197"/>
      <c r="AG783" s="197"/>
      <c r="AH783" s="197"/>
      <c r="AI783" s="197"/>
      <c r="AJ783" s="197"/>
      <c r="AK783" s="197"/>
      <c r="AL783" s="197"/>
      <c r="AM783" s="197"/>
      <c r="AN783" s="197"/>
      <c r="AO783" s="197"/>
      <c r="AP783" s="197"/>
      <c r="AQ783" s="197"/>
      <c r="AR783" s="197"/>
      <c r="AS783" s="197"/>
      <c r="AT783" s="197"/>
      <c r="AU783" s="197"/>
      <c r="AV783" s="197"/>
      <c r="AW783" s="197"/>
    </row>
    <row r="784" spans="28:49" s="196" customFormat="1">
      <c r="AB784" s="201"/>
      <c r="AC784" s="201"/>
      <c r="AD784" s="197"/>
      <c r="AE784" s="197"/>
      <c r="AF784" s="197"/>
      <c r="AG784" s="197"/>
      <c r="AH784" s="197"/>
      <c r="AI784" s="197"/>
      <c r="AJ784" s="197"/>
      <c r="AK784" s="197"/>
      <c r="AL784" s="197"/>
      <c r="AM784" s="197"/>
      <c r="AN784" s="197"/>
      <c r="AO784" s="197"/>
      <c r="AP784" s="197"/>
      <c r="AQ784" s="197"/>
      <c r="AR784" s="197"/>
      <c r="AS784" s="197"/>
      <c r="AT784" s="197"/>
      <c r="AU784" s="197"/>
      <c r="AV784" s="197"/>
      <c r="AW784" s="197"/>
    </row>
    <row r="785" spans="28:49" s="196" customFormat="1">
      <c r="AB785" s="201"/>
      <c r="AC785" s="201"/>
      <c r="AD785" s="197"/>
      <c r="AE785" s="197"/>
      <c r="AF785" s="197"/>
      <c r="AG785" s="197"/>
      <c r="AH785" s="197"/>
      <c r="AI785" s="197"/>
      <c r="AJ785" s="197"/>
      <c r="AK785" s="197"/>
      <c r="AL785" s="197"/>
      <c r="AM785" s="197"/>
      <c r="AN785" s="197"/>
      <c r="AO785" s="197"/>
      <c r="AP785" s="197"/>
      <c r="AQ785" s="197"/>
      <c r="AR785" s="197"/>
      <c r="AS785" s="197"/>
      <c r="AT785" s="197"/>
      <c r="AU785" s="197"/>
      <c r="AV785" s="197"/>
      <c r="AW785" s="197"/>
    </row>
    <row r="786" spans="28:49" s="196" customFormat="1">
      <c r="AB786" s="201"/>
      <c r="AC786" s="201"/>
      <c r="AD786" s="197"/>
      <c r="AE786" s="197"/>
      <c r="AF786" s="197"/>
      <c r="AG786" s="197"/>
      <c r="AH786" s="197"/>
      <c r="AI786" s="197"/>
      <c r="AJ786" s="197"/>
      <c r="AK786" s="197"/>
      <c r="AL786" s="197"/>
      <c r="AM786" s="197"/>
      <c r="AN786" s="197"/>
      <c r="AO786" s="197"/>
      <c r="AP786" s="197"/>
      <c r="AQ786" s="197"/>
      <c r="AR786" s="197"/>
      <c r="AS786" s="197"/>
      <c r="AT786" s="197"/>
      <c r="AU786" s="197"/>
      <c r="AV786" s="197"/>
      <c r="AW786" s="197"/>
    </row>
    <row r="787" spans="28:49" s="196" customFormat="1">
      <c r="AB787" s="201"/>
      <c r="AC787" s="201"/>
      <c r="AD787" s="197"/>
      <c r="AE787" s="197"/>
      <c r="AF787" s="197"/>
      <c r="AG787" s="197"/>
      <c r="AH787" s="197"/>
      <c r="AI787" s="197"/>
      <c r="AJ787" s="197"/>
      <c r="AK787" s="197"/>
      <c r="AL787" s="197"/>
      <c r="AM787" s="197"/>
      <c r="AN787" s="197"/>
      <c r="AO787" s="197"/>
      <c r="AP787" s="197"/>
      <c r="AQ787" s="197"/>
      <c r="AR787" s="197"/>
      <c r="AS787" s="197"/>
      <c r="AT787" s="197"/>
      <c r="AU787" s="197"/>
      <c r="AV787" s="197"/>
      <c r="AW787" s="197"/>
    </row>
    <row r="788" spans="28:49" s="196" customFormat="1">
      <c r="AB788" s="201"/>
      <c r="AC788" s="201"/>
      <c r="AD788" s="197"/>
      <c r="AE788" s="197"/>
      <c r="AF788" s="197"/>
      <c r="AG788" s="197"/>
      <c r="AH788" s="197"/>
      <c r="AI788" s="197"/>
      <c r="AJ788" s="197"/>
      <c r="AK788" s="197"/>
      <c r="AL788" s="197"/>
      <c r="AM788" s="197"/>
      <c r="AN788" s="197"/>
      <c r="AO788" s="197"/>
      <c r="AP788" s="197"/>
      <c r="AQ788" s="197"/>
      <c r="AR788" s="197"/>
      <c r="AS788" s="197"/>
      <c r="AT788" s="197"/>
      <c r="AU788" s="197"/>
      <c r="AV788" s="197"/>
      <c r="AW788" s="197"/>
    </row>
    <row r="789" spans="28:49" s="196" customFormat="1">
      <c r="AB789" s="201"/>
      <c r="AC789" s="201"/>
      <c r="AD789" s="197"/>
      <c r="AE789" s="197"/>
      <c r="AF789" s="197"/>
      <c r="AG789" s="197"/>
      <c r="AH789" s="197"/>
      <c r="AI789" s="197"/>
      <c r="AJ789" s="197"/>
      <c r="AK789" s="197"/>
      <c r="AL789" s="197"/>
      <c r="AM789" s="197"/>
      <c r="AN789" s="197"/>
      <c r="AO789" s="197"/>
      <c r="AP789" s="197"/>
      <c r="AQ789" s="197"/>
      <c r="AR789" s="197"/>
      <c r="AS789" s="197"/>
      <c r="AT789" s="197"/>
      <c r="AU789" s="197"/>
      <c r="AV789" s="197"/>
      <c r="AW789" s="197"/>
    </row>
    <row r="790" spans="28:49" s="196" customFormat="1">
      <c r="AB790" s="201"/>
      <c r="AC790" s="201"/>
      <c r="AD790" s="197"/>
      <c r="AE790" s="197"/>
      <c r="AF790" s="197"/>
      <c r="AG790" s="197"/>
      <c r="AH790" s="197"/>
      <c r="AI790" s="197"/>
      <c r="AJ790" s="197"/>
      <c r="AK790" s="197"/>
      <c r="AL790" s="197"/>
      <c r="AM790" s="197"/>
      <c r="AN790" s="197"/>
      <c r="AO790" s="197"/>
      <c r="AP790" s="197"/>
      <c r="AQ790" s="197"/>
      <c r="AR790" s="197"/>
      <c r="AS790" s="197"/>
      <c r="AT790" s="197"/>
      <c r="AU790" s="197"/>
      <c r="AV790" s="197"/>
      <c r="AW790" s="197"/>
    </row>
    <row r="791" spans="28:49" s="196" customFormat="1">
      <c r="AB791" s="201"/>
      <c r="AC791" s="201"/>
      <c r="AD791" s="197"/>
      <c r="AE791" s="197"/>
      <c r="AF791" s="197"/>
      <c r="AG791" s="197"/>
      <c r="AH791" s="197"/>
      <c r="AI791" s="197"/>
      <c r="AJ791" s="197"/>
      <c r="AK791" s="197"/>
      <c r="AL791" s="197"/>
      <c r="AM791" s="197"/>
      <c r="AN791" s="197"/>
      <c r="AO791" s="197"/>
      <c r="AP791" s="197"/>
      <c r="AQ791" s="197"/>
      <c r="AR791" s="197"/>
      <c r="AS791" s="197"/>
      <c r="AT791" s="197"/>
      <c r="AU791" s="197"/>
      <c r="AV791" s="197"/>
      <c r="AW791" s="197"/>
    </row>
    <row r="792" spans="28:49" s="196" customFormat="1">
      <c r="AB792" s="201"/>
      <c r="AC792" s="201"/>
      <c r="AD792" s="197"/>
      <c r="AE792" s="197"/>
      <c r="AF792" s="197"/>
      <c r="AG792" s="197"/>
      <c r="AH792" s="197"/>
      <c r="AI792" s="197"/>
      <c r="AJ792" s="197"/>
      <c r="AK792" s="197"/>
      <c r="AL792" s="197"/>
      <c r="AM792" s="197"/>
      <c r="AN792" s="197"/>
      <c r="AO792" s="197"/>
      <c r="AP792" s="197"/>
      <c r="AQ792" s="197"/>
      <c r="AR792" s="197"/>
      <c r="AS792" s="197"/>
      <c r="AT792" s="197"/>
      <c r="AU792" s="197"/>
      <c r="AV792" s="197"/>
      <c r="AW792" s="197"/>
    </row>
    <row r="793" spans="28:49" s="196" customFormat="1">
      <c r="AB793" s="201"/>
      <c r="AC793" s="201"/>
      <c r="AD793" s="197"/>
      <c r="AE793" s="197"/>
      <c r="AF793" s="197"/>
      <c r="AG793" s="197"/>
      <c r="AH793" s="197"/>
      <c r="AI793" s="197"/>
      <c r="AJ793" s="197"/>
      <c r="AK793" s="197"/>
      <c r="AL793" s="197"/>
      <c r="AM793" s="197"/>
      <c r="AN793" s="197"/>
      <c r="AO793" s="197"/>
      <c r="AP793" s="197"/>
      <c r="AQ793" s="197"/>
      <c r="AR793" s="197"/>
      <c r="AS793" s="197"/>
      <c r="AT793" s="197"/>
      <c r="AU793" s="197"/>
      <c r="AV793" s="197"/>
      <c r="AW793" s="197"/>
    </row>
    <row r="794" spans="28:49" s="196" customFormat="1">
      <c r="AB794" s="201"/>
      <c r="AC794" s="201"/>
      <c r="AD794" s="197"/>
      <c r="AE794" s="197"/>
      <c r="AF794" s="197"/>
      <c r="AG794" s="197"/>
      <c r="AH794" s="197"/>
      <c r="AI794" s="197"/>
      <c r="AJ794" s="197"/>
      <c r="AK794" s="197"/>
      <c r="AL794" s="197"/>
      <c r="AM794" s="197"/>
      <c r="AN794" s="197"/>
      <c r="AO794" s="197"/>
      <c r="AP794" s="197"/>
      <c r="AQ794" s="197"/>
      <c r="AR794" s="197"/>
      <c r="AS794" s="197"/>
      <c r="AT794" s="197"/>
      <c r="AU794" s="197"/>
      <c r="AV794" s="197"/>
      <c r="AW794" s="197"/>
    </row>
    <row r="795" spans="28:49" s="196" customFormat="1">
      <c r="AB795" s="201"/>
      <c r="AC795" s="201"/>
      <c r="AD795" s="197"/>
      <c r="AE795" s="197"/>
      <c r="AF795" s="197"/>
      <c r="AG795" s="197"/>
      <c r="AH795" s="197"/>
      <c r="AI795" s="197"/>
      <c r="AJ795" s="197"/>
      <c r="AK795" s="197"/>
      <c r="AL795" s="197"/>
      <c r="AM795" s="197"/>
      <c r="AN795" s="197"/>
      <c r="AO795" s="197"/>
      <c r="AP795" s="197"/>
      <c r="AQ795" s="197"/>
      <c r="AR795" s="197"/>
      <c r="AS795" s="197"/>
      <c r="AT795" s="197"/>
      <c r="AU795" s="197"/>
      <c r="AV795" s="197"/>
      <c r="AW795" s="197"/>
    </row>
    <row r="796" spans="28:49" s="196" customFormat="1">
      <c r="AB796" s="201"/>
      <c r="AC796" s="201"/>
      <c r="AD796" s="197"/>
      <c r="AE796" s="197"/>
      <c r="AF796" s="197"/>
      <c r="AG796" s="197"/>
      <c r="AH796" s="197"/>
      <c r="AI796" s="197"/>
      <c r="AJ796" s="197"/>
      <c r="AK796" s="197"/>
      <c r="AL796" s="197"/>
      <c r="AM796" s="197"/>
      <c r="AN796" s="197"/>
      <c r="AO796" s="197"/>
      <c r="AP796" s="197"/>
      <c r="AQ796" s="197"/>
      <c r="AR796" s="197"/>
      <c r="AS796" s="197"/>
      <c r="AT796" s="197"/>
      <c r="AU796" s="197"/>
      <c r="AV796" s="197"/>
      <c r="AW796" s="197"/>
    </row>
    <row r="797" spans="28:49" s="196" customFormat="1">
      <c r="AB797" s="201"/>
      <c r="AC797" s="201"/>
      <c r="AD797" s="197"/>
      <c r="AE797" s="197"/>
      <c r="AF797" s="197"/>
      <c r="AG797" s="197"/>
      <c r="AH797" s="197"/>
      <c r="AI797" s="197"/>
      <c r="AJ797" s="197"/>
      <c r="AK797" s="197"/>
      <c r="AL797" s="197"/>
      <c r="AM797" s="197"/>
      <c r="AN797" s="197"/>
      <c r="AO797" s="197"/>
      <c r="AP797" s="197"/>
      <c r="AQ797" s="197"/>
      <c r="AR797" s="197"/>
      <c r="AS797" s="197"/>
      <c r="AT797" s="197"/>
      <c r="AU797" s="197"/>
      <c r="AV797" s="197"/>
      <c r="AW797" s="197"/>
    </row>
    <row r="798" spans="28:49" s="196" customFormat="1">
      <c r="AB798" s="201"/>
      <c r="AC798" s="201"/>
      <c r="AD798" s="197"/>
      <c r="AE798" s="197"/>
      <c r="AF798" s="197"/>
      <c r="AG798" s="197"/>
      <c r="AH798" s="197"/>
      <c r="AI798" s="197"/>
      <c r="AJ798" s="197"/>
      <c r="AK798" s="197"/>
      <c r="AL798" s="197"/>
      <c r="AM798" s="197"/>
      <c r="AN798" s="197"/>
      <c r="AO798" s="197"/>
      <c r="AP798" s="197"/>
      <c r="AQ798" s="197"/>
      <c r="AR798" s="197"/>
      <c r="AS798" s="197"/>
      <c r="AT798" s="197"/>
      <c r="AU798" s="197"/>
      <c r="AV798" s="197"/>
      <c r="AW798" s="197"/>
    </row>
    <row r="799" spans="28:49" s="196" customFormat="1">
      <c r="AB799" s="201"/>
      <c r="AC799" s="201"/>
      <c r="AD799" s="197"/>
      <c r="AE799" s="197"/>
      <c r="AF799" s="197"/>
      <c r="AG799" s="197"/>
      <c r="AH799" s="197"/>
      <c r="AI799" s="197"/>
      <c r="AJ799" s="197"/>
      <c r="AK799" s="197"/>
      <c r="AL799" s="197"/>
      <c r="AM799" s="197"/>
      <c r="AN799" s="197"/>
      <c r="AO799" s="197"/>
      <c r="AP799" s="197"/>
      <c r="AQ799" s="197"/>
      <c r="AR799" s="197"/>
      <c r="AS799" s="197"/>
      <c r="AT799" s="197"/>
      <c r="AU799" s="197"/>
      <c r="AV799" s="197"/>
      <c r="AW799" s="197"/>
    </row>
    <row r="800" spans="28:49" s="196" customFormat="1">
      <c r="AB800" s="201"/>
      <c r="AC800" s="201"/>
      <c r="AD800" s="197"/>
      <c r="AE800" s="197"/>
      <c r="AF800" s="197"/>
      <c r="AG800" s="197"/>
      <c r="AH800" s="197"/>
      <c r="AI800" s="197"/>
      <c r="AJ800" s="197"/>
      <c r="AK800" s="197"/>
      <c r="AL800" s="197"/>
      <c r="AM800" s="197"/>
      <c r="AN800" s="197"/>
      <c r="AO800" s="197"/>
      <c r="AP800" s="197"/>
      <c r="AQ800" s="197"/>
      <c r="AR800" s="197"/>
      <c r="AS800" s="197"/>
      <c r="AT800" s="197"/>
      <c r="AU800" s="197"/>
      <c r="AV800" s="197"/>
      <c r="AW800" s="197"/>
    </row>
    <row r="801" spans="28:49" s="196" customFormat="1">
      <c r="AB801" s="201"/>
      <c r="AC801" s="201"/>
      <c r="AD801" s="197"/>
      <c r="AE801" s="197"/>
      <c r="AF801" s="197"/>
      <c r="AG801" s="197"/>
      <c r="AH801" s="197"/>
      <c r="AI801" s="197"/>
      <c r="AJ801" s="197"/>
      <c r="AK801" s="197"/>
      <c r="AL801" s="197"/>
      <c r="AM801" s="197"/>
      <c r="AN801" s="197"/>
      <c r="AO801" s="197"/>
      <c r="AP801" s="197"/>
      <c r="AQ801" s="197"/>
      <c r="AR801" s="197"/>
      <c r="AS801" s="197"/>
      <c r="AT801" s="197"/>
      <c r="AU801" s="197"/>
      <c r="AV801" s="197"/>
      <c r="AW801" s="197"/>
    </row>
    <row r="802" spans="28:49" s="196" customFormat="1">
      <c r="AB802" s="201"/>
      <c r="AC802" s="201"/>
      <c r="AD802" s="197"/>
      <c r="AE802" s="197"/>
      <c r="AF802" s="197"/>
      <c r="AG802" s="197"/>
      <c r="AH802" s="197"/>
      <c r="AI802" s="197"/>
      <c r="AJ802" s="197"/>
      <c r="AK802" s="197"/>
      <c r="AL802" s="197"/>
      <c r="AM802" s="197"/>
      <c r="AN802" s="197"/>
      <c r="AO802" s="197"/>
      <c r="AP802" s="197"/>
      <c r="AQ802" s="197"/>
      <c r="AR802" s="197"/>
      <c r="AS802" s="197"/>
      <c r="AT802" s="197"/>
      <c r="AU802" s="197"/>
      <c r="AV802" s="197"/>
      <c r="AW802" s="197"/>
    </row>
    <row r="803" spans="28:49" s="196" customFormat="1">
      <c r="AB803" s="201"/>
      <c r="AC803" s="201"/>
      <c r="AD803" s="197"/>
      <c r="AE803" s="197"/>
      <c r="AF803" s="197"/>
      <c r="AG803" s="197"/>
      <c r="AH803" s="197"/>
      <c r="AI803" s="197"/>
      <c r="AJ803" s="197"/>
      <c r="AK803" s="197"/>
      <c r="AL803" s="197"/>
      <c r="AM803" s="197"/>
      <c r="AN803" s="197"/>
      <c r="AO803" s="197"/>
      <c r="AP803" s="197"/>
      <c r="AQ803" s="197"/>
      <c r="AR803" s="197"/>
      <c r="AS803" s="197"/>
      <c r="AT803" s="197"/>
      <c r="AU803" s="197"/>
      <c r="AV803" s="197"/>
      <c r="AW803" s="197"/>
    </row>
    <row r="804" spans="28:49" s="196" customFormat="1">
      <c r="AB804" s="201"/>
      <c r="AC804" s="201"/>
      <c r="AD804" s="197"/>
      <c r="AE804" s="197"/>
      <c r="AF804" s="197"/>
      <c r="AG804" s="197"/>
      <c r="AH804" s="197"/>
      <c r="AI804" s="197"/>
      <c r="AJ804" s="197"/>
      <c r="AK804" s="197"/>
      <c r="AL804" s="197"/>
      <c r="AM804" s="197"/>
      <c r="AN804" s="197"/>
      <c r="AO804" s="197"/>
      <c r="AP804" s="197"/>
      <c r="AQ804" s="197"/>
      <c r="AR804" s="197"/>
      <c r="AS804" s="197"/>
      <c r="AT804" s="197"/>
      <c r="AU804" s="197"/>
      <c r="AV804" s="197"/>
      <c r="AW804" s="197"/>
    </row>
    <row r="805" spans="28:49" s="196" customFormat="1">
      <c r="AB805" s="201"/>
      <c r="AC805" s="201"/>
      <c r="AD805" s="197"/>
      <c r="AE805" s="197"/>
      <c r="AF805" s="197"/>
      <c r="AG805" s="197"/>
      <c r="AH805" s="197"/>
      <c r="AI805" s="197"/>
      <c r="AJ805" s="197"/>
      <c r="AK805" s="197"/>
      <c r="AL805" s="197"/>
      <c r="AM805" s="197"/>
      <c r="AN805" s="197"/>
      <c r="AO805" s="197"/>
      <c r="AP805" s="197"/>
      <c r="AQ805" s="197"/>
      <c r="AR805" s="197"/>
      <c r="AS805" s="197"/>
      <c r="AT805" s="197"/>
      <c r="AU805" s="197"/>
      <c r="AV805" s="197"/>
      <c r="AW805" s="197"/>
    </row>
    <row r="806" spans="28:49" s="196" customFormat="1">
      <c r="AB806" s="201"/>
      <c r="AC806" s="201"/>
      <c r="AD806" s="197"/>
      <c r="AE806" s="197"/>
      <c r="AF806" s="197"/>
      <c r="AG806" s="197"/>
      <c r="AH806" s="197"/>
      <c r="AI806" s="197"/>
      <c r="AJ806" s="197"/>
      <c r="AK806" s="197"/>
      <c r="AL806" s="197"/>
      <c r="AM806" s="197"/>
      <c r="AN806" s="197"/>
      <c r="AO806" s="197"/>
      <c r="AP806" s="197"/>
      <c r="AQ806" s="197"/>
      <c r="AR806" s="197"/>
      <c r="AS806" s="197"/>
      <c r="AT806" s="197"/>
      <c r="AU806" s="197"/>
      <c r="AV806" s="197"/>
      <c r="AW806" s="197"/>
    </row>
    <row r="807" spans="28:49" s="196" customFormat="1">
      <c r="AB807" s="201"/>
      <c r="AC807" s="201"/>
      <c r="AD807" s="197"/>
      <c r="AE807" s="197"/>
      <c r="AF807" s="197"/>
      <c r="AG807" s="197"/>
      <c r="AH807" s="197"/>
      <c r="AI807" s="197"/>
      <c r="AJ807" s="197"/>
      <c r="AK807" s="197"/>
      <c r="AL807" s="197"/>
      <c r="AM807" s="197"/>
      <c r="AN807" s="197"/>
      <c r="AO807" s="197"/>
      <c r="AP807" s="197"/>
      <c r="AQ807" s="197"/>
      <c r="AR807" s="197"/>
      <c r="AS807" s="197"/>
      <c r="AT807" s="197"/>
      <c r="AU807" s="197"/>
      <c r="AV807" s="197"/>
      <c r="AW807" s="197"/>
    </row>
    <row r="808" spans="28:49" s="196" customFormat="1">
      <c r="AB808" s="201"/>
      <c r="AC808" s="201"/>
      <c r="AD808" s="197"/>
      <c r="AE808" s="197"/>
      <c r="AF808" s="197"/>
      <c r="AG808" s="197"/>
      <c r="AH808" s="197"/>
      <c r="AI808" s="197"/>
      <c r="AJ808" s="197"/>
      <c r="AK808" s="197"/>
      <c r="AL808" s="197"/>
      <c r="AM808" s="197"/>
      <c r="AN808" s="197"/>
      <c r="AO808" s="197"/>
      <c r="AP808" s="197"/>
      <c r="AQ808" s="197"/>
      <c r="AR808" s="197"/>
      <c r="AS808" s="197"/>
      <c r="AT808" s="197"/>
      <c r="AU808" s="197"/>
      <c r="AV808" s="197"/>
      <c r="AW808" s="197"/>
    </row>
    <row r="809" spans="28:49" s="196" customFormat="1">
      <c r="AB809" s="201"/>
      <c r="AC809" s="201"/>
      <c r="AD809" s="197"/>
      <c r="AE809" s="197"/>
      <c r="AF809" s="197"/>
      <c r="AG809" s="197"/>
      <c r="AH809" s="197"/>
      <c r="AI809" s="197"/>
      <c r="AJ809" s="197"/>
      <c r="AK809" s="197"/>
      <c r="AL809" s="197"/>
      <c r="AM809" s="197"/>
      <c r="AN809" s="197"/>
      <c r="AO809" s="197"/>
      <c r="AP809" s="197"/>
      <c r="AQ809" s="197"/>
      <c r="AR809" s="197"/>
      <c r="AS809" s="197"/>
      <c r="AT809" s="197"/>
      <c r="AU809" s="197"/>
      <c r="AV809" s="197"/>
      <c r="AW809" s="197"/>
    </row>
    <row r="810" spans="28:49" s="196" customFormat="1">
      <c r="AB810" s="201"/>
      <c r="AC810" s="201"/>
      <c r="AD810" s="197"/>
      <c r="AE810" s="197"/>
      <c r="AF810" s="197"/>
      <c r="AG810" s="197"/>
      <c r="AH810" s="197"/>
      <c r="AI810" s="197"/>
      <c r="AJ810" s="197"/>
      <c r="AK810" s="197"/>
      <c r="AL810" s="197"/>
      <c r="AM810" s="197"/>
      <c r="AN810" s="197"/>
      <c r="AO810" s="197"/>
      <c r="AP810" s="197"/>
      <c r="AQ810" s="197"/>
      <c r="AR810" s="197"/>
      <c r="AS810" s="197"/>
      <c r="AT810" s="197"/>
      <c r="AU810" s="197"/>
      <c r="AV810" s="197"/>
      <c r="AW810" s="197"/>
    </row>
    <row r="811" spans="28:49" s="196" customFormat="1">
      <c r="AB811" s="201"/>
      <c r="AC811" s="201"/>
      <c r="AD811" s="197"/>
      <c r="AE811" s="197"/>
      <c r="AF811" s="197"/>
      <c r="AG811" s="197"/>
      <c r="AH811" s="197"/>
      <c r="AI811" s="197"/>
      <c r="AJ811" s="197"/>
      <c r="AK811" s="197"/>
      <c r="AL811" s="197"/>
      <c r="AM811" s="197"/>
      <c r="AN811" s="197"/>
      <c r="AO811" s="197"/>
      <c r="AP811" s="197"/>
      <c r="AQ811" s="197"/>
      <c r="AR811" s="197"/>
      <c r="AS811" s="197"/>
      <c r="AT811" s="197"/>
      <c r="AU811" s="197"/>
      <c r="AV811" s="197"/>
      <c r="AW811" s="197"/>
    </row>
    <row r="812" spans="28:49" s="196" customFormat="1">
      <c r="AB812" s="201"/>
      <c r="AC812" s="201"/>
      <c r="AD812" s="197"/>
      <c r="AE812" s="197"/>
      <c r="AF812" s="197"/>
      <c r="AG812" s="197"/>
      <c r="AH812" s="197"/>
      <c r="AI812" s="197"/>
      <c r="AJ812" s="197"/>
      <c r="AK812" s="197"/>
      <c r="AL812" s="197"/>
      <c r="AM812" s="197"/>
      <c r="AN812" s="197"/>
      <c r="AO812" s="197"/>
      <c r="AP812" s="197"/>
      <c r="AQ812" s="197"/>
      <c r="AR812" s="197"/>
      <c r="AS812" s="197"/>
      <c r="AT812" s="197"/>
      <c r="AU812" s="197"/>
      <c r="AV812" s="197"/>
      <c r="AW812" s="197"/>
    </row>
    <row r="813" spans="28:49" s="196" customFormat="1">
      <c r="AB813" s="201"/>
      <c r="AC813" s="201"/>
      <c r="AD813" s="197"/>
      <c r="AE813" s="197"/>
      <c r="AF813" s="197"/>
      <c r="AG813" s="197"/>
      <c r="AH813" s="197"/>
      <c r="AI813" s="197"/>
      <c r="AJ813" s="197"/>
      <c r="AK813" s="197"/>
      <c r="AL813" s="197"/>
      <c r="AM813" s="197"/>
      <c r="AN813" s="197"/>
      <c r="AO813" s="197"/>
      <c r="AP813" s="197"/>
      <c r="AQ813" s="197"/>
      <c r="AR813" s="197"/>
      <c r="AS813" s="197"/>
      <c r="AT813" s="197"/>
      <c r="AU813" s="197"/>
      <c r="AV813" s="197"/>
      <c r="AW813" s="197"/>
    </row>
    <row r="814" spans="28:49" s="196" customFormat="1">
      <c r="AB814" s="201"/>
      <c r="AC814" s="201"/>
      <c r="AD814" s="197"/>
      <c r="AE814" s="197"/>
      <c r="AF814" s="197"/>
      <c r="AG814" s="197"/>
      <c r="AH814" s="197"/>
      <c r="AI814" s="197"/>
      <c r="AJ814" s="197"/>
      <c r="AK814" s="197"/>
      <c r="AL814" s="197"/>
      <c r="AM814" s="197"/>
      <c r="AN814" s="197"/>
      <c r="AO814" s="197"/>
      <c r="AP814" s="197"/>
      <c r="AQ814" s="197"/>
      <c r="AR814" s="197"/>
      <c r="AS814" s="197"/>
      <c r="AT814" s="197"/>
      <c r="AU814" s="197"/>
      <c r="AV814" s="197"/>
      <c r="AW814" s="197"/>
    </row>
    <row r="815" spans="28:49" s="196" customFormat="1">
      <c r="AB815" s="201"/>
      <c r="AC815" s="201"/>
      <c r="AD815" s="197"/>
      <c r="AE815" s="197"/>
      <c r="AF815" s="197"/>
      <c r="AG815" s="197"/>
      <c r="AH815" s="197"/>
      <c r="AI815" s="197"/>
      <c r="AJ815" s="197"/>
      <c r="AK815" s="197"/>
      <c r="AL815" s="197"/>
      <c r="AM815" s="197"/>
      <c r="AN815" s="197"/>
      <c r="AO815" s="197"/>
      <c r="AP815" s="197"/>
      <c r="AQ815" s="197"/>
      <c r="AR815" s="197"/>
      <c r="AS815" s="197"/>
      <c r="AT815" s="197"/>
      <c r="AU815" s="197"/>
      <c r="AV815" s="197"/>
      <c r="AW815" s="197"/>
    </row>
    <row r="816" spans="28:49" s="196" customFormat="1">
      <c r="AB816" s="201"/>
      <c r="AC816" s="201"/>
      <c r="AD816" s="197"/>
      <c r="AE816" s="197"/>
      <c r="AF816" s="197"/>
      <c r="AG816" s="197"/>
      <c r="AH816" s="197"/>
      <c r="AI816" s="197"/>
      <c r="AJ816" s="197"/>
      <c r="AK816" s="197"/>
      <c r="AL816" s="197"/>
      <c r="AM816" s="197"/>
      <c r="AN816" s="197"/>
      <c r="AO816" s="197"/>
      <c r="AP816" s="197"/>
      <c r="AQ816" s="197"/>
      <c r="AR816" s="197"/>
      <c r="AS816" s="197"/>
      <c r="AT816" s="197"/>
      <c r="AU816" s="197"/>
      <c r="AV816" s="197"/>
      <c r="AW816" s="197"/>
    </row>
    <row r="817" spans="28:49" s="196" customFormat="1">
      <c r="AB817" s="201"/>
      <c r="AC817" s="201"/>
      <c r="AD817" s="197"/>
      <c r="AE817" s="197"/>
      <c r="AF817" s="197"/>
      <c r="AG817" s="197"/>
      <c r="AH817" s="197"/>
      <c r="AI817" s="197"/>
      <c r="AJ817" s="197"/>
      <c r="AK817" s="197"/>
      <c r="AL817" s="197"/>
      <c r="AM817" s="197"/>
      <c r="AN817" s="197"/>
      <c r="AO817" s="197"/>
      <c r="AP817" s="197"/>
      <c r="AQ817" s="197"/>
      <c r="AR817" s="197"/>
      <c r="AS817" s="197"/>
      <c r="AT817" s="197"/>
      <c r="AU817" s="197"/>
      <c r="AV817" s="197"/>
      <c r="AW817" s="197"/>
    </row>
    <row r="818" spans="28:49" s="196" customFormat="1">
      <c r="AB818" s="201"/>
      <c r="AC818" s="201"/>
      <c r="AD818" s="197"/>
      <c r="AE818" s="197"/>
      <c r="AF818" s="197"/>
      <c r="AG818" s="197"/>
      <c r="AH818" s="197"/>
      <c r="AI818" s="197"/>
      <c r="AJ818" s="197"/>
      <c r="AK818" s="197"/>
      <c r="AL818" s="197"/>
      <c r="AM818" s="197"/>
      <c r="AN818" s="197"/>
      <c r="AO818" s="197"/>
      <c r="AP818" s="197"/>
      <c r="AQ818" s="197"/>
      <c r="AR818" s="197"/>
      <c r="AS818" s="197"/>
      <c r="AT818" s="197"/>
      <c r="AU818" s="197"/>
      <c r="AV818" s="197"/>
      <c r="AW818" s="197"/>
    </row>
    <row r="819" spans="28:49" s="196" customFormat="1">
      <c r="AB819" s="201"/>
      <c r="AC819" s="201"/>
      <c r="AD819" s="197"/>
      <c r="AE819" s="197"/>
      <c r="AF819" s="197"/>
      <c r="AG819" s="197"/>
      <c r="AH819" s="197"/>
      <c r="AI819" s="197"/>
      <c r="AJ819" s="197"/>
      <c r="AK819" s="197"/>
      <c r="AL819" s="197"/>
      <c r="AM819" s="197"/>
      <c r="AN819" s="197"/>
      <c r="AO819" s="197"/>
      <c r="AP819" s="197"/>
      <c r="AQ819" s="197"/>
      <c r="AR819" s="197"/>
      <c r="AS819" s="197"/>
      <c r="AT819" s="197"/>
      <c r="AU819" s="197"/>
      <c r="AV819" s="197"/>
      <c r="AW819" s="197"/>
    </row>
    <row r="820" spans="28:49" s="196" customFormat="1">
      <c r="AB820" s="201"/>
      <c r="AC820" s="201"/>
      <c r="AD820" s="197"/>
      <c r="AE820" s="197"/>
      <c r="AF820" s="197"/>
      <c r="AG820" s="197"/>
      <c r="AH820" s="197"/>
      <c r="AI820" s="197"/>
      <c r="AJ820" s="197"/>
      <c r="AK820" s="197"/>
      <c r="AL820" s="197"/>
      <c r="AM820" s="197"/>
      <c r="AN820" s="197"/>
      <c r="AO820" s="197"/>
      <c r="AP820" s="197"/>
      <c r="AQ820" s="197"/>
      <c r="AR820" s="197"/>
      <c r="AS820" s="197"/>
      <c r="AT820" s="197"/>
      <c r="AU820" s="197"/>
      <c r="AV820" s="197"/>
      <c r="AW820" s="197"/>
    </row>
    <row r="821" spans="28:49" s="196" customFormat="1">
      <c r="AB821" s="201"/>
      <c r="AC821" s="201"/>
      <c r="AD821" s="197"/>
      <c r="AE821" s="197"/>
      <c r="AF821" s="197"/>
      <c r="AG821" s="197"/>
      <c r="AH821" s="197"/>
      <c r="AI821" s="197"/>
      <c r="AJ821" s="197"/>
      <c r="AK821" s="197"/>
      <c r="AL821" s="197"/>
      <c r="AM821" s="197"/>
      <c r="AN821" s="197"/>
      <c r="AO821" s="197"/>
      <c r="AP821" s="197"/>
      <c r="AQ821" s="197"/>
      <c r="AR821" s="197"/>
      <c r="AS821" s="197"/>
      <c r="AT821" s="197"/>
      <c r="AU821" s="197"/>
      <c r="AV821" s="197"/>
      <c r="AW821" s="197"/>
    </row>
    <row r="822" spans="28:49" s="196" customFormat="1">
      <c r="AB822" s="201"/>
      <c r="AC822" s="201"/>
      <c r="AD822" s="197"/>
      <c r="AE822" s="197"/>
      <c r="AF822" s="197"/>
      <c r="AG822" s="197"/>
      <c r="AH822" s="197"/>
      <c r="AI822" s="197"/>
      <c r="AJ822" s="197"/>
      <c r="AK822" s="197"/>
      <c r="AL822" s="197"/>
      <c r="AM822" s="197"/>
      <c r="AN822" s="197"/>
      <c r="AO822" s="197"/>
      <c r="AP822" s="197"/>
      <c r="AQ822" s="197"/>
      <c r="AR822" s="197"/>
      <c r="AS822" s="197"/>
      <c r="AT822" s="197"/>
      <c r="AU822" s="197"/>
      <c r="AV822" s="197"/>
      <c r="AW822" s="197"/>
    </row>
    <row r="823" spans="28:49" s="196" customFormat="1">
      <c r="AB823" s="201"/>
      <c r="AC823" s="201"/>
      <c r="AD823" s="197"/>
      <c r="AE823" s="197"/>
      <c r="AF823" s="197"/>
      <c r="AG823" s="197"/>
      <c r="AH823" s="197"/>
      <c r="AI823" s="197"/>
      <c r="AJ823" s="197"/>
      <c r="AK823" s="197"/>
      <c r="AL823" s="197"/>
      <c r="AM823" s="197"/>
      <c r="AN823" s="197"/>
      <c r="AO823" s="197"/>
      <c r="AP823" s="197"/>
      <c r="AQ823" s="197"/>
      <c r="AR823" s="197"/>
      <c r="AS823" s="197"/>
      <c r="AT823" s="197"/>
      <c r="AU823" s="197"/>
      <c r="AV823" s="197"/>
      <c r="AW823" s="197"/>
    </row>
    <row r="824" spans="28:49" s="196" customFormat="1">
      <c r="AB824" s="201"/>
      <c r="AC824" s="201"/>
      <c r="AD824" s="197"/>
      <c r="AE824" s="197"/>
      <c r="AF824" s="197"/>
      <c r="AG824" s="197"/>
      <c r="AH824" s="197"/>
      <c r="AI824" s="197"/>
      <c r="AJ824" s="197"/>
      <c r="AK824" s="197"/>
      <c r="AL824" s="197"/>
      <c r="AM824" s="197"/>
      <c r="AN824" s="197"/>
      <c r="AO824" s="197"/>
      <c r="AP824" s="197"/>
      <c r="AQ824" s="197"/>
      <c r="AR824" s="197"/>
      <c r="AS824" s="197"/>
      <c r="AT824" s="197"/>
      <c r="AU824" s="197"/>
      <c r="AV824" s="197"/>
      <c r="AW824" s="197"/>
    </row>
    <row r="825" spans="28:49" s="196" customFormat="1">
      <c r="AB825" s="201"/>
      <c r="AC825" s="201"/>
      <c r="AD825" s="197"/>
      <c r="AE825" s="197"/>
      <c r="AF825" s="197"/>
      <c r="AG825" s="197"/>
      <c r="AH825" s="197"/>
      <c r="AI825" s="197"/>
      <c r="AJ825" s="197"/>
      <c r="AK825" s="197"/>
      <c r="AL825" s="197"/>
      <c r="AM825" s="197"/>
      <c r="AN825" s="197"/>
      <c r="AO825" s="197"/>
      <c r="AP825" s="197"/>
      <c r="AQ825" s="197"/>
      <c r="AR825" s="197"/>
      <c r="AS825" s="197"/>
      <c r="AT825" s="197"/>
      <c r="AU825" s="197"/>
      <c r="AV825" s="197"/>
      <c r="AW825" s="197"/>
    </row>
    <row r="826" spans="28:49" s="196" customFormat="1">
      <c r="AB826" s="201"/>
      <c r="AC826" s="201"/>
      <c r="AD826" s="197"/>
      <c r="AE826" s="197"/>
      <c r="AF826" s="197"/>
      <c r="AG826" s="197"/>
      <c r="AH826" s="197"/>
      <c r="AI826" s="197"/>
      <c r="AJ826" s="197"/>
      <c r="AK826" s="197"/>
      <c r="AL826" s="197"/>
      <c r="AM826" s="197"/>
      <c r="AN826" s="197"/>
      <c r="AO826" s="197"/>
      <c r="AP826" s="197"/>
      <c r="AQ826" s="197"/>
      <c r="AR826" s="197"/>
      <c r="AS826" s="197"/>
      <c r="AT826" s="197"/>
      <c r="AU826" s="197"/>
      <c r="AV826" s="197"/>
      <c r="AW826" s="197"/>
    </row>
    <row r="827" spans="28:49" s="196" customFormat="1">
      <c r="AB827" s="201"/>
      <c r="AC827" s="201"/>
      <c r="AD827" s="197"/>
      <c r="AE827" s="197"/>
      <c r="AF827" s="197"/>
      <c r="AG827" s="197"/>
      <c r="AH827" s="197"/>
      <c r="AI827" s="197"/>
      <c r="AJ827" s="197"/>
      <c r="AK827" s="197"/>
      <c r="AL827" s="197"/>
      <c r="AM827" s="197"/>
      <c r="AN827" s="197"/>
      <c r="AO827" s="197"/>
      <c r="AP827" s="197"/>
      <c r="AQ827" s="197"/>
      <c r="AR827" s="197"/>
      <c r="AS827" s="197"/>
      <c r="AT827" s="197"/>
      <c r="AU827" s="197"/>
      <c r="AV827" s="197"/>
      <c r="AW827" s="197"/>
    </row>
    <row r="828" spans="28:49" s="196" customFormat="1">
      <c r="AB828" s="201"/>
      <c r="AC828" s="201"/>
      <c r="AD828" s="197"/>
      <c r="AE828" s="197"/>
      <c r="AF828" s="197"/>
      <c r="AG828" s="197"/>
      <c r="AH828" s="197"/>
      <c r="AI828" s="197"/>
      <c r="AJ828" s="197"/>
      <c r="AK828" s="197"/>
      <c r="AL828" s="197"/>
      <c r="AM828" s="197"/>
      <c r="AN828" s="197"/>
      <c r="AO828" s="197"/>
      <c r="AP828" s="197"/>
      <c r="AQ828" s="197"/>
      <c r="AR828" s="197"/>
      <c r="AS828" s="197"/>
      <c r="AT828" s="197"/>
      <c r="AU828" s="197"/>
      <c r="AV828" s="197"/>
      <c r="AW828" s="197"/>
    </row>
    <row r="829" spans="28:49" s="196" customFormat="1">
      <c r="AB829" s="201"/>
      <c r="AC829" s="201"/>
      <c r="AD829" s="197"/>
      <c r="AE829" s="197"/>
      <c r="AF829" s="197"/>
      <c r="AG829" s="197"/>
      <c r="AH829" s="197"/>
      <c r="AI829" s="197"/>
      <c r="AJ829" s="197"/>
      <c r="AK829" s="197"/>
      <c r="AL829" s="197"/>
      <c r="AM829" s="197"/>
      <c r="AN829" s="197"/>
      <c r="AO829" s="197"/>
      <c r="AP829" s="197"/>
      <c r="AQ829" s="197"/>
      <c r="AR829" s="197"/>
      <c r="AS829" s="197"/>
      <c r="AT829" s="197"/>
      <c r="AU829" s="197"/>
      <c r="AV829" s="197"/>
      <c r="AW829" s="197"/>
    </row>
    <row r="830" spans="28:49" s="196" customFormat="1">
      <c r="AB830" s="201"/>
      <c r="AC830" s="201"/>
      <c r="AD830" s="197"/>
      <c r="AE830" s="197"/>
      <c r="AF830" s="197"/>
      <c r="AG830" s="197"/>
      <c r="AH830" s="197"/>
      <c r="AI830" s="197"/>
      <c r="AJ830" s="197"/>
      <c r="AK830" s="197"/>
      <c r="AL830" s="197"/>
      <c r="AM830" s="197"/>
      <c r="AN830" s="197"/>
      <c r="AO830" s="197"/>
      <c r="AP830" s="197"/>
      <c r="AQ830" s="197"/>
      <c r="AR830" s="197"/>
      <c r="AS830" s="197"/>
      <c r="AT830" s="197"/>
      <c r="AU830" s="197"/>
      <c r="AV830" s="197"/>
      <c r="AW830" s="197"/>
    </row>
    <row r="831" spans="28:49" s="196" customFormat="1">
      <c r="AB831" s="201"/>
      <c r="AC831" s="201"/>
      <c r="AD831" s="197"/>
      <c r="AE831" s="197"/>
      <c r="AF831" s="197"/>
      <c r="AG831" s="197"/>
      <c r="AH831" s="197"/>
      <c r="AI831" s="197"/>
      <c r="AJ831" s="197"/>
      <c r="AK831" s="197"/>
      <c r="AL831" s="197"/>
      <c r="AM831" s="197"/>
      <c r="AN831" s="197"/>
      <c r="AO831" s="197"/>
      <c r="AP831" s="197"/>
      <c r="AQ831" s="197"/>
      <c r="AR831" s="197"/>
      <c r="AS831" s="197"/>
      <c r="AT831" s="197"/>
      <c r="AU831" s="197"/>
      <c r="AV831" s="197"/>
      <c r="AW831" s="197"/>
    </row>
    <row r="832" spans="28:49" s="196" customFormat="1">
      <c r="AB832" s="201"/>
      <c r="AC832" s="201"/>
      <c r="AD832" s="197"/>
      <c r="AE832" s="197"/>
      <c r="AF832" s="197"/>
      <c r="AG832" s="197"/>
      <c r="AH832" s="197"/>
      <c r="AI832" s="197"/>
      <c r="AJ832" s="197"/>
      <c r="AK832" s="197"/>
      <c r="AL832" s="197"/>
      <c r="AM832" s="197"/>
      <c r="AN832" s="197"/>
      <c r="AO832" s="197"/>
      <c r="AP832" s="197"/>
      <c r="AQ832" s="197"/>
      <c r="AR832" s="197"/>
      <c r="AS832" s="197"/>
      <c r="AT832" s="197"/>
      <c r="AU832" s="197"/>
      <c r="AV832" s="197"/>
      <c r="AW832" s="197"/>
    </row>
    <row r="833" spans="28:49" s="196" customFormat="1">
      <c r="AB833" s="201"/>
      <c r="AC833" s="201"/>
      <c r="AD833" s="197"/>
      <c r="AE833" s="197"/>
      <c r="AF833" s="197"/>
      <c r="AG833" s="197"/>
      <c r="AH833" s="197"/>
      <c r="AI833" s="197"/>
      <c r="AJ833" s="197"/>
      <c r="AK833" s="197"/>
      <c r="AL833" s="197"/>
      <c r="AM833" s="197"/>
      <c r="AN833" s="197"/>
      <c r="AO833" s="197"/>
      <c r="AP833" s="197"/>
      <c r="AQ833" s="197"/>
      <c r="AR833" s="197"/>
      <c r="AS833" s="197"/>
      <c r="AT833" s="197"/>
      <c r="AU833" s="197"/>
      <c r="AV833" s="197"/>
      <c r="AW833" s="197"/>
    </row>
    <row r="834" spans="28:49" s="196" customFormat="1">
      <c r="AB834" s="201"/>
      <c r="AC834" s="201"/>
      <c r="AD834" s="197"/>
      <c r="AE834" s="197"/>
      <c r="AF834" s="197"/>
      <c r="AG834" s="197"/>
      <c r="AH834" s="197"/>
      <c r="AI834" s="197"/>
      <c r="AJ834" s="197"/>
      <c r="AK834" s="197"/>
      <c r="AL834" s="197"/>
      <c r="AM834" s="197"/>
      <c r="AN834" s="197"/>
      <c r="AO834" s="197"/>
      <c r="AP834" s="197"/>
      <c r="AQ834" s="197"/>
      <c r="AR834" s="197"/>
      <c r="AS834" s="197"/>
      <c r="AT834" s="197"/>
      <c r="AU834" s="197"/>
      <c r="AV834" s="197"/>
      <c r="AW834" s="197"/>
    </row>
    <row r="835" spans="28:49" s="196" customFormat="1">
      <c r="AB835" s="201"/>
      <c r="AC835" s="201"/>
      <c r="AD835" s="197"/>
      <c r="AE835" s="197"/>
      <c r="AF835" s="197"/>
      <c r="AG835" s="197"/>
      <c r="AH835" s="197"/>
      <c r="AI835" s="197"/>
      <c r="AJ835" s="197"/>
      <c r="AK835" s="197"/>
      <c r="AL835" s="197"/>
      <c r="AM835" s="197"/>
      <c r="AN835" s="197"/>
      <c r="AO835" s="197"/>
      <c r="AP835" s="197"/>
      <c r="AQ835" s="197"/>
      <c r="AR835" s="197"/>
      <c r="AS835" s="197"/>
      <c r="AT835" s="197"/>
      <c r="AU835" s="197"/>
      <c r="AV835" s="197"/>
      <c r="AW835" s="197"/>
    </row>
    <row r="836" spans="28:49" s="196" customFormat="1">
      <c r="AB836" s="201"/>
      <c r="AC836" s="201"/>
      <c r="AD836" s="197"/>
      <c r="AE836" s="197"/>
      <c r="AF836" s="197"/>
      <c r="AG836" s="197"/>
      <c r="AH836" s="197"/>
      <c r="AI836" s="197"/>
      <c r="AJ836" s="197"/>
      <c r="AK836" s="197"/>
      <c r="AL836" s="197"/>
      <c r="AM836" s="197"/>
      <c r="AN836" s="197"/>
      <c r="AO836" s="197"/>
      <c r="AP836" s="197"/>
      <c r="AQ836" s="197"/>
      <c r="AR836" s="197"/>
      <c r="AS836" s="197"/>
      <c r="AT836" s="197"/>
      <c r="AU836" s="197"/>
      <c r="AV836" s="197"/>
      <c r="AW836" s="197"/>
    </row>
    <row r="837" spans="28:49" s="196" customFormat="1">
      <c r="AB837" s="201"/>
      <c r="AC837" s="201"/>
      <c r="AD837" s="197"/>
      <c r="AE837" s="197"/>
      <c r="AF837" s="197"/>
      <c r="AG837" s="197"/>
      <c r="AH837" s="197"/>
      <c r="AI837" s="197"/>
      <c r="AJ837" s="197"/>
      <c r="AK837" s="197"/>
      <c r="AL837" s="197"/>
      <c r="AM837" s="197"/>
      <c r="AN837" s="197"/>
      <c r="AO837" s="197"/>
      <c r="AP837" s="197"/>
      <c r="AQ837" s="197"/>
      <c r="AR837" s="197"/>
      <c r="AS837" s="197"/>
      <c r="AT837" s="197"/>
      <c r="AU837" s="197"/>
      <c r="AV837" s="197"/>
      <c r="AW837" s="197"/>
    </row>
    <row r="838" spans="28:49" s="196" customFormat="1">
      <c r="AB838" s="201"/>
      <c r="AC838" s="201"/>
      <c r="AD838" s="197"/>
      <c r="AE838" s="197"/>
      <c r="AF838" s="197"/>
      <c r="AG838" s="197"/>
      <c r="AH838" s="197"/>
      <c r="AI838" s="197"/>
      <c r="AJ838" s="197"/>
      <c r="AK838" s="197"/>
      <c r="AL838" s="197"/>
      <c r="AM838" s="197"/>
      <c r="AN838" s="197"/>
      <c r="AO838" s="197"/>
      <c r="AP838" s="197"/>
      <c r="AQ838" s="197"/>
      <c r="AR838" s="197"/>
      <c r="AS838" s="197"/>
      <c r="AT838" s="197"/>
      <c r="AU838" s="197"/>
      <c r="AV838" s="197"/>
      <c r="AW838" s="197"/>
    </row>
    <row r="839" spans="28:49" s="196" customFormat="1">
      <c r="AB839" s="201"/>
      <c r="AC839" s="201"/>
      <c r="AD839" s="197"/>
      <c r="AE839" s="197"/>
      <c r="AF839" s="197"/>
      <c r="AG839" s="197"/>
      <c r="AH839" s="197"/>
      <c r="AI839" s="197"/>
      <c r="AJ839" s="197"/>
      <c r="AK839" s="197"/>
      <c r="AL839" s="197"/>
      <c r="AM839" s="197"/>
      <c r="AN839" s="197"/>
      <c r="AO839" s="197"/>
      <c r="AP839" s="197"/>
      <c r="AQ839" s="197"/>
      <c r="AR839" s="197"/>
      <c r="AS839" s="197"/>
      <c r="AT839" s="197"/>
      <c r="AU839" s="197"/>
      <c r="AV839" s="197"/>
      <c r="AW839" s="197"/>
    </row>
    <row r="840" spans="28:49" s="196" customFormat="1">
      <c r="AB840" s="201"/>
      <c r="AC840" s="201"/>
      <c r="AD840" s="197"/>
      <c r="AE840" s="197"/>
      <c r="AF840" s="197"/>
      <c r="AG840" s="197"/>
      <c r="AH840" s="197"/>
      <c r="AI840" s="197"/>
      <c r="AJ840" s="197"/>
      <c r="AK840" s="197"/>
      <c r="AL840" s="197"/>
      <c r="AM840" s="197"/>
      <c r="AN840" s="197"/>
      <c r="AO840" s="197"/>
      <c r="AP840" s="197"/>
      <c r="AQ840" s="197"/>
      <c r="AR840" s="197"/>
      <c r="AS840" s="197"/>
      <c r="AT840" s="197"/>
      <c r="AU840" s="197"/>
      <c r="AV840" s="197"/>
      <c r="AW840" s="197"/>
    </row>
    <row r="841" spans="28:49" s="196" customFormat="1">
      <c r="AB841" s="201"/>
      <c r="AC841" s="201"/>
      <c r="AD841" s="197"/>
      <c r="AE841" s="197"/>
      <c r="AF841" s="197"/>
      <c r="AG841" s="197"/>
      <c r="AH841" s="197"/>
      <c r="AI841" s="197"/>
      <c r="AJ841" s="197"/>
      <c r="AK841" s="197"/>
      <c r="AL841" s="197"/>
      <c r="AM841" s="197"/>
      <c r="AN841" s="197"/>
      <c r="AO841" s="197"/>
      <c r="AP841" s="197"/>
      <c r="AQ841" s="197"/>
      <c r="AR841" s="197"/>
      <c r="AS841" s="197"/>
      <c r="AT841" s="197"/>
      <c r="AU841" s="197"/>
      <c r="AV841" s="197"/>
      <c r="AW841" s="197"/>
    </row>
    <row r="842" spans="28:49" s="196" customFormat="1">
      <c r="AB842" s="201"/>
      <c r="AC842" s="201"/>
      <c r="AD842" s="197"/>
      <c r="AE842" s="197"/>
      <c r="AF842" s="197"/>
      <c r="AG842" s="197"/>
      <c r="AH842" s="197"/>
      <c r="AI842" s="197"/>
      <c r="AJ842" s="197"/>
      <c r="AK842" s="197"/>
      <c r="AL842" s="197"/>
      <c r="AM842" s="197"/>
      <c r="AN842" s="197"/>
      <c r="AO842" s="197"/>
      <c r="AP842" s="197"/>
      <c r="AQ842" s="197"/>
      <c r="AR842" s="197"/>
      <c r="AS842" s="197"/>
      <c r="AT842" s="197"/>
      <c r="AU842" s="197"/>
      <c r="AV842" s="197"/>
      <c r="AW842" s="197"/>
    </row>
    <row r="843" spans="28:49" s="196" customFormat="1">
      <c r="AB843" s="201"/>
      <c r="AC843" s="201"/>
      <c r="AD843" s="197"/>
      <c r="AE843" s="197"/>
      <c r="AF843" s="197"/>
      <c r="AG843" s="197"/>
      <c r="AH843" s="197"/>
      <c r="AI843" s="197"/>
      <c r="AJ843" s="197"/>
      <c r="AK843" s="197"/>
      <c r="AL843" s="197"/>
      <c r="AM843" s="197"/>
      <c r="AN843" s="197"/>
      <c r="AO843" s="197"/>
      <c r="AP843" s="197"/>
      <c r="AQ843" s="197"/>
      <c r="AR843" s="197"/>
      <c r="AS843" s="197"/>
      <c r="AT843" s="197"/>
      <c r="AU843" s="197"/>
      <c r="AV843" s="197"/>
      <c r="AW843" s="197"/>
    </row>
    <row r="844" spans="28:49" s="196" customFormat="1">
      <c r="AB844" s="201"/>
      <c r="AC844" s="201"/>
      <c r="AD844" s="197"/>
      <c r="AE844" s="197"/>
      <c r="AF844" s="197"/>
      <c r="AG844" s="197"/>
      <c r="AH844" s="197"/>
      <c r="AI844" s="197"/>
      <c r="AJ844" s="197"/>
      <c r="AK844" s="197"/>
      <c r="AL844" s="197"/>
      <c r="AM844" s="197"/>
      <c r="AN844" s="197"/>
      <c r="AO844" s="197"/>
      <c r="AP844" s="197"/>
      <c r="AQ844" s="197"/>
      <c r="AR844" s="197"/>
      <c r="AS844" s="197"/>
      <c r="AT844" s="197"/>
      <c r="AU844" s="197"/>
      <c r="AV844" s="197"/>
      <c r="AW844" s="197"/>
    </row>
    <row r="845" spans="28:49" s="196" customFormat="1">
      <c r="AB845" s="201"/>
      <c r="AC845" s="201"/>
      <c r="AD845" s="197"/>
      <c r="AE845" s="197"/>
      <c r="AF845" s="197"/>
      <c r="AG845" s="197"/>
      <c r="AH845" s="197"/>
      <c r="AI845" s="197"/>
      <c r="AJ845" s="197"/>
      <c r="AK845" s="197"/>
      <c r="AL845" s="197"/>
      <c r="AM845" s="197"/>
      <c r="AN845" s="197"/>
      <c r="AO845" s="197"/>
      <c r="AP845" s="197"/>
      <c r="AQ845" s="197"/>
      <c r="AR845" s="197"/>
      <c r="AS845" s="197"/>
      <c r="AT845" s="197"/>
      <c r="AU845" s="197"/>
      <c r="AV845" s="197"/>
      <c r="AW845" s="197"/>
    </row>
    <row r="846" spans="28:49" s="196" customFormat="1">
      <c r="AB846" s="201"/>
      <c r="AC846" s="201"/>
      <c r="AD846" s="197"/>
      <c r="AE846" s="197"/>
      <c r="AF846" s="197"/>
      <c r="AG846" s="197"/>
      <c r="AH846" s="197"/>
      <c r="AI846" s="197"/>
      <c r="AJ846" s="197"/>
      <c r="AK846" s="197"/>
      <c r="AL846" s="197"/>
      <c r="AM846" s="197"/>
      <c r="AN846" s="197"/>
      <c r="AO846" s="197"/>
      <c r="AP846" s="197"/>
      <c r="AQ846" s="197"/>
      <c r="AR846" s="197"/>
      <c r="AS846" s="197"/>
      <c r="AT846" s="197"/>
      <c r="AU846" s="197"/>
      <c r="AV846" s="197"/>
      <c r="AW846" s="197"/>
    </row>
    <row r="847" spans="28:49" s="196" customFormat="1">
      <c r="AB847" s="201"/>
      <c r="AC847" s="201"/>
      <c r="AD847" s="197"/>
      <c r="AE847" s="197"/>
      <c r="AF847" s="197"/>
      <c r="AG847" s="197"/>
      <c r="AH847" s="197"/>
      <c r="AI847" s="197"/>
      <c r="AJ847" s="197"/>
      <c r="AK847" s="197"/>
      <c r="AL847" s="197"/>
      <c r="AM847" s="197"/>
      <c r="AN847" s="197"/>
      <c r="AO847" s="197"/>
      <c r="AP847" s="197"/>
      <c r="AQ847" s="197"/>
      <c r="AR847" s="197"/>
      <c r="AS847" s="197"/>
      <c r="AT847" s="197"/>
      <c r="AU847" s="197"/>
      <c r="AV847" s="197"/>
      <c r="AW847" s="197"/>
    </row>
    <row r="848" spans="28:49" s="196" customFormat="1">
      <c r="AB848" s="201"/>
      <c r="AC848" s="201"/>
      <c r="AD848" s="197"/>
      <c r="AE848" s="197"/>
      <c r="AF848" s="197"/>
      <c r="AG848" s="197"/>
      <c r="AH848" s="197"/>
      <c r="AI848" s="197"/>
      <c r="AJ848" s="197"/>
      <c r="AK848" s="197"/>
      <c r="AL848" s="197"/>
      <c r="AM848" s="197"/>
      <c r="AN848" s="197"/>
      <c r="AO848" s="197"/>
      <c r="AP848" s="197"/>
      <c r="AQ848" s="197"/>
      <c r="AR848" s="197"/>
      <c r="AS848" s="197"/>
      <c r="AT848" s="197"/>
      <c r="AU848" s="197"/>
      <c r="AV848" s="197"/>
      <c r="AW848" s="197"/>
    </row>
    <row r="849" spans="28:49" s="196" customFormat="1">
      <c r="AB849" s="201"/>
      <c r="AC849" s="201"/>
      <c r="AD849" s="197"/>
      <c r="AE849" s="197"/>
      <c r="AF849" s="197"/>
      <c r="AG849" s="197"/>
      <c r="AH849" s="197"/>
      <c r="AI849" s="197"/>
      <c r="AJ849" s="197"/>
      <c r="AK849" s="197"/>
      <c r="AL849" s="197"/>
      <c r="AM849" s="197"/>
      <c r="AN849" s="197"/>
      <c r="AO849" s="197"/>
      <c r="AP849" s="197"/>
      <c r="AQ849" s="197"/>
      <c r="AR849" s="197"/>
      <c r="AS849" s="197"/>
      <c r="AT849" s="197"/>
      <c r="AU849" s="197"/>
      <c r="AV849" s="197"/>
      <c r="AW849" s="197"/>
    </row>
    <row r="850" spans="28:49" s="196" customFormat="1">
      <c r="AB850" s="201"/>
      <c r="AC850" s="201"/>
      <c r="AD850" s="197"/>
      <c r="AE850" s="197"/>
      <c r="AF850" s="197"/>
      <c r="AG850" s="197"/>
      <c r="AH850" s="197"/>
      <c r="AI850" s="197"/>
      <c r="AJ850" s="197"/>
      <c r="AK850" s="197"/>
      <c r="AL850" s="197"/>
      <c r="AM850" s="197"/>
      <c r="AN850" s="197"/>
      <c r="AO850" s="197"/>
      <c r="AP850" s="197"/>
      <c r="AQ850" s="197"/>
      <c r="AR850" s="197"/>
      <c r="AS850" s="197"/>
      <c r="AT850" s="197"/>
      <c r="AU850" s="197"/>
      <c r="AV850" s="197"/>
      <c r="AW850" s="197"/>
    </row>
    <row r="851" spans="28:49" s="196" customFormat="1">
      <c r="AB851" s="201"/>
      <c r="AC851" s="201"/>
      <c r="AD851" s="197"/>
      <c r="AE851" s="197"/>
      <c r="AF851" s="197"/>
      <c r="AG851" s="197"/>
      <c r="AH851" s="197"/>
      <c r="AI851" s="197"/>
      <c r="AJ851" s="197"/>
      <c r="AK851" s="197"/>
      <c r="AL851" s="197"/>
      <c r="AM851" s="197"/>
      <c r="AN851" s="197"/>
      <c r="AO851" s="197"/>
      <c r="AP851" s="197"/>
      <c r="AQ851" s="197"/>
      <c r="AR851" s="197"/>
      <c r="AS851" s="197"/>
      <c r="AT851" s="197"/>
      <c r="AU851" s="197"/>
      <c r="AV851" s="197"/>
      <c r="AW851" s="197"/>
    </row>
    <row r="852" spans="28:49" s="196" customFormat="1">
      <c r="AB852" s="201"/>
      <c r="AC852" s="201"/>
      <c r="AD852" s="197"/>
      <c r="AE852" s="197"/>
      <c r="AF852" s="197"/>
      <c r="AG852" s="197"/>
      <c r="AH852" s="197"/>
      <c r="AI852" s="197"/>
      <c r="AJ852" s="197"/>
      <c r="AK852" s="197"/>
      <c r="AL852" s="197"/>
      <c r="AM852" s="197"/>
      <c r="AN852" s="197"/>
      <c r="AO852" s="197"/>
      <c r="AP852" s="197"/>
      <c r="AQ852" s="197"/>
      <c r="AR852" s="197"/>
      <c r="AS852" s="197"/>
      <c r="AT852" s="197"/>
      <c r="AU852" s="197"/>
      <c r="AV852" s="197"/>
      <c r="AW852" s="197"/>
    </row>
    <row r="853" spans="28:49" s="196" customFormat="1">
      <c r="AB853" s="201"/>
      <c r="AC853" s="201"/>
      <c r="AD853" s="197"/>
      <c r="AE853" s="197"/>
      <c r="AF853" s="197"/>
      <c r="AG853" s="197"/>
      <c r="AH853" s="197"/>
      <c r="AI853" s="197"/>
      <c r="AJ853" s="197"/>
      <c r="AK853" s="197"/>
      <c r="AL853" s="197"/>
      <c r="AM853" s="197"/>
      <c r="AN853" s="197"/>
      <c r="AO853" s="197"/>
      <c r="AP853" s="197"/>
      <c r="AQ853" s="197"/>
      <c r="AR853" s="197"/>
      <c r="AS853" s="197"/>
      <c r="AT853" s="197"/>
      <c r="AU853" s="197"/>
      <c r="AV853" s="197"/>
      <c r="AW853" s="197"/>
    </row>
    <row r="854" spans="28:49" s="196" customFormat="1">
      <c r="AB854" s="201"/>
      <c r="AC854" s="201"/>
      <c r="AD854" s="197"/>
      <c r="AE854" s="197"/>
      <c r="AF854" s="197"/>
      <c r="AG854" s="197"/>
      <c r="AH854" s="197"/>
      <c r="AI854" s="197"/>
      <c r="AJ854" s="197"/>
      <c r="AK854" s="197"/>
      <c r="AL854" s="197"/>
      <c r="AM854" s="197"/>
      <c r="AN854" s="197"/>
      <c r="AO854" s="197"/>
      <c r="AP854" s="197"/>
      <c r="AQ854" s="197"/>
      <c r="AR854" s="197"/>
      <c r="AS854" s="197"/>
      <c r="AT854" s="197"/>
      <c r="AU854" s="197"/>
      <c r="AV854" s="197"/>
      <c r="AW854" s="197"/>
    </row>
    <row r="855" spans="28:49" s="196" customFormat="1">
      <c r="AB855" s="201"/>
      <c r="AC855" s="201"/>
      <c r="AD855" s="197"/>
      <c r="AE855" s="197"/>
      <c r="AF855" s="197"/>
      <c r="AG855" s="197"/>
      <c r="AH855" s="197"/>
      <c r="AI855" s="197"/>
      <c r="AJ855" s="197"/>
      <c r="AK855" s="197"/>
      <c r="AL855" s="197"/>
      <c r="AM855" s="197"/>
      <c r="AN855" s="197"/>
      <c r="AO855" s="197"/>
      <c r="AP855" s="197"/>
      <c r="AQ855" s="197"/>
      <c r="AR855" s="197"/>
      <c r="AS855" s="197"/>
      <c r="AT855" s="197"/>
      <c r="AU855" s="197"/>
      <c r="AV855" s="197"/>
      <c r="AW855" s="197"/>
    </row>
    <row r="856" spans="28:49" s="196" customFormat="1">
      <c r="AB856" s="201"/>
      <c r="AC856" s="201"/>
      <c r="AD856" s="197"/>
      <c r="AE856" s="197"/>
      <c r="AF856" s="197"/>
      <c r="AG856" s="197"/>
      <c r="AH856" s="197"/>
      <c r="AI856" s="197"/>
      <c r="AJ856" s="197"/>
      <c r="AK856" s="197"/>
      <c r="AL856" s="197"/>
      <c r="AM856" s="197"/>
      <c r="AN856" s="197"/>
      <c r="AO856" s="197"/>
      <c r="AP856" s="197"/>
      <c r="AQ856" s="197"/>
      <c r="AR856" s="197"/>
      <c r="AS856" s="197"/>
      <c r="AT856" s="197"/>
      <c r="AU856" s="197"/>
      <c r="AV856" s="197"/>
      <c r="AW856" s="197"/>
    </row>
    <row r="857" spans="28:49" s="196" customFormat="1">
      <c r="AB857" s="201"/>
      <c r="AC857" s="201"/>
      <c r="AD857" s="197"/>
      <c r="AE857" s="197"/>
      <c r="AF857" s="197"/>
      <c r="AG857" s="197"/>
      <c r="AH857" s="197"/>
      <c r="AI857" s="197"/>
      <c r="AJ857" s="197"/>
      <c r="AK857" s="197"/>
      <c r="AL857" s="197"/>
      <c r="AM857" s="197"/>
      <c r="AN857" s="197"/>
      <c r="AO857" s="197"/>
      <c r="AP857" s="197"/>
      <c r="AQ857" s="197"/>
      <c r="AR857" s="197"/>
      <c r="AS857" s="197"/>
      <c r="AT857" s="197"/>
      <c r="AU857" s="197"/>
      <c r="AV857" s="197"/>
      <c r="AW857" s="197"/>
    </row>
    <row r="858" spans="28:49" s="196" customFormat="1">
      <c r="AB858" s="201"/>
      <c r="AC858" s="201"/>
      <c r="AD858" s="197"/>
      <c r="AE858" s="197"/>
      <c r="AF858" s="197"/>
      <c r="AG858" s="197"/>
      <c r="AH858" s="197"/>
      <c r="AI858" s="197"/>
      <c r="AJ858" s="197"/>
      <c r="AK858" s="197"/>
      <c r="AL858" s="197"/>
      <c r="AM858" s="197"/>
      <c r="AN858" s="197"/>
      <c r="AO858" s="197"/>
      <c r="AP858" s="197"/>
      <c r="AQ858" s="197"/>
      <c r="AR858" s="197"/>
      <c r="AS858" s="197"/>
      <c r="AT858" s="197"/>
      <c r="AU858" s="197"/>
      <c r="AV858" s="197"/>
      <c r="AW858" s="197"/>
    </row>
    <row r="859" spans="28:49" s="196" customFormat="1">
      <c r="AB859" s="201"/>
      <c r="AC859" s="201"/>
      <c r="AD859" s="197"/>
      <c r="AE859" s="197"/>
      <c r="AF859" s="197"/>
      <c r="AG859" s="197"/>
      <c r="AH859" s="197"/>
      <c r="AI859" s="197"/>
      <c r="AJ859" s="197"/>
      <c r="AK859" s="197"/>
      <c r="AL859" s="197"/>
      <c r="AM859" s="197"/>
      <c r="AN859" s="197"/>
      <c r="AO859" s="197"/>
      <c r="AP859" s="197"/>
      <c r="AQ859" s="197"/>
      <c r="AR859" s="197"/>
      <c r="AS859" s="197"/>
      <c r="AT859" s="197"/>
      <c r="AU859" s="197"/>
      <c r="AV859" s="197"/>
      <c r="AW859" s="197"/>
    </row>
    <row r="860" spans="28:49" s="196" customFormat="1">
      <c r="AB860" s="201"/>
      <c r="AC860" s="201"/>
      <c r="AD860" s="197"/>
      <c r="AE860" s="197"/>
      <c r="AF860" s="197"/>
      <c r="AG860" s="197"/>
      <c r="AH860" s="197"/>
      <c r="AI860" s="197"/>
      <c r="AJ860" s="197"/>
      <c r="AK860" s="197"/>
      <c r="AL860" s="197"/>
      <c r="AM860" s="197"/>
      <c r="AN860" s="197"/>
      <c r="AO860" s="197"/>
      <c r="AP860" s="197"/>
      <c r="AQ860" s="197"/>
      <c r="AR860" s="197"/>
      <c r="AS860" s="197"/>
      <c r="AT860" s="197"/>
      <c r="AU860" s="197"/>
      <c r="AV860" s="197"/>
      <c r="AW860" s="197"/>
    </row>
    <row r="861" spans="28:49" s="196" customFormat="1">
      <c r="AB861" s="201"/>
      <c r="AC861" s="201"/>
      <c r="AD861" s="197"/>
      <c r="AE861" s="197"/>
      <c r="AF861" s="197"/>
      <c r="AG861" s="197"/>
      <c r="AH861" s="197"/>
      <c r="AI861" s="197"/>
      <c r="AJ861" s="197"/>
      <c r="AK861" s="197"/>
      <c r="AL861" s="197"/>
      <c r="AM861" s="197"/>
      <c r="AN861" s="197"/>
      <c r="AO861" s="197"/>
      <c r="AP861" s="197"/>
      <c r="AQ861" s="197"/>
      <c r="AR861" s="197"/>
      <c r="AS861" s="197"/>
      <c r="AT861" s="197"/>
      <c r="AU861" s="197"/>
      <c r="AV861" s="197"/>
      <c r="AW861" s="197"/>
    </row>
    <row r="862" spans="28:49" s="196" customFormat="1">
      <c r="AB862" s="201"/>
      <c r="AC862" s="201"/>
      <c r="AD862" s="197"/>
      <c r="AE862" s="197"/>
      <c r="AF862" s="197"/>
      <c r="AG862" s="197"/>
      <c r="AH862" s="197"/>
      <c r="AI862" s="197"/>
      <c r="AJ862" s="197"/>
      <c r="AK862" s="197"/>
      <c r="AL862" s="197"/>
      <c r="AM862" s="197"/>
      <c r="AN862" s="197"/>
      <c r="AO862" s="197"/>
      <c r="AP862" s="197"/>
      <c r="AQ862" s="197"/>
      <c r="AR862" s="197"/>
      <c r="AS862" s="197"/>
      <c r="AT862" s="197"/>
      <c r="AU862" s="197"/>
      <c r="AV862" s="197"/>
      <c r="AW862" s="197"/>
    </row>
    <row r="863" spans="28:49" s="196" customFormat="1">
      <c r="AB863" s="201"/>
      <c r="AC863" s="201"/>
      <c r="AD863" s="197"/>
      <c r="AE863" s="197"/>
      <c r="AF863" s="197"/>
      <c r="AG863" s="197"/>
      <c r="AH863" s="197"/>
      <c r="AI863" s="197"/>
      <c r="AJ863" s="197"/>
      <c r="AK863" s="197"/>
      <c r="AL863" s="197"/>
      <c r="AM863" s="197"/>
      <c r="AN863" s="197"/>
      <c r="AO863" s="197"/>
      <c r="AP863" s="197"/>
      <c r="AQ863" s="197"/>
      <c r="AR863" s="197"/>
      <c r="AS863" s="197"/>
      <c r="AT863" s="197"/>
      <c r="AU863" s="197"/>
      <c r="AV863" s="197"/>
      <c r="AW863" s="197"/>
    </row>
    <row r="864" spans="28:49" s="196" customFormat="1">
      <c r="AB864" s="201"/>
      <c r="AC864" s="201"/>
      <c r="AD864" s="197"/>
      <c r="AE864" s="197"/>
      <c r="AF864" s="197"/>
      <c r="AG864" s="197"/>
      <c r="AH864" s="197"/>
      <c r="AI864" s="197"/>
      <c r="AJ864" s="197"/>
      <c r="AK864" s="197"/>
      <c r="AL864" s="197"/>
      <c r="AM864" s="197"/>
      <c r="AN864" s="197"/>
      <c r="AO864" s="197"/>
      <c r="AP864" s="197"/>
      <c r="AQ864" s="197"/>
      <c r="AR864" s="197"/>
      <c r="AS864" s="197"/>
      <c r="AT864" s="197"/>
      <c r="AU864" s="197"/>
      <c r="AV864" s="197"/>
      <c r="AW864" s="197"/>
    </row>
    <row r="865" spans="28:49" s="196" customFormat="1">
      <c r="AB865" s="201"/>
      <c r="AC865" s="201"/>
      <c r="AD865" s="197"/>
      <c r="AE865" s="197"/>
      <c r="AF865" s="197"/>
      <c r="AG865" s="197"/>
      <c r="AH865" s="197"/>
      <c r="AI865" s="197"/>
      <c r="AJ865" s="197"/>
      <c r="AK865" s="197"/>
      <c r="AL865" s="197"/>
      <c r="AM865" s="197"/>
      <c r="AN865" s="197"/>
      <c r="AO865" s="197"/>
      <c r="AP865" s="197"/>
      <c r="AQ865" s="197"/>
      <c r="AR865" s="197"/>
      <c r="AS865" s="197"/>
      <c r="AT865" s="197"/>
      <c r="AU865" s="197"/>
      <c r="AV865" s="197"/>
      <c r="AW865" s="197"/>
    </row>
    <row r="866" spans="28:49" s="196" customFormat="1">
      <c r="AB866" s="201"/>
      <c r="AC866" s="201"/>
      <c r="AD866" s="197"/>
      <c r="AE866" s="197"/>
      <c r="AF866" s="197"/>
      <c r="AG866" s="197"/>
      <c r="AH866" s="197"/>
      <c r="AI866" s="197"/>
      <c r="AJ866" s="197"/>
      <c r="AK866" s="197"/>
      <c r="AL866" s="197"/>
      <c r="AM866" s="197"/>
      <c r="AN866" s="197"/>
      <c r="AO866" s="197"/>
      <c r="AP866" s="197"/>
      <c r="AQ866" s="197"/>
      <c r="AR866" s="197"/>
      <c r="AS866" s="197"/>
      <c r="AT866" s="197"/>
      <c r="AU866" s="197"/>
      <c r="AV866" s="197"/>
      <c r="AW866" s="197"/>
    </row>
    <row r="867" spans="28:49" s="196" customFormat="1">
      <c r="AB867" s="201"/>
      <c r="AC867" s="201"/>
      <c r="AD867" s="197"/>
      <c r="AE867" s="197"/>
      <c r="AF867" s="197"/>
      <c r="AG867" s="197"/>
      <c r="AH867" s="197"/>
      <c r="AI867" s="197"/>
      <c r="AJ867" s="197"/>
      <c r="AK867" s="197"/>
      <c r="AL867" s="197"/>
      <c r="AM867" s="197"/>
      <c r="AN867" s="197"/>
      <c r="AO867" s="197"/>
      <c r="AP867" s="197"/>
      <c r="AQ867" s="197"/>
      <c r="AR867" s="197"/>
      <c r="AS867" s="197"/>
      <c r="AT867" s="197"/>
      <c r="AU867" s="197"/>
      <c r="AV867" s="197"/>
      <c r="AW867" s="197"/>
    </row>
    <row r="868" spans="28:49" s="196" customFormat="1">
      <c r="AB868" s="201"/>
      <c r="AC868" s="201"/>
      <c r="AD868" s="197"/>
      <c r="AE868" s="197"/>
      <c r="AF868" s="197"/>
      <c r="AG868" s="197"/>
      <c r="AH868" s="197"/>
      <c r="AI868" s="197"/>
      <c r="AJ868" s="197"/>
      <c r="AK868" s="197"/>
      <c r="AL868" s="197"/>
      <c r="AM868" s="197"/>
      <c r="AN868" s="197"/>
      <c r="AO868" s="197"/>
      <c r="AP868" s="197"/>
      <c r="AQ868" s="197"/>
      <c r="AR868" s="197"/>
      <c r="AS868" s="197"/>
      <c r="AT868" s="197"/>
      <c r="AU868" s="197"/>
      <c r="AV868" s="197"/>
      <c r="AW868" s="197"/>
    </row>
    <row r="869" spans="28:49" s="196" customFormat="1">
      <c r="AB869" s="201"/>
      <c r="AC869" s="201"/>
      <c r="AD869" s="197"/>
      <c r="AE869" s="197"/>
      <c r="AF869" s="197"/>
      <c r="AG869" s="197"/>
      <c r="AH869" s="197"/>
      <c r="AI869" s="197"/>
      <c r="AJ869" s="197"/>
      <c r="AK869" s="197"/>
      <c r="AL869" s="197"/>
      <c r="AM869" s="197"/>
      <c r="AN869" s="197"/>
      <c r="AO869" s="197"/>
      <c r="AP869" s="197"/>
      <c r="AQ869" s="197"/>
      <c r="AR869" s="197"/>
      <c r="AS869" s="197"/>
      <c r="AT869" s="197"/>
      <c r="AU869" s="197"/>
      <c r="AV869" s="197"/>
      <c r="AW869" s="197"/>
    </row>
    <row r="870" spans="28:49" s="196" customFormat="1">
      <c r="AB870" s="201"/>
      <c r="AC870" s="201"/>
      <c r="AD870" s="197"/>
      <c r="AE870" s="197"/>
      <c r="AF870" s="197"/>
      <c r="AG870" s="197"/>
      <c r="AH870" s="197"/>
      <c r="AI870" s="197"/>
      <c r="AJ870" s="197"/>
      <c r="AK870" s="197"/>
      <c r="AL870" s="197"/>
      <c r="AM870" s="197"/>
      <c r="AN870" s="197"/>
      <c r="AO870" s="197"/>
      <c r="AP870" s="197"/>
      <c r="AQ870" s="197"/>
      <c r="AR870" s="197"/>
      <c r="AS870" s="197"/>
      <c r="AT870" s="197"/>
      <c r="AU870" s="197"/>
      <c r="AV870" s="197"/>
      <c r="AW870" s="197"/>
    </row>
    <row r="871" spans="28:49" s="196" customFormat="1">
      <c r="AB871" s="201"/>
      <c r="AC871" s="201"/>
      <c r="AD871" s="197"/>
      <c r="AE871" s="197"/>
      <c r="AF871" s="197"/>
      <c r="AG871" s="197"/>
      <c r="AH871" s="197"/>
      <c r="AI871" s="197"/>
      <c r="AJ871" s="197"/>
      <c r="AK871" s="197"/>
      <c r="AL871" s="197"/>
      <c r="AM871" s="197"/>
      <c r="AN871" s="197"/>
      <c r="AO871" s="197"/>
      <c r="AP871" s="197"/>
      <c r="AQ871" s="197"/>
      <c r="AR871" s="197"/>
      <c r="AS871" s="197"/>
      <c r="AT871" s="197"/>
      <c r="AU871" s="197"/>
      <c r="AV871" s="197"/>
      <c r="AW871" s="197"/>
    </row>
    <row r="872" spans="28:49" s="196" customFormat="1">
      <c r="AB872" s="201"/>
      <c r="AC872" s="201"/>
      <c r="AD872" s="197"/>
      <c r="AE872" s="197"/>
      <c r="AF872" s="197"/>
      <c r="AG872" s="197"/>
      <c r="AH872" s="197"/>
      <c r="AI872" s="197"/>
      <c r="AJ872" s="197"/>
      <c r="AK872" s="197"/>
      <c r="AL872" s="197"/>
      <c r="AM872" s="197"/>
      <c r="AN872" s="197"/>
      <c r="AO872" s="197"/>
      <c r="AP872" s="197"/>
      <c r="AQ872" s="197"/>
      <c r="AR872" s="197"/>
      <c r="AS872" s="197"/>
      <c r="AT872" s="197"/>
      <c r="AU872" s="197"/>
      <c r="AV872" s="197"/>
      <c r="AW872" s="197"/>
    </row>
    <row r="873" spans="28:49" s="196" customFormat="1">
      <c r="AB873" s="201"/>
      <c r="AC873" s="201"/>
      <c r="AD873" s="197"/>
      <c r="AE873" s="197"/>
      <c r="AF873" s="197"/>
      <c r="AG873" s="197"/>
      <c r="AH873" s="197"/>
      <c r="AI873" s="197"/>
      <c r="AJ873" s="197"/>
      <c r="AK873" s="197"/>
      <c r="AL873" s="197"/>
      <c r="AM873" s="197"/>
      <c r="AN873" s="197"/>
      <c r="AO873" s="197"/>
      <c r="AP873" s="197"/>
      <c r="AQ873" s="197"/>
      <c r="AR873" s="197"/>
      <c r="AS873" s="197"/>
      <c r="AT873" s="197"/>
      <c r="AU873" s="197"/>
      <c r="AV873" s="197"/>
      <c r="AW873" s="197"/>
    </row>
    <row r="874" spans="28:49" s="196" customFormat="1">
      <c r="AB874" s="201"/>
      <c r="AC874" s="201"/>
      <c r="AD874" s="197"/>
      <c r="AE874" s="197"/>
      <c r="AF874" s="197"/>
      <c r="AG874" s="197"/>
      <c r="AH874" s="197"/>
      <c r="AI874" s="197"/>
      <c r="AJ874" s="197"/>
      <c r="AK874" s="197"/>
      <c r="AL874" s="197"/>
      <c r="AM874" s="197"/>
      <c r="AN874" s="197"/>
      <c r="AO874" s="197"/>
      <c r="AP874" s="197"/>
      <c r="AQ874" s="197"/>
      <c r="AR874" s="197"/>
      <c r="AS874" s="197"/>
      <c r="AT874" s="197"/>
      <c r="AU874" s="197"/>
      <c r="AV874" s="197"/>
      <c r="AW874" s="197"/>
    </row>
    <row r="875" spans="28:49" s="196" customFormat="1">
      <c r="AB875" s="201"/>
      <c r="AC875" s="201"/>
      <c r="AD875" s="197"/>
      <c r="AE875" s="197"/>
      <c r="AF875" s="197"/>
      <c r="AG875" s="197"/>
      <c r="AH875" s="197"/>
      <c r="AI875" s="197"/>
      <c r="AJ875" s="197"/>
      <c r="AK875" s="197"/>
      <c r="AL875" s="197"/>
      <c r="AM875" s="197"/>
      <c r="AN875" s="197"/>
      <c r="AO875" s="197"/>
      <c r="AP875" s="197"/>
      <c r="AQ875" s="197"/>
      <c r="AR875" s="197"/>
      <c r="AS875" s="197"/>
      <c r="AT875" s="197"/>
      <c r="AU875" s="197"/>
      <c r="AV875" s="197"/>
      <c r="AW875" s="197"/>
    </row>
    <row r="876" spans="28:49" s="196" customFormat="1">
      <c r="AB876" s="201"/>
      <c r="AC876" s="201"/>
      <c r="AD876" s="197"/>
      <c r="AE876" s="197"/>
      <c r="AF876" s="197"/>
      <c r="AG876" s="197"/>
      <c r="AH876" s="197"/>
      <c r="AI876" s="197"/>
      <c r="AJ876" s="197"/>
      <c r="AK876" s="197"/>
      <c r="AL876" s="197"/>
      <c r="AM876" s="197"/>
      <c r="AN876" s="197"/>
      <c r="AO876" s="197"/>
      <c r="AP876" s="197"/>
      <c r="AQ876" s="197"/>
      <c r="AR876" s="197"/>
      <c r="AS876" s="197"/>
      <c r="AT876" s="197"/>
      <c r="AU876" s="197"/>
      <c r="AV876" s="197"/>
      <c r="AW876" s="197"/>
    </row>
    <row r="877" spans="28:49" s="196" customFormat="1">
      <c r="AB877" s="201"/>
      <c r="AC877" s="201"/>
      <c r="AD877" s="197"/>
      <c r="AE877" s="197"/>
      <c r="AF877" s="197"/>
      <c r="AG877" s="197"/>
      <c r="AH877" s="197"/>
      <c r="AI877" s="197"/>
      <c r="AJ877" s="197"/>
      <c r="AK877" s="197"/>
      <c r="AL877" s="197"/>
      <c r="AM877" s="197"/>
      <c r="AN877" s="197"/>
      <c r="AO877" s="197"/>
      <c r="AP877" s="197"/>
      <c r="AQ877" s="197"/>
      <c r="AR877" s="197"/>
      <c r="AS877" s="197"/>
      <c r="AT877" s="197"/>
      <c r="AU877" s="197"/>
      <c r="AV877" s="197"/>
      <c r="AW877" s="197"/>
    </row>
    <row r="878" spans="28:49" s="196" customFormat="1">
      <c r="AB878" s="201"/>
      <c r="AC878" s="201"/>
      <c r="AD878" s="197"/>
      <c r="AE878" s="197"/>
      <c r="AF878" s="197"/>
      <c r="AG878" s="197"/>
      <c r="AH878" s="197"/>
      <c r="AI878" s="197"/>
      <c r="AJ878" s="197"/>
      <c r="AK878" s="197"/>
      <c r="AL878" s="197"/>
      <c r="AM878" s="197"/>
      <c r="AN878" s="197"/>
      <c r="AO878" s="197"/>
      <c r="AP878" s="197"/>
      <c r="AQ878" s="197"/>
      <c r="AR878" s="197"/>
      <c r="AS878" s="197"/>
      <c r="AT878" s="197"/>
      <c r="AU878" s="197"/>
      <c r="AV878" s="197"/>
      <c r="AW878" s="197"/>
    </row>
    <row r="879" spans="28:49" s="196" customFormat="1">
      <c r="AB879" s="201"/>
      <c r="AC879" s="201"/>
      <c r="AD879" s="197"/>
      <c r="AE879" s="197"/>
      <c r="AF879" s="197"/>
      <c r="AG879" s="197"/>
      <c r="AH879" s="197"/>
      <c r="AI879" s="197"/>
      <c r="AJ879" s="197"/>
      <c r="AK879" s="197"/>
      <c r="AL879" s="197"/>
      <c r="AM879" s="197"/>
      <c r="AN879" s="197"/>
      <c r="AO879" s="197"/>
      <c r="AP879" s="197"/>
      <c r="AQ879" s="197"/>
      <c r="AR879" s="197"/>
      <c r="AS879" s="197"/>
      <c r="AT879" s="197"/>
      <c r="AU879" s="197"/>
      <c r="AV879" s="197"/>
      <c r="AW879" s="197"/>
    </row>
    <row r="880" spans="28:49" s="196" customFormat="1">
      <c r="AB880" s="201"/>
      <c r="AC880" s="201"/>
      <c r="AD880" s="197"/>
      <c r="AE880" s="197"/>
      <c r="AF880" s="197"/>
      <c r="AG880" s="197"/>
      <c r="AH880" s="197"/>
      <c r="AI880" s="197"/>
      <c r="AJ880" s="197"/>
      <c r="AK880" s="197"/>
      <c r="AL880" s="197"/>
      <c r="AM880" s="197"/>
      <c r="AN880" s="197"/>
      <c r="AO880" s="197"/>
      <c r="AP880" s="197"/>
      <c r="AQ880" s="197"/>
      <c r="AR880" s="197"/>
      <c r="AS880" s="197"/>
      <c r="AT880" s="197"/>
      <c r="AU880" s="197"/>
      <c r="AV880" s="197"/>
      <c r="AW880" s="197"/>
    </row>
    <row r="881" spans="28:49" s="196" customFormat="1">
      <c r="AB881" s="201"/>
      <c r="AC881" s="201"/>
      <c r="AD881" s="197"/>
      <c r="AE881" s="197"/>
      <c r="AF881" s="197"/>
      <c r="AG881" s="197"/>
      <c r="AH881" s="197"/>
      <c r="AI881" s="197"/>
      <c r="AJ881" s="197"/>
      <c r="AK881" s="197"/>
      <c r="AL881" s="197"/>
      <c r="AM881" s="197"/>
      <c r="AN881" s="197"/>
      <c r="AO881" s="197"/>
      <c r="AP881" s="197"/>
      <c r="AQ881" s="197"/>
      <c r="AR881" s="197"/>
      <c r="AS881" s="197"/>
      <c r="AT881" s="197"/>
      <c r="AU881" s="197"/>
      <c r="AV881" s="197"/>
      <c r="AW881" s="197"/>
    </row>
    <row r="882" spans="28:49" s="196" customFormat="1">
      <c r="AB882" s="201"/>
      <c r="AC882" s="201"/>
      <c r="AD882" s="197"/>
      <c r="AE882" s="197"/>
      <c r="AF882" s="197"/>
      <c r="AG882" s="197"/>
      <c r="AH882" s="197"/>
      <c r="AI882" s="197"/>
      <c r="AJ882" s="197"/>
      <c r="AK882" s="197"/>
      <c r="AL882" s="197"/>
      <c r="AM882" s="197"/>
      <c r="AN882" s="197"/>
      <c r="AO882" s="197"/>
      <c r="AP882" s="197"/>
      <c r="AQ882" s="197"/>
      <c r="AR882" s="197"/>
      <c r="AS882" s="197"/>
      <c r="AT882" s="197"/>
      <c r="AU882" s="197"/>
      <c r="AV882" s="197"/>
      <c r="AW882" s="197"/>
    </row>
    <row r="883" spans="28:49" s="196" customFormat="1">
      <c r="AB883" s="201"/>
      <c r="AC883" s="201"/>
      <c r="AD883" s="197"/>
      <c r="AE883" s="197"/>
      <c r="AF883" s="197"/>
      <c r="AG883" s="197"/>
      <c r="AH883" s="197"/>
      <c r="AI883" s="197"/>
      <c r="AJ883" s="197"/>
      <c r="AK883" s="197"/>
      <c r="AL883" s="197"/>
      <c r="AM883" s="197"/>
      <c r="AN883" s="197"/>
      <c r="AO883" s="197"/>
      <c r="AP883" s="197"/>
      <c r="AQ883" s="197"/>
      <c r="AR883" s="197"/>
      <c r="AS883" s="197"/>
      <c r="AT883" s="197"/>
      <c r="AU883" s="197"/>
      <c r="AV883" s="197"/>
      <c r="AW883" s="197"/>
    </row>
    <row r="884" spans="28:49" s="196" customFormat="1">
      <c r="AB884" s="201"/>
      <c r="AC884" s="201"/>
      <c r="AD884" s="197"/>
      <c r="AE884" s="197"/>
      <c r="AF884" s="197"/>
      <c r="AG884" s="197"/>
      <c r="AH884" s="197"/>
      <c r="AI884" s="197"/>
      <c r="AJ884" s="197"/>
      <c r="AK884" s="197"/>
      <c r="AL884" s="197"/>
      <c r="AM884" s="197"/>
      <c r="AN884" s="197"/>
      <c r="AO884" s="197"/>
      <c r="AP884" s="197"/>
      <c r="AQ884" s="197"/>
      <c r="AR884" s="197"/>
      <c r="AS884" s="197"/>
      <c r="AT884" s="197"/>
      <c r="AU884" s="197"/>
      <c r="AV884" s="197"/>
      <c r="AW884" s="197"/>
    </row>
    <row r="885" spans="28:49" s="196" customFormat="1">
      <c r="AB885" s="201"/>
      <c r="AC885" s="201"/>
      <c r="AD885" s="197"/>
      <c r="AE885" s="197"/>
      <c r="AF885" s="197"/>
      <c r="AG885" s="197"/>
      <c r="AH885" s="197"/>
      <c r="AI885" s="197"/>
      <c r="AJ885" s="197"/>
      <c r="AK885" s="197"/>
      <c r="AL885" s="197"/>
      <c r="AM885" s="197"/>
      <c r="AN885" s="197"/>
      <c r="AO885" s="197"/>
      <c r="AP885" s="197"/>
      <c r="AQ885" s="197"/>
      <c r="AR885" s="197"/>
      <c r="AS885" s="197"/>
      <c r="AT885" s="197"/>
      <c r="AU885" s="197"/>
      <c r="AV885" s="197"/>
      <c r="AW885" s="197"/>
    </row>
    <row r="886" spans="28:49" s="196" customFormat="1">
      <c r="AB886" s="201"/>
      <c r="AC886" s="201"/>
      <c r="AD886" s="197"/>
      <c r="AE886" s="197"/>
      <c r="AF886" s="197"/>
      <c r="AG886" s="197"/>
      <c r="AH886" s="197"/>
      <c r="AI886" s="197"/>
      <c r="AJ886" s="197"/>
      <c r="AK886" s="197"/>
      <c r="AL886" s="197"/>
      <c r="AM886" s="197"/>
      <c r="AN886" s="197"/>
      <c r="AO886" s="197"/>
      <c r="AP886" s="197"/>
      <c r="AQ886" s="197"/>
      <c r="AR886" s="197"/>
      <c r="AS886" s="197"/>
      <c r="AT886" s="197"/>
      <c r="AU886" s="197"/>
      <c r="AV886" s="197"/>
      <c r="AW886" s="197"/>
    </row>
    <row r="887" spans="28:49" s="196" customFormat="1">
      <c r="AB887" s="201"/>
      <c r="AC887" s="201"/>
      <c r="AD887" s="197"/>
      <c r="AE887" s="197"/>
      <c r="AF887" s="197"/>
      <c r="AG887" s="197"/>
      <c r="AH887" s="197"/>
      <c r="AI887" s="197"/>
      <c r="AJ887" s="197"/>
      <c r="AK887" s="197"/>
      <c r="AL887" s="197"/>
      <c r="AM887" s="197"/>
      <c r="AN887" s="197"/>
      <c r="AO887" s="197"/>
      <c r="AP887" s="197"/>
      <c r="AQ887" s="197"/>
      <c r="AR887" s="197"/>
      <c r="AS887" s="197"/>
      <c r="AT887" s="197"/>
      <c r="AU887" s="197"/>
      <c r="AV887" s="197"/>
      <c r="AW887" s="197"/>
    </row>
    <row r="888" spans="28:49" s="196" customFormat="1">
      <c r="AB888" s="201"/>
      <c r="AC888" s="201"/>
      <c r="AD888" s="197"/>
      <c r="AE888" s="197"/>
      <c r="AF888" s="197"/>
      <c r="AG888" s="197"/>
      <c r="AH888" s="197"/>
      <c r="AI888" s="197"/>
      <c r="AJ888" s="197"/>
      <c r="AK888" s="197"/>
      <c r="AL888" s="197"/>
      <c r="AM888" s="197"/>
      <c r="AN888" s="197"/>
      <c r="AO888" s="197"/>
      <c r="AP888" s="197"/>
      <c r="AQ888" s="197"/>
      <c r="AR888" s="197"/>
      <c r="AS888" s="197"/>
      <c r="AT888" s="197"/>
      <c r="AU888" s="197"/>
      <c r="AV888" s="197"/>
      <c r="AW888" s="197"/>
    </row>
    <row r="889" spans="28:49" s="196" customFormat="1">
      <c r="AB889" s="201"/>
      <c r="AC889" s="201"/>
      <c r="AD889" s="197"/>
      <c r="AE889" s="197"/>
      <c r="AF889" s="197"/>
      <c r="AG889" s="197"/>
      <c r="AH889" s="197"/>
      <c r="AI889" s="197"/>
      <c r="AJ889" s="197"/>
      <c r="AK889" s="197"/>
      <c r="AL889" s="197"/>
      <c r="AM889" s="197"/>
      <c r="AN889" s="197"/>
      <c r="AO889" s="197"/>
      <c r="AP889" s="197"/>
      <c r="AQ889" s="197"/>
      <c r="AR889" s="197"/>
      <c r="AS889" s="197"/>
      <c r="AT889" s="197"/>
      <c r="AU889" s="197"/>
      <c r="AV889" s="197"/>
      <c r="AW889" s="197"/>
    </row>
    <row r="890" spans="28:49" s="196" customFormat="1">
      <c r="AB890" s="201"/>
      <c r="AC890" s="201"/>
      <c r="AD890" s="197"/>
      <c r="AE890" s="197"/>
      <c r="AF890" s="197"/>
      <c r="AG890" s="197"/>
      <c r="AH890" s="197"/>
      <c r="AI890" s="197"/>
      <c r="AJ890" s="197"/>
      <c r="AK890" s="197"/>
      <c r="AL890" s="197"/>
      <c r="AM890" s="197"/>
      <c r="AN890" s="197"/>
      <c r="AO890" s="197"/>
      <c r="AP890" s="197"/>
      <c r="AQ890" s="197"/>
      <c r="AR890" s="197"/>
      <c r="AS890" s="197"/>
      <c r="AT890" s="197"/>
      <c r="AU890" s="197"/>
      <c r="AV890" s="197"/>
      <c r="AW890" s="197"/>
    </row>
    <row r="891" spans="28:49" s="196" customFormat="1">
      <c r="AB891" s="201"/>
      <c r="AC891" s="201"/>
      <c r="AD891" s="197"/>
      <c r="AE891" s="197"/>
      <c r="AF891" s="197"/>
      <c r="AG891" s="197"/>
      <c r="AH891" s="197"/>
      <c r="AI891" s="197"/>
      <c r="AJ891" s="197"/>
      <c r="AK891" s="197"/>
      <c r="AL891" s="197"/>
      <c r="AM891" s="197"/>
      <c r="AN891" s="197"/>
      <c r="AO891" s="197"/>
      <c r="AP891" s="197"/>
      <c r="AQ891" s="197"/>
      <c r="AR891" s="197"/>
      <c r="AS891" s="197"/>
      <c r="AT891" s="197"/>
      <c r="AU891" s="197"/>
      <c r="AV891" s="197"/>
      <c r="AW891" s="197"/>
    </row>
    <row r="892" spans="28:49" s="196" customFormat="1">
      <c r="AB892" s="201"/>
      <c r="AC892" s="201"/>
      <c r="AD892" s="197"/>
      <c r="AE892" s="197"/>
      <c r="AF892" s="197"/>
      <c r="AG892" s="197"/>
      <c r="AH892" s="197"/>
      <c r="AI892" s="197"/>
      <c r="AJ892" s="197"/>
      <c r="AK892" s="197"/>
      <c r="AL892" s="197"/>
      <c r="AM892" s="197"/>
      <c r="AN892" s="197"/>
      <c r="AO892" s="197"/>
      <c r="AP892" s="197"/>
      <c r="AQ892" s="197"/>
      <c r="AR892" s="197"/>
      <c r="AS892" s="197"/>
      <c r="AT892" s="197"/>
      <c r="AU892" s="197"/>
      <c r="AV892" s="197"/>
      <c r="AW892" s="197"/>
    </row>
    <row r="893" spans="28:49" s="196" customFormat="1">
      <c r="AB893" s="201"/>
      <c r="AC893" s="201"/>
      <c r="AD893" s="197"/>
      <c r="AE893" s="197"/>
      <c r="AF893" s="197"/>
      <c r="AG893" s="197"/>
      <c r="AH893" s="197"/>
      <c r="AI893" s="197"/>
      <c r="AJ893" s="197"/>
      <c r="AK893" s="197"/>
      <c r="AL893" s="197"/>
      <c r="AM893" s="197"/>
      <c r="AN893" s="197"/>
      <c r="AO893" s="197"/>
      <c r="AP893" s="197"/>
      <c r="AQ893" s="197"/>
      <c r="AR893" s="197"/>
      <c r="AS893" s="197"/>
      <c r="AT893" s="197"/>
      <c r="AU893" s="197"/>
      <c r="AV893" s="197"/>
      <c r="AW893" s="197"/>
    </row>
    <row r="894" spans="28:49" s="196" customFormat="1">
      <c r="AB894" s="201"/>
      <c r="AC894" s="201"/>
      <c r="AD894" s="197"/>
      <c r="AE894" s="197"/>
      <c r="AF894" s="197"/>
      <c r="AG894" s="197"/>
      <c r="AH894" s="197"/>
      <c r="AI894" s="197"/>
      <c r="AJ894" s="197"/>
      <c r="AK894" s="197"/>
      <c r="AL894" s="197"/>
      <c r="AM894" s="197"/>
      <c r="AN894" s="197"/>
      <c r="AO894" s="197"/>
      <c r="AP894" s="197"/>
      <c r="AQ894" s="197"/>
      <c r="AR894" s="197"/>
      <c r="AS894" s="197"/>
      <c r="AT894" s="197"/>
      <c r="AU894" s="197"/>
      <c r="AV894" s="197"/>
      <c r="AW894" s="197"/>
    </row>
    <row r="895" spans="28:49" s="196" customFormat="1">
      <c r="AB895" s="201"/>
      <c r="AC895" s="201"/>
      <c r="AD895" s="197"/>
      <c r="AE895" s="197"/>
      <c r="AF895" s="197"/>
      <c r="AG895" s="197"/>
      <c r="AH895" s="197"/>
      <c r="AI895" s="197"/>
      <c r="AJ895" s="197"/>
      <c r="AK895" s="197"/>
      <c r="AL895" s="197"/>
      <c r="AM895" s="197"/>
      <c r="AN895" s="197"/>
      <c r="AO895" s="197"/>
      <c r="AP895" s="197"/>
      <c r="AQ895" s="197"/>
      <c r="AR895" s="197"/>
      <c r="AS895" s="197"/>
      <c r="AT895" s="197"/>
      <c r="AU895" s="197"/>
      <c r="AV895" s="197"/>
      <c r="AW895" s="197"/>
    </row>
    <row r="896" spans="28:49" s="196" customFormat="1">
      <c r="AB896" s="201"/>
      <c r="AC896" s="201"/>
      <c r="AD896" s="197"/>
      <c r="AE896" s="197"/>
      <c r="AF896" s="197"/>
      <c r="AG896" s="197"/>
      <c r="AH896" s="197"/>
      <c r="AI896" s="197"/>
      <c r="AJ896" s="197"/>
      <c r="AK896" s="197"/>
      <c r="AL896" s="197"/>
      <c r="AM896" s="197"/>
      <c r="AN896" s="197"/>
      <c r="AO896" s="197"/>
      <c r="AP896" s="197"/>
      <c r="AQ896" s="197"/>
      <c r="AR896" s="197"/>
      <c r="AS896" s="197"/>
      <c r="AT896" s="197"/>
      <c r="AU896" s="197"/>
      <c r="AV896" s="197"/>
      <c r="AW896" s="197"/>
    </row>
    <row r="897" spans="28:49" s="196" customFormat="1">
      <c r="AB897" s="201"/>
      <c r="AC897" s="201"/>
      <c r="AD897" s="197"/>
      <c r="AE897" s="197"/>
      <c r="AF897" s="197"/>
      <c r="AG897" s="197"/>
      <c r="AH897" s="197"/>
      <c r="AI897" s="197"/>
      <c r="AJ897" s="197"/>
      <c r="AK897" s="197"/>
      <c r="AL897" s="197"/>
      <c r="AM897" s="197"/>
      <c r="AN897" s="197"/>
      <c r="AO897" s="197"/>
      <c r="AP897" s="197"/>
      <c r="AQ897" s="197"/>
      <c r="AR897" s="197"/>
      <c r="AS897" s="197"/>
      <c r="AT897" s="197"/>
      <c r="AU897" s="197"/>
      <c r="AV897" s="197"/>
      <c r="AW897" s="197"/>
    </row>
    <row r="898" spans="28:49" s="196" customFormat="1">
      <c r="AB898" s="201"/>
      <c r="AC898" s="201"/>
      <c r="AD898" s="197"/>
      <c r="AE898" s="197"/>
      <c r="AF898" s="197"/>
      <c r="AG898" s="197"/>
      <c r="AH898" s="197"/>
      <c r="AI898" s="197"/>
      <c r="AJ898" s="197"/>
      <c r="AK898" s="197"/>
      <c r="AL898" s="197"/>
      <c r="AM898" s="197"/>
      <c r="AN898" s="197"/>
      <c r="AO898" s="197"/>
      <c r="AP898" s="197"/>
      <c r="AQ898" s="197"/>
      <c r="AR898" s="197"/>
      <c r="AS898" s="197"/>
      <c r="AT898" s="197"/>
      <c r="AU898" s="197"/>
      <c r="AV898" s="197"/>
      <c r="AW898" s="197"/>
    </row>
    <row r="899" spans="28:49" s="196" customFormat="1">
      <c r="AB899" s="201"/>
      <c r="AC899" s="201"/>
      <c r="AD899" s="197"/>
      <c r="AE899" s="197"/>
      <c r="AF899" s="197"/>
      <c r="AG899" s="197"/>
      <c r="AH899" s="197"/>
      <c r="AI899" s="197"/>
      <c r="AJ899" s="197"/>
      <c r="AK899" s="197"/>
      <c r="AL899" s="197"/>
      <c r="AM899" s="197"/>
      <c r="AN899" s="197"/>
      <c r="AO899" s="197"/>
      <c r="AP899" s="197"/>
      <c r="AQ899" s="197"/>
      <c r="AR899" s="197"/>
      <c r="AS899" s="197"/>
      <c r="AT899" s="197"/>
      <c r="AU899" s="197"/>
      <c r="AV899" s="197"/>
      <c r="AW899" s="197"/>
    </row>
    <row r="900" spans="28:49" s="196" customFormat="1">
      <c r="AB900" s="201"/>
      <c r="AC900" s="201"/>
      <c r="AD900" s="197"/>
      <c r="AE900" s="197"/>
      <c r="AF900" s="197"/>
      <c r="AG900" s="197"/>
      <c r="AH900" s="197"/>
      <c r="AI900" s="197"/>
      <c r="AJ900" s="197"/>
      <c r="AK900" s="197"/>
      <c r="AL900" s="197"/>
      <c r="AM900" s="197"/>
      <c r="AN900" s="197"/>
      <c r="AO900" s="197"/>
      <c r="AP900" s="197"/>
      <c r="AQ900" s="197"/>
      <c r="AR900" s="197"/>
      <c r="AS900" s="197"/>
      <c r="AT900" s="197"/>
      <c r="AU900" s="197"/>
      <c r="AV900" s="197"/>
      <c r="AW900" s="197"/>
    </row>
    <row r="901" spans="28:49" s="196" customFormat="1">
      <c r="AB901" s="201"/>
      <c r="AC901" s="201"/>
      <c r="AD901" s="197"/>
      <c r="AE901" s="197"/>
      <c r="AF901" s="197"/>
      <c r="AG901" s="197"/>
      <c r="AH901" s="197"/>
      <c r="AI901" s="197"/>
      <c r="AJ901" s="197"/>
      <c r="AK901" s="197"/>
      <c r="AL901" s="197"/>
      <c r="AM901" s="197"/>
      <c r="AN901" s="197"/>
      <c r="AO901" s="197"/>
      <c r="AP901" s="197"/>
      <c r="AQ901" s="197"/>
      <c r="AR901" s="197"/>
      <c r="AS901" s="197"/>
      <c r="AT901" s="197"/>
      <c r="AU901" s="197"/>
      <c r="AV901" s="197"/>
      <c r="AW901" s="197"/>
    </row>
    <row r="902" spans="28:49" s="196" customFormat="1">
      <c r="AB902" s="201"/>
      <c r="AC902" s="201"/>
      <c r="AD902" s="197"/>
      <c r="AE902" s="197"/>
      <c r="AF902" s="197"/>
      <c r="AG902" s="197"/>
      <c r="AH902" s="197"/>
      <c r="AI902" s="197"/>
      <c r="AJ902" s="197"/>
      <c r="AK902" s="197"/>
      <c r="AL902" s="197"/>
      <c r="AM902" s="197"/>
      <c r="AN902" s="197"/>
      <c r="AO902" s="197"/>
      <c r="AP902" s="197"/>
      <c r="AQ902" s="197"/>
      <c r="AR902" s="197"/>
      <c r="AS902" s="197"/>
      <c r="AT902" s="197"/>
      <c r="AU902" s="197"/>
      <c r="AV902" s="197"/>
      <c r="AW902" s="197"/>
    </row>
    <row r="903" spans="28:49" s="196" customFormat="1">
      <c r="AB903" s="201"/>
      <c r="AC903" s="201"/>
      <c r="AD903" s="197"/>
      <c r="AE903" s="197"/>
      <c r="AF903" s="197"/>
      <c r="AG903" s="197"/>
      <c r="AH903" s="197"/>
      <c r="AI903" s="197"/>
      <c r="AJ903" s="197"/>
      <c r="AK903" s="197"/>
      <c r="AL903" s="197"/>
      <c r="AM903" s="197"/>
      <c r="AN903" s="197"/>
      <c r="AO903" s="197"/>
      <c r="AP903" s="197"/>
      <c r="AQ903" s="197"/>
      <c r="AR903" s="197"/>
      <c r="AS903" s="197"/>
      <c r="AT903" s="197"/>
      <c r="AU903" s="197"/>
      <c r="AV903" s="197"/>
      <c r="AW903" s="197"/>
    </row>
    <row r="904" spans="28:49" s="196" customFormat="1">
      <c r="AB904" s="201"/>
      <c r="AC904" s="201"/>
      <c r="AD904" s="197"/>
      <c r="AE904" s="197"/>
      <c r="AF904" s="197"/>
      <c r="AG904" s="197"/>
      <c r="AH904" s="197"/>
      <c r="AI904" s="197"/>
      <c r="AJ904" s="197"/>
      <c r="AK904" s="197"/>
      <c r="AL904" s="197"/>
      <c r="AM904" s="197"/>
      <c r="AN904" s="197"/>
      <c r="AO904" s="197"/>
      <c r="AP904" s="197"/>
      <c r="AQ904" s="197"/>
      <c r="AR904" s="197"/>
      <c r="AS904" s="197"/>
      <c r="AT904" s="197"/>
      <c r="AU904" s="197"/>
      <c r="AV904" s="197"/>
      <c r="AW904" s="197"/>
    </row>
    <row r="905" spans="28:49" s="196" customFormat="1">
      <c r="AB905" s="201"/>
      <c r="AC905" s="201"/>
      <c r="AD905" s="197"/>
      <c r="AE905" s="197"/>
      <c r="AF905" s="197"/>
      <c r="AG905" s="197"/>
      <c r="AH905" s="197"/>
      <c r="AI905" s="197"/>
      <c r="AJ905" s="197"/>
      <c r="AK905" s="197"/>
      <c r="AL905" s="197"/>
      <c r="AM905" s="197"/>
      <c r="AN905" s="197"/>
      <c r="AO905" s="197"/>
      <c r="AP905" s="197"/>
      <c r="AQ905" s="197"/>
      <c r="AR905" s="197"/>
      <c r="AS905" s="197"/>
      <c r="AT905" s="197"/>
      <c r="AU905" s="197"/>
      <c r="AV905" s="197"/>
      <c r="AW905" s="197"/>
    </row>
    <row r="906" spans="28:49" s="196" customFormat="1">
      <c r="AB906" s="201"/>
      <c r="AC906" s="201"/>
      <c r="AD906" s="197"/>
      <c r="AE906" s="197"/>
      <c r="AF906" s="197"/>
      <c r="AG906" s="197"/>
      <c r="AH906" s="197"/>
      <c r="AI906" s="197"/>
      <c r="AJ906" s="197"/>
      <c r="AK906" s="197"/>
      <c r="AL906" s="197"/>
      <c r="AM906" s="197"/>
      <c r="AN906" s="197"/>
      <c r="AO906" s="197"/>
      <c r="AP906" s="197"/>
      <c r="AQ906" s="197"/>
      <c r="AR906" s="197"/>
      <c r="AS906" s="197"/>
      <c r="AT906" s="197"/>
      <c r="AU906" s="197"/>
      <c r="AV906" s="197"/>
      <c r="AW906" s="197"/>
    </row>
    <row r="907" spans="28:49" s="196" customFormat="1">
      <c r="AB907" s="201"/>
      <c r="AC907" s="201"/>
      <c r="AD907" s="197"/>
      <c r="AE907" s="197"/>
      <c r="AF907" s="197"/>
      <c r="AG907" s="197"/>
      <c r="AH907" s="197"/>
      <c r="AI907" s="197"/>
      <c r="AJ907" s="197"/>
      <c r="AK907" s="197"/>
      <c r="AL907" s="197"/>
      <c r="AM907" s="197"/>
      <c r="AN907" s="197"/>
      <c r="AO907" s="197"/>
      <c r="AP907" s="197"/>
      <c r="AQ907" s="197"/>
      <c r="AR907" s="197"/>
      <c r="AS907" s="197"/>
      <c r="AT907" s="197"/>
      <c r="AU907" s="197"/>
      <c r="AV907" s="197"/>
      <c r="AW907" s="197"/>
    </row>
    <row r="908" spans="28:49" s="196" customFormat="1">
      <c r="AB908" s="201"/>
      <c r="AC908" s="201"/>
      <c r="AD908" s="197"/>
      <c r="AE908" s="197"/>
      <c r="AF908" s="197"/>
      <c r="AG908" s="197"/>
      <c r="AH908" s="197"/>
      <c r="AI908" s="197"/>
      <c r="AJ908" s="197"/>
      <c r="AK908" s="197"/>
      <c r="AL908" s="197"/>
      <c r="AM908" s="197"/>
      <c r="AN908" s="197"/>
      <c r="AO908" s="197"/>
      <c r="AP908" s="197"/>
      <c r="AQ908" s="197"/>
      <c r="AR908" s="197"/>
      <c r="AS908" s="197"/>
      <c r="AT908" s="197"/>
      <c r="AU908" s="197"/>
      <c r="AV908" s="197"/>
      <c r="AW908" s="197"/>
    </row>
    <row r="909" spans="28:49" s="196" customFormat="1">
      <c r="AB909" s="201"/>
      <c r="AC909" s="201"/>
      <c r="AD909" s="197"/>
      <c r="AE909" s="197"/>
      <c r="AF909" s="197"/>
      <c r="AG909" s="197"/>
      <c r="AH909" s="197"/>
      <c r="AI909" s="197"/>
      <c r="AJ909" s="197"/>
      <c r="AK909" s="197"/>
      <c r="AL909" s="197"/>
      <c r="AM909" s="197"/>
      <c r="AN909" s="197"/>
      <c r="AO909" s="197"/>
      <c r="AP909" s="197"/>
      <c r="AQ909" s="197"/>
      <c r="AR909" s="197"/>
      <c r="AS909" s="197"/>
      <c r="AT909" s="197"/>
      <c r="AU909" s="197"/>
      <c r="AV909" s="197"/>
      <c r="AW909" s="197"/>
    </row>
    <row r="910" spans="28:49" s="196" customFormat="1">
      <c r="AB910" s="201"/>
      <c r="AC910" s="201"/>
      <c r="AD910" s="197"/>
      <c r="AE910" s="197"/>
      <c r="AF910" s="197"/>
      <c r="AG910" s="197"/>
      <c r="AH910" s="197"/>
      <c r="AI910" s="197"/>
      <c r="AJ910" s="197"/>
      <c r="AK910" s="197"/>
      <c r="AL910" s="197"/>
      <c r="AM910" s="197"/>
      <c r="AN910" s="197"/>
      <c r="AO910" s="197"/>
      <c r="AP910" s="197"/>
      <c r="AQ910" s="197"/>
      <c r="AR910" s="197"/>
      <c r="AS910" s="197"/>
      <c r="AT910" s="197"/>
      <c r="AU910" s="197"/>
      <c r="AV910" s="197"/>
      <c r="AW910" s="197"/>
    </row>
    <row r="911" spans="28:49" s="196" customFormat="1">
      <c r="AB911" s="201"/>
      <c r="AC911" s="201"/>
      <c r="AD911" s="197"/>
      <c r="AE911" s="197"/>
      <c r="AF911" s="197"/>
      <c r="AG911" s="197"/>
      <c r="AH911" s="197"/>
      <c r="AI911" s="197"/>
      <c r="AJ911" s="197"/>
      <c r="AK911" s="197"/>
      <c r="AL911" s="197"/>
      <c r="AM911" s="197"/>
      <c r="AN911" s="197"/>
      <c r="AO911" s="197"/>
      <c r="AP911" s="197"/>
      <c r="AQ911" s="197"/>
      <c r="AR911" s="197"/>
      <c r="AS911" s="197"/>
      <c r="AT911" s="197"/>
      <c r="AU911" s="197"/>
      <c r="AV911" s="197"/>
      <c r="AW911" s="197"/>
    </row>
    <row r="912" spans="28:49" s="196" customFormat="1">
      <c r="AB912" s="201"/>
      <c r="AC912" s="201"/>
      <c r="AD912" s="197"/>
      <c r="AE912" s="197"/>
      <c r="AF912" s="197"/>
      <c r="AG912" s="197"/>
      <c r="AH912" s="197"/>
      <c r="AI912" s="197"/>
      <c r="AJ912" s="197"/>
      <c r="AK912" s="197"/>
      <c r="AL912" s="197"/>
      <c r="AM912" s="197"/>
      <c r="AN912" s="197"/>
      <c r="AO912" s="197"/>
      <c r="AP912" s="197"/>
      <c r="AQ912" s="197"/>
      <c r="AR912" s="197"/>
      <c r="AS912" s="197"/>
      <c r="AT912" s="197"/>
      <c r="AU912" s="197"/>
      <c r="AV912" s="197"/>
      <c r="AW912" s="197"/>
    </row>
    <row r="913" spans="28:49" s="196" customFormat="1">
      <c r="AB913" s="201"/>
      <c r="AC913" s="201"/>
      <c r="AD913" s="197"/>
      <c r="AE913" s="197"/>
      <c r="AF913" s="197"/>
      <c r="AG913" s="197"/>
      <c r="AH913" s="197"/>
      <c r="AI913" s="197"/>
      <c r="AJ913" s="197"/>
      <c r="AK913" s="197"/>
      <c r="AL913" s="197"/>
      <c r="AM913" s="197"/>
      <c r="AN913" s="197"/>
      <c r="AO913" s="197"/>
      <c r="AP913" s="197"/>
      <c r="AQ913" s="197"/>
      <c r="AR913" s="197"/>
      <c r="AS913" s="197"/>
      <c r="AT913" s="197"/>
      <c r="AU913" s="197"/>
      <c r="AV913" s="197"/>
      <c r="AW913" s="197"/>
    </row>
    <row r="914" spans="28:49" s="196" customFormat="1">
      <c r="AB914" s="201"/>
      <c r="AC914" s="201"/>
      <c r="AD914" s="197"/>
      <c r="AE914" s="197"/>
      <c r="AF914" s="197"/>
      <c r="AG914" s="197"/>
      <c r="AH914" s="197"/>
      <c r="AI914" s="197"/>
      <c r="AJ914" s="197"/>
      <c r="AK914" s="197"/>
      <c r="AL914" s="197"/>
      <c r="AM914" s="197"/>
      <c r="AN914" s="197"/>
      <c r="AO914" s="197"/>
      <c r="AP914" s="197"/>
      <c r="AQ914" s="197"/>
      <c r="AR914" s="197"/>
      <c r="AS914" s="197"/>
      <c r="AT914" s="197"/>
      <c r="AU914" s="197"/>
      <c r="AV914" s="197"/>
      <c r="AW914" s="197"/>
    </row>
    <row r="915" spans="28:49" s="196" customFormat="1">
      <c r="AB915" s="201"/>
      <c r="AC915" s="201"/>
      <c r="AD915" s="197"/>
      <c r="AE915" s="197"/>
      <c r="AF915" s="197"/>
      <c r="AG915" s="197"/>
      <c r="AH915" s="197"/>
      <c r="AI915" s="197"/>
      <c r="AJ915" s="197"/>
      <c r="AK915" s="197"/>
      <c r="AL915" s="197"/>
      <c r="AM915" s="197"/>
      <c r="AN915" s="197"/>
      <c r="AO915" s="197"/>
      <c r="AP915" s="197"/>
      <c r="AQ915" s="197"/>
      <c r="AR915" s="197"/>
      <c r="AS915" s="197"/>
      <c r="AT915" s="197"/>
      <c r="AU915" s="197"/>
      <c r="AV915" s="197"/>
      <c r="AW915" s="197"/>
    </row>
    <row r="916" spans="28:49" s="196" customFormat="1">
      <c r="AB916" s="201"/>
      <c r="AC916" s="201"/>
      <c r="AD916" s="197"/>
      <c r="AE916" s="197"/>
      <c r="AF916" s="197"/>
      <c r="AG916" s="197"/>
      <c r="AH916" s="197"/>
      <c r="AI916" s="197"/>
      <c r="AJ916" s="197"/>
      <c r="AK916" s="197"/>
      <c r="AL916" s="197"/>
      <c r="AM916" s="197"/>
      <c r="AN916" s="197"/>
      <c r="AO916" s="197"/>
      <c r="AP916" s="197"/>
      <c r="AQ916" s="197"/>
      <c r="AR916" s="197"/>
      <c r="AS916" s="197"/>
      <c r="AT916" s="197"/>
      <c r="AU916" s="197"/>
      <c r="AV916" s="197"/>
      <c r="AW916" s="197"/>
    </row>
    <row r="917" spans="28:49" s="196" customFormat="1">
      <c r="AB917" s="201"/>
      <c r="AC917" s="201"/>
      <c r="AD917" s="197"/>
      <c r="AE917" s="197"/>
      <c r="AF917" s="197"/>
      <c r="AG917" s="197"/>
      <c r="AH917" s="197"/>
      <c r="AI917" s="197"/>
      <c r="AJ917" s="197"/>
      <c r="AK917" s="197"/>
      <c r="AL917" s="197"/>
      <c r="AM917" s="197"/>
      <c r="AN917" s="197"/>
      <c r="AO917" s="197"/>
      <c r="AP917" s="197"/>
      <c r="AQ917" s="197"/>
      <c r="AR917" s="197"/>
      <c r="AS917" s="197"/>
      <c r="AT917" s="197"/>
      <c r="AU917" s="197"/>
      <c r="AV917" s="197"/>
      <c r="AW917" s="197"/>
    </row>
    <row r="918" spans="28:49" s="196" customFormat="1">
      <c r="AB918" s="201"/>
      <c r="AC918" s="201"/>
      <c r="AD918" s="197"/>
      <c r="AE918" s="197"/>
      <c r="AF918" s="197"/>
      <c r="AG918" s="197"/>
      <c r="AH918" s="197"/>
      <c r="AI918" s="197"/>
      <c r="AJ918" s="197"/>
      <c r="AK918" s="197"/>
      <c r="AL918" s="197"/>
      <c r="AM918" s="197"/>
      <c r="AN918" s="197"/>
      <c r="AO918" s="197"/>
      <c r="AP918" s="197"/>
      <c r="AQ918" s="197"/>
      <c r="AR918" s="197"/>
      <c r="AS918" s="197"/>
      <c r="AT918" s="197"/>
      <c r="AU918" s="197"/>
      <c r="AV918" s="197"/>
      <c r="AW918" s="197"/>
    </row>
    <row r="919" spans="28:49" s="196" customFormat="1">
      <c r="AB919" s="201"/>
      <c r="AC919" s="201"/>
      <c r="AD919" s="197"/>
      <c r="AE919" s="197"/>
      <c r="AF919" s="197"/>
      <c r="AG919" s="197"/>
      <c r="AH919" s="197"/>
      <c r="AI919" s="197"/>
      <c r="AJ919" s="197"/>
      <c r="AK919" s="197"/>
      <c r="AL919" s="197"/>
      <c r="AM919" s="197"/>
      <c r="AN919" s="197"/>
      <c r="AO919" s="197"/>
      <c r="AP919" s="197"/>
      <c r="AQ919" s="197"/>
      <c r="AR919" s="197"/>
      <c r="AS919" s="197"/>
      <c r="AT919" s="197"/>
      <c r="AU919" s="197"/>
      <c r="AV919" s="197"/>
      <c r="AW919" s="197"/>
    </row>
    <row r="920" spans="28:49" s="196" customFormat="1">
      <c r="AB920" s="201"/>
      <c r="AC920" s="201"/>
      <c r="AD920" s="197"/>
      <c r="AE920" s="197"/>
      <c r="AF920" s="197"/>
      <c r="AG920" s="197"/>
      <c r="AH920" s="197"/>
      <c r="AI920" s="197"/>
      <c r="AJ920" s="197"/>
      <c r="AK920" s="197"/>
      <c r="AL920" s="197"/>
      <c r="AM920" s="197"/>
      <c r="AN920" s="197"/>
      <c r="AO920" s="197"/>
      <c r="AP920" s="197"/>
      <c r="AQ920" s="197"/>
      <c r="AR920" s="197"/>
      <c r="AS920" s="197"/>
      <c r="AT920" s="197"/>
      <c r="AU920" s="197"/>
      <c r="AV920" s="197"/>
      <c r="AW920" s="197"/>
    </row>
    <row r="921" spans="28:49" s="196" customFormat="1">
      <c r="AB921" s="201"/>
      <c r="AC921" s="201"/>
      <c r="AD921" s="197"/>
      <c r="AE921" s="197"/>
      <c r="AF921" s="197"/>
      <c r="AG921" s="197"/>
      <c r="AH921" s="197"/>
      <c r="AI921" s="197"/>
      <c r="AJ921" s="197"/>
      <c r="AK921" s="197"/>
      <c r="AL921" s="197"/>
      <c r="AM921" s="197"/>
      <c r="AN921" s="197"/>
      <c r="AO921" s="197"/>
      <c r="AP921" s="197"/>
      <c r="AQ921" s="197"/>
      <c r="AR921" s="197"/>
      <c r="AS921" s="197"/>
      <c r="AT921" s="197"/>
      <c r="AU921" s="197"/>
      <c r="AV921" s="197"/>
      <c r="AW921" s="197"/>
    </row>
    <row r="922" spans="28:49" s="196" customFormat="1">
      <c r="AB922" s="201"/>
      <c r="AC922" s="201"/>
      <c r="AD922" s="197"/>
      <c r="AE922" s="197"/>
      <c r="AF922" s="197"/>
      <c r="AG922" s="197"/>
      <c r="AH922" s="197"/>
      <c r="AI922" s="197"/>
      <c r="AJ922" s="197"/>
      <c r="AK922" s="197"/>
      <c r="AL922" s="197"/>
      <c r="AM922" s="197"/>
      <c r="AN922" s="197"/>
      <c r="AO922" s="197"/>
      <c r="AP922" s="197"/>
      <c r="AQ922" s="197"/>
      <c r="AR922" s="197"/>
      <c r="AS922" s="197"/>
      <c r="AT922" s="197"/>
      <c r="AU922" s="197"/>
      <c r="AV922" s="197"/>
      <c r="AW922" s="197"/>
    </row>
    <row r="923" spans="28:49" s="196" customFormat="1">
      <c r="AB923" s="201"/>
      <c r="AC923" s="201"/>
      <c r="AD923" s="197"/>
      <c r="AE923" s="197"/>
      <c r="AF923" s="197"/>
      <c r="AG923" s="197"/>
      <c r="AH923" s="197"/>
      <c r="AI923" s="197"/>
      <c r="AJ923" s="197"/>
      <c r="AK923" s="197"/>
      <c r="AL923" s="197"/>
      <c r="AM923" s="197"/>
      <c r="AN923" s="197"/>
      <c r="AO923" s="197"/>
      <c r="AP923" s="197"/>
      <c r="AQ923" s="197"/>
      <c r="AR923" s="197"/>
      <c r="AS923" s="197"/>
      <c r="AT923" s="197"/>
      <c r="AU923" s="197"/>
      <c r="AV923" s="197"/>
      <c r="AW923" s="197"/>
    </row>
    <row r="924" spans="28:49" s="196" customFormat="1">
      <c r="AB924" s="201"/>
      <c r="AC924" s="201"/>
      <c r="AD924" s="197"/>
      <c r="AE924" s="197"/>
      <c r="AF924" s="197"/>
      <c r="AG924" s="197"/>
      <c r="AH924" s="197"/>
      <c r="AI924" s="197"/>
      <c r="AJ924" s="197"/>
      <c r="AK924" s="197"/>
      <c r="AL924" s="197"/>
      <c r="AM924" s="197"/>
      <c r="AN924" s="197"/>
      <c r="AO924" s="197"/>
      <c r="AP924" s="197"/>
      <c r="AQ924" s="197"/>
      <c r="AR924" s="197"/>
      <c r="AS924" s="197"/>
      <c r="AT924" s="197"/>
      <c r="AU924" s="197"/>
      <c r="AV924" s="197"/>
      <c r="AW924" s="197"/>
    </row>
    <row r="925" spans="28:49" s="196" customFormat="1">
      <c r="AB925" s="201"/>
      <c r="AC925" s="201"/>
      <c r="AD925" s="197"/>
      <c r="AE925" s="197"/>
      <c r="AF925" s="197"/>
      <c r="AG925" s="197"/>
      <c r="AH925" s="197"/>
      <c r="AI925" s="197"/>
      <c r="AJ925" s="197"/>
      <c r="AK925" s="197"/>
      <c r="AL925" s="197"/>
      <c r="AM925" s="197"/>
      <c r="AN925" s="197"/>
      <c r="AO925" s="197"/>
      <c r="AP925" s="197"/>
      <c r="AQ925" s="197"/>
      <c r="AR925" s="197"/>
      <c r="AS925" s="197"/>
      <c r="AT925" s="197"/>
      <c r="AU925" s="197"/>
      <c r="AV925" s="197"/>
      <c r="AW925" s="197"/>
    </row>
    <row r="926" spans="28:49" s="196" customFormat="1">
      <c r="AB926" s="201"/>
      <c r="AC926" s="201"/>
      <c r="AD926" s="197"/>
      <c r="AE926" s="197"/>
      <c r="AF926" s="197"/>
      <c r="AG926" s="197"/>
      <c r="AH926" s="197"/>
      <c r="AI926" s="197"/>
      <c r="AJ926" s="197"/>
      <c r="AK926" s="197"/>
      <c r="AL926" s="197"/>
      <c r="AM926" s="197"/>
      <c r="AN926" s="197"/>
      <c r="AO926" s="197"/>
      <c r="AP926" s="197"/>
      <c r="AQ926" s="197"/>
      <c r="AR926" s="197"/>
      <c r="AS926" s="197"/>
      <c r="AT926" s="197"/>
      <c r="AU926" s="197"/>
      <c r="AV926" s="197"/>
      <c r="AW926" s="197"/>
    </row>
    <row r="927" spans="28:49" s="196" customFormat="1">
      <c r="AB927" s="201"/>
      <c r="AC927" s="201"/>
      <c r="AD927" s="197"/>
      <c r="AE927" s="197"/>
      <c r="AF927" s="197"/>
      <c r="AG927" s="197"/>
      <c r="AH927" s="197"/>
      <c r="AI927" s="197"/>
      <c r="AJ927" s="197"/>
      <c r="AK927" s="197"/>
      <c r="AL927" s="197"/>
      <c r="AM927" s="197"/>
      <c r="AN927" s="197"/>
      <c r="AO927" s="197"/>
      <c r="AP927" s="197"/>
      <c r="AQ927" s="197"/>
      <c r="AR927" s="197"/>
      <c r="AS927" s="197"/>
      <c r="AT927" s="197"/>
      <c r="AU927" s="197"/>
      <c r="AV927" s="197"/>
      <c r="AW927" s="197"/>
    </row>
    <row r="928" spans="28:49" s="196" customFormat="1">
      <c r="AB928" s="201"/>
      <c r="AC928" s="201"/>
      <c r="AD928" s="197"/>
      <c r="AE928" s="197"/>
      <c r="AF928" s="197"/>
      <c r="AG928" s="197"/>
      <c r="AH928" s="197"/>
      <c r="AI928" s="197"/>
      <c r="AJ928" s="197"/>
      <c r="AK928" s="197"/>
      <c r="AL928" s="197"/>
      <c r="AM928" s="197"/>
      <c r="AN928" s="197"/>
      <c r="AO928" s="197"/>
      <c r="AP928" s="197"/>
      <c r="AQ928" s="197"/>
      <c r="AR928" s="197"/>
      <c r="AS928" s="197"/>
      <c r="AT928" s="197"/>
      <c r="AU928" s="197"/>
      <c r="AV928" s="197"/>
      <c r="AW928" s="197"/>
    </row>
    <row r="929" spans="28:49" s="196" customFormat="1">
      <c r="AB929" s="201"/>
      <c r="AC929" s="201"/>
      <c r="AD929" s="197"/>
      <c r="AE929" s="197"/>
      <c r="AF929" s="197"/>
      <c r="AG929" s="197"/>
      <c r="AH929" s="197"/>
      <c r="AI929" s="197"/>
      <c r="AJ929" s="197"/>
      <c r="AK929" s="197"/>
      <c r="AL929" s="197"/>
      <c r="AM929" s="197"/>
      <c r="AN929" s="197"/>
      <c r="AO929" s="197"/>
      <c r="AP929" s="197"/>
      <c r="AQ929" s="197"/>
      <c r="AR929" s="197"/>
      <c r="AS929" s="197"/>
      <c r="AT929" s="197"/>
      <c r="AU929" s="197"/>
      <c r="AV929" s="197"/>
      <c r="AW929" s="197"/>
    </row>
    <row r="930" spans="28:49" s="196" customFormat="1">
      <c r="AB930" s="201"/>
      <c r="AC930" s="201"/>
      <c r="AD930" s="197"/>
      <c r="AE930" s="197"/>
      <c r="AF930" s="197"/>
      <c r="AG930" s="197"/>
      <c r="AH930" s="197"/>
      <c r="AI930" s="197"/>
      <c r="AJ930" s="197"/>
      <c r="AK930" s="197"/>
      <c r="AL930" s="197"/>
      <c r="AM930" s="197"/>
      <c r="AN930" s="197"/>
      <c r="AO930" s="197"/>
      <c r="AP930" s="197"/>
      <c r="AQ930" s="197"/>
      <c r="AR930" s="197"/>
      <c r="AS930" s="197"/>
      <c r="AT930" s="197"/>
      <c r="AU930" s="197"/>
      <c r="AV930" s="197"/>
      <c r="AW930" s="197"/>
    </row>
    <row r="931" spans="28:49" s="196" customFormat="1">
      <c r="AB931" s="201"/>
      <c r="AC931" s="201"/>
      <c r="AD931" s="197"/>
      <c r="AE931" s="197"/>
      <c r="AF931" s="197"/>
      <c r="AG931" s="197"/>
      <c r="AH931" s="197"/>
      <c r="AI931" s="197"/>
      <c r="AJ931" s="197"/>
      <c r="AK931" s="197"/>
      <c r="AL931" s="197"/>
      <c r="AM931" s="197"/>
      <c r="AN931" s="197"/>
      <c r="AO931" s="197"/>
      <c r="AP931" s="197"/>
      <c r="AQ931" s="197"/>
      <c r="AR931" s="197"/>
      <c r="AS931" s="197"/>
      <c r="AT931" s="197"/>
      <c r="AU931" s="197"/>
      <c r="AV931" s="197"/>
      <c r="AW931" s="197"/>
    </row>
    <row r="932" spans="28:49" s="196" customFormat="1">
      <c r="AB932" s="201"/>
      <c r="AC932" s="201"/>
      <c r="AD932" s="197"/>
      <c r="AE932" s="197"/>
      <c r="AF932" s="197"/>
      <c r="AG932" s="197"/>
      <c r="AH932" s="197"/>
      <c r="AI932" s="197"/>
      <c r="AJ932" s="197"/>
      <c r="AK932" s="197"/>
      <c r="AL932" s="197"/>
      <c r="AM932" s="197"/>
      <c r="AN932" s="197"/>
      <c r="AO932" s="197"/>
      <c r="AP932" s="197"/>
      <c r="AQ932" s="197"/>
      <c r="AR932" s="197"/>
      <c r="AS932" s="197"/>
      <c r="AT932" s="197"/>
      <c r="AU932" s="197"/>
      <c r="AV932" s="197"/>
      <c r="AW932" s="197"/>
    </row>
    <row r="933" spans="28:49" s="196" customFormat="1">
      <c r="AB933" s="201"/>
      <c r="AC933" s="201"/>
      <c r="AD933" s="197"/>
      <c r="AE933" s="197"/>
      <c r="AF933" s="197"/>
      <c r="AG933" s="197"/>
      <c r="AH933" s="197"/>
      <c r="AI933" s="197"/>
      <c r="AJ933" s="197"/>
      <c r="AK933" s="197"/>
      <c r="AL933" s="197"/>
      <c r="AM933" s="197"/>
      <c r="AN933" s="197"/>
      <c r="AO933" s="197"/>
      <c r="AP933" s="197"/>
      <c r="AQ933" s="197"/>
      <c r="AR933" s="197"/>
      <c r="AS933" s="197"/>
      <c r="AT933" s="197"/>
      <c r="AU933" s="197"/>
      <c r="AV933" s="197"/>
      <c r="AW933" s="197"/>
    </row>
    <row r="934" spans="28:49" s="196" customFormat="1">
      <c r="AB934" s="201"/>
      <c r="AC934" s="201"/>
      <c r="AD934" s="197"/>
      <c r="AE934" s="197"/>
      <c r="AF934" s="197"/>
      <c r="AG934" s="197"/>
      <c r="AH934" s="197"/>
      <c r="AI934" s="197"/>
      <c r="AJ934" s="197"/>
      <c r="AK934" s="197"/>
      <c r="AL934" s="197"/>
      <c r="AM934" s="197"/>
      <c r="AN934" s="197"/>
      <c r="AO934" s="197"/>
      <c r="AP934" s="197"/>
      <c r="AQ934" s="197"/>
      <c r="AR934" s="197"/>
      <c r="AS934" s="197"/>
      <c r="AT934" s="197"/>
      <c r="AU934" s="197"/>
      <c r="AV934" s="197"/>
      <c r="AW934" s="197"/>
    </row>
    <row r="935" spans="28:49" s="196" customFormat="1">
      <c r="AB935" s="201"/>
      <c r="AC935" s="201"/>
      <c r="AD935" s="197"/>
      <c r="AE935" s="197"/>
      <c r="AF935" s="197"/>
      <c r="AG935" s="197"/>
      <c r="AH935" s="197"/>
      <c r="AI935" s="197"/>
      <c r="AJ935" s="197"/>
      <c r="AK935" s="197"/>
      <c r="AL935" s="197"/>
      <c r="AM935" s="197"/>
      <c r="AN935" s="197"/>
      <c r="AO935" s="197"/>
      <c r="AP935" s="197"/>
      <c r="AQ935" s="197"/>
      <c r="AR935" s="197"/>
      <c r="AS935" s="197"/>
      <c r="AT935" s="197"/>
      <c r="AU935" s="197"/>
      <c r="AV935" s="197"/>
      <c r="AW935" s="197"/>
    </row>
    <row r="936" spans="28:49" s="196" customFormat="1">
      <c r="AB936" s="201"/>
      <c r="AC936" s="201"/>
      <c r="AD936" s="197"/>
      <c r="AE936" s="197"/>
      <c r="AF936" s="197"/>
      <c r="AG936" s="197"/>
      <c r="AH936" s="197"/>
      <c r="AI936" s="197"/>
      <c r="AJ936" s="197"/>
      <c r="AK936" s="197"/>
      <c r="AL936" s="197"/>
      <c r="AM936" s="197"/>
      <c r="AN936" s="197"/>
      <c r="AO936" s="197"/>
      <c r="AP936" s="197"/>
      <c r="AQ936" s="197"/>
      <c r="AR936" s="197"/>
      <c r="AS936" s="197"/>
      <c r="AT936" s="197"/>
      <c r="AU936" s="197"/>
      <c r="AV936" s="197"/>
      <c r="AW936" s="197"/>
    </row>
    <row r="937" spans="28:49" s="196" customFormat="1">
      <c r="AB937" s="201"/>
      <c r="AC937" s="201"/>
      <c r="AD937" s="197"/>
      <c r="AE937" s="197"/>
      <c r="AF937" s="197"/>
      <c r="AG937" s="197"/>
      <c r="AH937" s="197"/>
      <c r="AI937" s="197"/>
      <c r="AJ937" s="197"/>
      <c r="AK937" s="197"/>
      <c r="AL937" s="197"/>
      <c r="AM937" s="197"/>
      <c r="AN937" s="197"/>
      <c r="AO937" s="197"/>
      <c r="AP937" s="197"/>
      <c r="AQ937" s="197"/>
      <c r="AR937" s="197"/>
      <c r="AS937" s="197"/>
      <c r="AT937" s="197"/>
      <c r="AU937" s="197"/>
      <c r="AV937" s="197"/>
      <c r="AW937" s="197"/>
    </row>
    <row r="938" spans="28:49" s="196" customFormat="1">
      <c r="AB938" s="201"/>
      <c r="AC938" s="201"/>
      <c r="AD938" s="197"/>
      <c r="AE938" s="197"/>
      <c r="AF938" s="197"/>
      <c r="AG938" s="197"/>
      <c r="AH938" s="197"/>
      <c r="AI938" s="197"/>
      <c r="AJ938" s="197"/>
      <c r="AK938" s="197"/>
      <c r="AL938" s="197"/>
      <c r="AM938" s="197"/>
      <c r="AN938" s="197"/>
      <c r="AO938" s="197"/>
      <c r="AP938" s="197"/>
      <c r="AQ938" s="197"/>
      <c r="AR938" s="197"/>
      <c r="AS938" s="197"/>
      <c r="AT938" s="197"/>
      <c r="AU938" s="197"/>
      <c r="AV938" s="197"/>
      <c r="AW938" s="197"/>
    </row>
    <row r="939" spans="28:49" s="196" customFormat="1">
      <c r="AB939" s="201"/>
      <c r="AC939" s="201"/>
      <c r="AD939" s="197"/>
      <c r="AE939" s="197"/>
      <c r="AF939" s="197"/>
      <c r="AG939" s="197"/>
      <c r="AH939" s="197"/>
      <c r="AI939" s="197"/>
      <c r="AJ939" s="197"/>
      <c r="AK939" s="197"/>
      <c r="AL939" s="197"/>
      <c r="AM939" s="197"/>
      <c r="AN939" s="197"/>
      <c r="AO939" s="197"/>
      <c r="AP939" s="197"/>
      <c r="AQ939" s="197"/>
      <c r="AR939" s="197"/>
      <c r="AS939" s="197"/>
      <c r="AT939" s="197"/>
      <c r="AU939" s="197"/>
      <c r="AV939" s="197"/>
      <c r="AW939" s="197"/>
    </row>
    <row r="940" spans="28:49" s="196" customFormat="1">
      <c r="AB940" s="201"/>
      <c r="AC940" s="201"/>
      <c r="AD940" s="197"/>
      <c r="AE940" s="197"/>
      <c r="AF940" s="197"/>
      <c r="AG940" s="197"/>
      <c r="AH940" s="197"/>
      <c r="AI940" s="197"/>
      <c r="AJ940" s="197"/>
      <c r="AK940" s="197"/>
      <c r="AL940" s="197"/>
      <c r="AM940" s="197"/>
      <c r="AN940" s="197"/>
      <c r="AO940" s="197"/>
      <c r="AP940" s="197"/>
      <c r="AQ940" s="197"/>
      <c r="AR940" s="197"/>
      <c r="AS940" s="197"/>
      <c r="AT940" s="197"/>
      <c r="AU940" s="197"/>
      <c r="AV940" s="197"/>
      <c r="AW940" s="197"/>
    </row>
    <row r="941" spans="28:49" s="196" customFormat="1">
      <c r="AB941" s="201"/>
      <c r="AC941" s="201"/>
      <c r="AD941" s="197"/>
      <c r="AE941" s="197"/>
      <c r="AF941" s="197"/>
      <c r="AG941" s="197"/>
      <c r="AH941" s="197"/>
      <c r="AI941" s="197"/>
      <c r="AJ941" s="197"/>
      <c r="AK941" s="197"/>
      <c r="AL941" s="197"/>
      <c r="AM941" s="197"/>
      <c r="AN941" s="197"/>
      <c r="AO941" s="197"/>
      <c r="AP941" s="197"/>
      <c r="AQ941" s="197"/>
      <c r="AR941" s="197"/>
      <c r="AS941" s="197"/>
      <c r="AT941" s="197"/>
      <c r="AU941" s="197"/>
      <c r="AV941" s="197"/>
      <c r="AW941" s="197"/>
    </row>
    <row r="942" spans="28:49" s="196" customFormat="1">
      <c r="AB942" s="201"/>
      <c r="AC942" s="201"/>
      <c r="AD942" s="197"/>
      <c r="AE942" s="197"/>
      <c r="AF942" s="197"/>
      <c r="AG942" s="197"/>
      <c r="AH942" s="197"/>
      <c r="AI942" s="197"/>
      <c r="AJ942" s="197"/>
      <c r="AK942" s="197"/>
      <c r="AL942" s="197"/>
      <c r="AM942" s="197"/>
      <c r="AN942" s="197"/>
      <c r="AO942" s="197"/>
      <c r="AP942" s="197"/>
      <c r="AQ942" s="197"/>
      <c r="AR942" s="197"/>
      <c r="AS942" s="197"/>
      <c r="AT942" s="197"/>
      <c r="AU942" s="197"/>
      <c r="AV942" s="197"/>
      <c r="AW942" s="197"/>
    </row>
    <row r="943" spans="28:49" s="196" customFormat="1">
      <c r="AB943" s="201"/>
      <c r="AC943" s="201"/>
      <c r="AD943" s="197"/>
      <c r="AE943" s="197"/>
      <c r="AF943" s="197"/>
      <c r="AG943" s="197"/>
      <c r="AH943" s="197"/>
      <c r="AI943" s="197"/>
      <c r="AJ943" s="197"/>
      <c r="AK943" s="197"/>
      <c r="AL943" s="197"/>
      <c r="AM943" s="197"/>
      <c r="AN943" s="197"/>
      <c r="AO943" s="197"/>
      <c r="AP943" s="197"/>
      <c r="AQ943" s="197"/>
      <c r="AR943" s="197"/>
      <c r="AS943" s="197"/>
      <c r="AT943" s="197"/>
      <c r="AU943" s="197"/>
      <c r="AV943" s="197"/>
      <c r="AW943" s="197"/>
    </row>
    <row r="944" spans="28:49" s="196" customFormat="1">
      <c r="AB944" s="201"/>
      <c r="AC944" s="201"/>
      <c r="AD944" s="197"/>
      <c r="AE944" s="197"/>
      <c r="AF944" s="197"/>
      <c r="AG944" s="197"/>
      <c r="AH944" s="197"/>
      <c r="AI944" s="197"/>
      <c r="AJ944" s="197"/>
      <c r="AK944" s="197"/>
      <c r="AL944" s="197"/>
      <c r="AM944" s="197"/>
      <c r="AN944" s="197"/>
      <c r="AO944" s="197"/>
      <c r="AP944" s="197"/>
      <c r="AQ944" s="197"/>
      <c r="AR944" s="197"/>
      <c r="AS944" s="197"/>
      <c r="AT944" s="197"/>
      <c r="AU944" s="197"/>
      <c r="AV944" s="197"/>
      <c r="AW944" s="197"/>
    </row>
    <row r="945" spans="28:49" s="196" customFormat="1">
      <c r="AB945" s="201"/>
      <c r="AC945" s="201"/>
      <c r="AD945" s="197"/>
      <c r="AE945" s="197"/>
      <c r="AF945" s="197"/>
      <c r="AG945" s="197"/>
      <c r="AH945" s="197"/>
      <c r="AI945" s="197"/>
      <c r="AJ945" s="197"/>
      <c r="AK945" s="197"/>
      <c r="AL945" s="197"/>
      <c r="AM945" s="197"/>
      <c r="AN945" s="197"/>
      <c r="AO945" s="197"/>
      <c r="AP945" s="197"/>
      <c r="AQ945" s="197"/>
      <c r="AR945" s="197"/>
      <c r="AS945" s="197"/>
      <c r="AT945" s="197"/>
      <c r="AU945" s="197"/>
      <c r="AV945" s="197"/>
      <c r="AW945" s="197"/>
    </row>
    <row r="946" spans="28:49" s="196" customFormat="1">
      <c r="AB946" s="201"/>
      <c r="AC946" s="201"/>
      <c r="AD946" s="197"/>
      <c r="AE946" s="197"/>
      <c r="AF946" s="197"/>
      <c r="AG946" s="197"/>
      <c r="AH946" s="197"/>
      <c r="AI946" s="197"/>
      <c r="AJ946" s="197"/>
      <c r="AK946" s="197"/>
      <c r="AL946" s="197"/>
      <c r="AM946" s="197"/>
      <c r="AN946" s="197"/>
      <c r="AO946" s="197"/>
      <c r="AP946" s="197"/>
      <c r="AQ946" s="197"/>
      <c r="AR946" s="197"/>
      <c r="AS946" s="197"/>
      <c r="AT946" s="197"/>
      <c r="AU946" s="197"/>
      <c r="AV946" s="197"/>
      <c r="AW946" s="197"/>
    </row>
    <row r="947" spans="28:49" s="196" customFormat="1">
      <c r="AB947" s="201"/>
      <c r="AC947" s="201"/>
      <c r="AD947" s="197"/>
      <c r="AE947" s="197"/>
      <c r="AF947" s="197"/>
      <c r="AG947" s="197"/>
      <c r="AH947" s="197"/>
      <c r="AI947" s="197"/>
      <c r="AJ947" s="197"/>
      <c r="AK947" s="197"/>
      <c r="AL947" s="197"/>
      <c r="AM947" s="197"/>
      <c r="AN947" s="197"/>
      <c r="AO947" s="197"/>
      <c r="AP947" s="197"/>
      <c r="AQ947" s="197"/>
      <c r="AR947" s="197"/>
      <c r="AS947" s="197"/>
      <c r="AT947" s="197"/>
      <c r="AU947" s="197"/>
      <c r="AV947" s="197"/>
      <c r="AW947" s="197"/>
    </row>
    <row r="948" spans="28:49" s="196" customFormat="1">
      <c r="AB948" s="201"/>
      <c r="AC948" s="201"/>
      <c r="AD948" s="197"/>
      <c r="AE948" s="197"/>
      <c r="AF948" s="197"/>
      <c r="AG948" s="197"/>
      <c r="AH948" s="197"/>
      <c r="AI948" s="197"/>
      <c r="AJ948" s="197"/>
      <c r="AK948" s="197"/>
      <c r="AL948" s="197"/>
      <c r="AM948" s="197"/>
      <c r="AN948" s="197"/>
      <c r="AO948" s="197"/>
      <c r="AP948" s="197"/>
      <c r="AQ948" s="197"/>
      <c r="AR948" s="197"/>
      <c r="AS948" s="197"/>
      <c r="AT948" s="197"/>
      <c r="AU948" s="197"/>
      <c r="AV948" s="197"/>
      <c r="AW948" s="197"/>
    </row>
    <row r="949" spans="28:49" s="196" customFormat="1">
      <c r="AB949" s="201"/>
      <c r="AC949" s="201"/>
      <c r="AD949" s="197"/>
      <c r="AE949" s="197"/>
      <c r="AF949" s="197"/>
      <c r="AG949" s="197"/>
      <c r="AH949" s="197"/>
      <c r="AI949" s="197"/>
      <c r="AJ949" s="197"/>
      <c r="AK949" s="197"/>
      <c r="AL949" s="197"/>
      <c r="AM949" s="197"/>
      <c r="AN949" s="197"/>
      <c r="AO949" s="197"/>
      <c r="AP949" s="197"/>
      <c r="AQ949" s="197"/>
      <c r="AR949" s="197"/>
      <c r="AS949" s="197"/>
      <c r="AT949" s="197"/>
      <c r="AU949" s="197"/>
      <c r="AV949" s="197"/>
      <c r="AW949" s="197"/>
    </row>
    <row r="950" spans="28:49" s="196" customFormat="1">
      <c r="AB950" s="201"/>
      <c r="AC950" s="201"/>
      <c r="AD950" s="197"/>
      <c r="AE950" s="197"/>
      <c r="AF950" s="197"/>
      <c r="AG950" s="197"/>
      <c r="AH950" s="197"/>
      <c r="AI950" s="197"/>
      <c r="AJ950" s="197"/>
      <c r="AK950" s="197"/>
      <c r="AL950" s="197"/>
      <c r="AM950" s="197"/>
      <c r="AN950" s="197"/>
      <c r="AO950" s="197"/>
      <c r="AP950" s="197"/>
      <c r="AQ950" s="197"/>
      <c r="AR950" s="197"/>
      <c r="AS950" s="197"/>
      <c r="AT950" s="197"/>
      <c r="AU950" s="197"/>
      <c r="AV950" s="197"/>
      <c r="AW950" s="197"/>
    </row>
    <row r="951" spans="28:49" s="196" customFormat="1">
      <c r="AB951" s="201"/>
      <c r="AC951" s="201"/>
      <c r="AD951" s="197"/>
      <c r="AE951" s="197"/>
      <c r="AF951" s="197"/>
      <c r="AG951" s="197"/>
      <c r="AH951" s="197"/>
      <c r="AI951" s="197"/>
      <c r="AJ951" s="197"/>
      <c r="AK951" s="197"/>
      <c r="AL951" s="197"/>
      <c r="AM951" s="197"/>
      <c r="AN951" s="197"/>
      <c r="AO951" s="197"/>
      <c r="AP951" s="197"/>
      <c r="AQ951" s="197"/>
      <c r="AR951" s="197"/>
      <c r="AS951" s="197"/>
      <c r="AT951" s="197"/>
      <c r="AU951" s="197"/>
      <c r="AV951" s="197"/>
      <c r="AW951" s="197"/>
    </row>
    <row r="952" spans="28:49" s="196" customFormat="1">
      <c r="AB952" s="201"/>
      <c r="AC952" s="201"/>
      <c r="AD952" s="197"/>
      <c r="AE952" s="197"/>
      <c r="AF952" s="197"/>
      <c r="AG952" s="197"/>
      <c r="AH952" s="197"/>
      <c r="AI952" s="197"/>
      <c r="AJ952" s="197"/>
      <c r="AK952" s="197"/>
      <c r="AL952" s="197"/>
      <c r="AM952" s="197"/>
      <c r="AN952" s="197"/>
      <c r="AO952" s="197"/>
      <c r="AP952" s="197"/>
      <c r="AQ952" s="197"/>
      <c r="AR952" s="197"/>
      <c r="AS952" s="197"/>
      <c r="AT952" s="197"/>
      <c r="AU952" s="197"/>
      <c r="AV952" s="197"/>
      <c r="AW952" s="197"/>
    </row>
    <row r="953" spans="28:49" s="196" customFormat="1">
      <c r="AB953" s="201"/>
      <c r="AC953" s="201"/>
      <c r="AD953" s="197"/>
      <c r="AE953" s="197"/>
      <c r="AF953" s="197"/>
      <c r="AG953" s="197"/>
      <c r="AH953" s="197"/>
      <c r="AI953" s="197"/>
      <c r="AJ953" s="197"/>
      <c r="AK953" s="197"/>
      <c r="AL953" s="197"/>
      <c r="AM953" s="197"/>
      <c r="AN953" s="197"/>
      <c r="AO953" s="197"/>
      <c r="AP953" s="197"/>
      <c r="AQ953" s="197"/>
      <c r="AR953" s="197"/>
      <c r="AS953" s="197"/>
      <c r="AT953" s="197"/>
      <c r="AU953" s="197"/>
      <c r="AV953" s="197"/>
      <c r="AW953" s="197"/>
    </row>
    <row r="954" spans="28:49" s="196" customFormat="1">
      <c r="AB954" s="201"/>
      <c r="AC954" s="201"/>
      <c r="AD954" s="197"/>
      <c r="AE954" s="197"/>
      <c r="AF954" s="197"/>
      <c r="AG954" s="197"/>
      <c r="AH954" s="197"/>
      <c r="AI954" s="197"/>
      <c r="AJ954" s="197"/>
      <c r="AK954" s="197"/>
      <c r="AL954" s="197"/>
      <c r="AM954" s="197"/>
      <c r="AN954" s="197"/>
      <c r="AO954" s="197"/>
      <c r="AP954" s="197"/>
      <c r="AQ954" s="197"/>
      <c r="AR954" s="197"/>
      <c r="AS954" s="197"/>
      <c r="AT954" s="197"/>
      <c r="AU954" s="197"/>
      <c r="AV954" s="197"/>
      <c r="AW954" s="197"/>
    </row>
    <row r="955" spans="28:49" s="196" customFormat="1">
      <c r="AB955" s="201"/>
      <c r="AC955" s="201"/>
      <c r="AD955" s="197"/>
      <c r="AE955" s="197"/>
      <c r="AF955" s="197"/>
      <c r="AG955" s="197"/>
      <c r="AH955" s="197"/>
      <c r="AI955" s="197"/>
      <c r="AJ955" s="197"/>
      <c r="AK955" s="197"/>
      <c r="AL955" s="197"/>
      <c r="AM955" s="197"/>
      <c r="AN955" s="197"/>
      <c r="AO955" s="197"/>
      <c r="AP955" s="197"/>
      <c r="AQ955" s="197"/>
      <c r="AR955" s="197"/>
      <c r="AS955" s="197"/>
      <c r="AT955" s="197"/>
      <c r="AU955" s="197"/>
      <c r="AV955" s="197"/>
      <c r="AW955" s="197"/>
    </row>
    <row r="956" spans="28:49" s="196" customFormat="1">
      <c r="AB956" s="201"/>
      <c r="AC956" s="201"/>
      <c r="AD956" s="197"/>
      <c r="AE956" s="197"/>
      <c r="AF956" s="197"/>
      <c r="AG956" s="197"/>
      <c r="AH956" s="197"/>
      <c r="AI956" s="197"/>
      <c r="AJ956" s="197"/>
      <c r="AK956" s="197"/>
      <c r="AL956" s="197"/>
      <c r="AM956" s="197"/>
      <c r="AN956" s="197"/>
      <c r="AO956" s="197"/>
      <c r="AP956" s="197"/>
      <c r="AQ956" s="197"/>
      <c r="AR956" s="197"/>
      <c r="AS956" s="197"/>
      <c r="AT956" s="197"/>
      <c r="AU956" s="197"/>
      <c r="AV956" s="197"/>
      <c r="AW956" s="197"/>
    </row>
    <row r="957" spans="28:49" s="196" customFormat="1">
      <c r="AB957" s="201"/>
      <c r="AC957" s="201"/>
      <c r="AD957" s="197"/>
      <c r="AE957" s="197"/>
      <c r="AF957" s="197"/>
      <c r="AG957" s="197"/>
      <c r="AH957" s="197"/>
      <c r="AI957" s="197"/>
      <c r="AJ957" s="197"/>
      <c r="AK957" s="197"/>
      <c r="AL957" s="197"/>
      <c r="AM957" s="197"/>
      <c r="AN957" s="197"/>
      <c r="AO957" s="197"/>
      <c r="AP957" s="197"/>
      <c r="AQ957" s="197"/>
      <c r="AR957" s="197"/>
      <c r="AS957" s="197"/>
      <c r="AT957" s="197"/>
      <c r="AU957" s="197"/>
      <c r="AV957" s="197"/>
      <c r="AW957" s="197"/>
    </row>
    <row r="958" spans="28:49" s="196" customFormat="1">
      <c r="AB958" s="201"/>
      <c r="AC958" s="201"/>
      <c r="AD958" s="197"/>
      <c r="AE958" s="197"/>
      <c r="AF958" s="197"/>
      <c r="AG958" s="197"/>
      <c r="AH958" s="197"/>
      <c r="AI958" s="197"/>
      <c r="AJ958" s="197"/>
      <c r="AK958" s="197"/>
      <c r="AL958" s="197"/>
      <c r="AM958" s="197"/>
      <c r="AN958" s="197"/>
      <c r="AO958" s="197"/>
      <c r="AP958" s="197"/>
      <c r="AQ958" s="197"/>
      <c r="AR958" s="197"/>
      <c r="AS958" s="197"/>
      <c r="AT958" s="197"/>
      <c r="AU958" s="197"/>
      <c r="AV958" s="197"/>
      <c r="AW958" s="197"/>
    </row>
    <row r="959" spans="28:49" s="196" customFormat="1">
      <c r="AB959" s="201"/>
      <c r="AC959" s="201"/>
      <c r="AD959" s="197"/>
      <c r="AE959" s="197"/>
      <c r="AF959" s="197"/>
      <c r="AG959" s="197"/>
      <c r="AH959" s="197"/>
      <c r="AI959" s="197"/>
      <c r="AJ959" s="197"/>
      <c r="AK959" s="197"/>
      <c r="AL959" s="197"/>
      <c r="AM959" s="197"/>
      <c r="AN959" s="197"/>
      <c r="AO959" s="197"/>
      <c r="AP959" s="197"/>
      <c r="AQ959" s="197"/>
      <c r="AR959" s="197"/>
      <c r="AS959" s="197"/>
      <c r="AT959" s="197"/>
      <c r="AU959" s="197"/>
      <c r="AV959" s="197"/>
      <c r="AW959" s="197"/>
    </row>
    <row r="960" spans="28:49" s="196" customFormat="1">
      <c r="AB960" s="201"/>
      <c r="AC960" s="201"/>
      <c r="AD960" s="197"/>
      <c r="AE960" s="197"/>
      <c r="AF960" s="197"/>
      <c r="AG960" s="197"/>
      <c r="AH960" s="197"/>
      <c r="AI960" s="197"/>
      <c r="AJ960" s="197"/>
      <c r="AK960" s="197"/>
      <c r="AL960" s="197"/>
      <c r="AM960" s="197"/>
      <c r="AN960" s="197"/>
      <c r="AO960" s="197"/>
      <c r="AP960" s="197"/>
      <c r="AQ960" s="197"/>
      <c r="AR960" s="197"/>
      <c r="AS960" s="197"/>
      <c r="AT960" s="197"/>
      <c r="AU960" s="197"/>
      <c r="AV960" s="197"/>
      <c r="AW960" s="197"/>
    </row>
    <row r="961" spans="28:49" s="196" customFormat="1">
      <c r="AB961" s="201"/>
      <c r="AC961" s="201"/>
      <c r="AD961" s="197"/>
      <c r="AE961" s="197"/>
      <c r="AF961" s="197"/>
      <c r="AG961" s="197"/>
      <c r="AH961" s="197"/>
      <c r="AI961" s="197"/>
      <c r="AJ961" s="197"/>
      <c r="AK961" s="197"/>
      <c r="AL961" s="197"/>
      <c r="AM961" s="197"/>
      <c r="AN961" s="197"/>
      <c r="AO961" s="197"/>
      <c r="AP961" s="197"/>
      <c r="AQ961" s="197"/>
      <c r="AR961" s="197"/>
      <c r="AS961" s="197"/>
      <c r="AT961" s="197"/>
      <c r="AU961" s="197"/>
      <c r="AV961" s="197"/>
      <c r="AW961" s="197"/>
    </row>
    <row r="962" spans="28:49" s="196" customFormat="1">
      <c r="AB962" s="201"/>
      <c r="AC962" s="201"/>
      <c r="AD962" s="197"/>
      <c r="AE962" s="197"/>
      <c r="AF962" s="197"/>
      <c r="AG962" s="197"/>
      <c r="AH962" s="197"/>
      <c r="AI962" s="197"/>
      <c r="AJ962" s="197"/>
      <c r="AK962" s="197"/>
      <c r="AL962" s="197"/>
      <c r="AM962" s="197"/>
      <c r="AN962" s="197"/>
      <c r="AO962" s="197"/>
      <c r="AP962" s="197"/>
      <c r="AQ962" s="197"/>
      <c r="AR962" s="197"/>
      <c r="AS962" s="197"/>
      <c r="AT962" s="197"/>
      <c r="AU962" s="197"/>
      <c r="AV962" s="197"/>
      <c r="AW962" s="197"/>
    </row>
    <row r="963" spans="28:49" s="196" customFormat="1">
      <c r="AB963" s="201"/>
      <c r="AC963" s="201"/>
      <c r="AD963" s="197"/>
      <c r="AE963" s="197"/>
      <c r="AF963" s="197"/>
      <c r="AG963" s="197"/>
      <c r="AH963" s="197"/>
      <c r="AI963" s="197"/>
      <c r="AJ963" s="197"/>
      <c r="AK963" s="197"/>
      <c r="AL963" s="197"/>
      <c r="AM963" s="197"/>
      <c r="AN963" s="197"/>
      <c r="AO963" s="197"/>
      <c r="AP963" s="197"/>
      <c r="AQ963" s="197"/>
      <c r="AR963" s="197"/>
      <c r="AS963" s="197"/>
      <c r="AT963" s="197"/>
      <c r="AU963" s="197"/>
      <c r="AV963" s="197"/>
      <c r="AW963" s="197"/>
    </row>
    <row r="964" spans="28:49" s="196" customFormat="1">
      <c r="AB964" s="201"/>
      <c r="AC964" s="201"/>
      <c r="AD964" s="197"/>
      <c r="AE964" s="197"/>
      <c r="AF964" s="197"/>
      <c r="AG964" s="197"/>
      <c r="AH964" s="197"/>
      <c r="AI964" s="197"/>
      <c r="AJ964" s="197"/>
      <c r="AK964" s="197"/>
      <c r="AL964" s="197"/>
      <c r="AM964" s="197"/>
      <c r="AN964" s="197"/>
      <c r="AO964" s="197"/>
      <c r="AP964" s="197"/>
      <c r="AQ964" s="197"/>
      <c r="AR964" s="197"/>
      <c r="AS964" s="197"/>
      <c r="AT964" s="197"/>
      <c r="AU964" s="197"/>
      <c r="AV964" s="197"/>
      <c r="AW964" s="197"/>
    </row>
    <row r="965" spans="28:49" s="196" customFormat="1">
      <c r="AB965" s="201"/>
      <c r="AC965" s="201"/>
      <c r="AD965" s="197"/>
      <c r="AE965" s="197"/>
      <c r="AF965" s="197"/>
      <c r="AG965" s="197"/>
      <c r="AH965" s="197"/>
      <c r="AI965" s="197"/>
      <c r="AJ965" s="197"/>
      <c r="AK965" s="197"/>
      <c r="AL965" s="197"/>
      <c r="AM965" s="197"/>
      <c r="AN965" s="197"/>
      <c r="AO965" s="197"/>
      <c r="AP965" s="197"/>
      <c r="AQ965" s="197"/>
      <c r="AR965" s="197"/>
      <c r="AS965" s="197"/>
      <c r="AT965" s="197"/>
      <c r="AU965" s="197"/>
      <c r="AV965" s="197"/>
      <c r="AW965" s="197"/>
    </row>
    <row r="966" spans="28:49" s="196" customFormat="1">
      <c r="AB966" s="201"/>
      <c r="AC966" s="201"/>
      <c r="AD966" s="197"/>
      <c r="AE966" s="197"/>
      <c r="AF966" s="197"/>
      <c r="AG966" s="197"/>
      <c r="AH966" s="197"/>
      <c r="AI966" s="197"/>
      <c r="AJ966" s="197"/>
      <c r="AK966" s="197"/>
      <c r="AL966" s="197"/>
      <c r="AM966" s="197"/>
      <c r="AN966" s="197"/>
      <c r="AO966" s="197"/>
      <c r="AP966" s="197"/>
      <c r="AQ966" s="197"/>
      <c r="AR966" s="197"/>
      <c r="AS966" s="197"/>
      <c r="AT966" s="197"/>
      <c r="AU966" s="197"/>
      <c r="AV966" s="197"/>
      <c r="AW966" s="197"/>
    </row>
    <row r="967" spans="28:49" s="196" customFormat="1">
      <c r="AB967" s="201"/>
      <c r="AC967" s="201"/>
      <c r="AD967" s="197"/>
      <c r="AE967" s="197"/>
      <c r="AF967" s="197"/>
      <c r="AG967" s="197"/>
      <c r="AH967" s="197"/>
      <c r="AI967" s="197"/>
      <c r="AJ967" s="197"/>
      <c r="AK967" s="197"/>
      <c r="AL967" s="197"/>
      <c r="AM967" s="197"/>
      <c r="AN967" s="197"/>
      <c r="AO967" s="197"/>
      <c r="AP967" s="197"/>
      <c r="AQ967" s="197"/>
      <c r="AR967" s="197"/>
      <c r="AS967" s="197"/>
      <c r="AT967" s="197"/>
      <c r="AU967" s="197"/>
      <c r="AV967" s="197"/>
      <c r="AW967" s="197"/>
    </row>
    <row r="968" spans="28:49" s="196" customFormat="1">
      <c r="AB968" s="201"/>
      <c r="AC968" s="201"/>
      <c r="AD968" s="197"/>
      <c r="AE968" s="197"/>
      <c r="AF968" s="197"/>
      <c r="AG968" s="197"/>
      <c r="AH968" s="197"/>
      <c r="AI968" s="197"/>
      <c r="AJ968" s="197"/>
      <c r="AK968" s="197"/>
      <c r="AL968" s="197"/>
      <c r="AM968" s="197"/>
      <c r="AN968" s="197"/>
      <c r="AO968" s="197"/>
      <c r="AP968" s="197"/>
      <c r="AQ968" s="197"/>
      <c r="AR968" s="197"/>
      <c r="AS968" s="197"/>
      <c r="AT968" s="197"/>
      <c r="AU968" s="197"/>
      <c r="AV968" s="197"/>
      <c r="AW968" s="197"/>
    </row>
    <row r="969" spans="28:49" s="196" customFormat="1">
      <c r="AB969" s="201"/>
      <c r="AC969" s="201"/>
      <c r="AD969" s="197"/>
      <c r="AE969" s="197"/>
      <c r="AF969" s="197"/>
      <c r="AG969" s="197"/>
      <c r="AH969" s="197"/>
      <c r="AI969" s="197"/>
      <c r="AJ969" s="197"/>
      <c r="AK969" s="197"/>
      <c r="AL969" s="197"/>
      <c r="AM969" s="197"/>
      <c r="AN969" s="197"/>
      <c r="AO969" s="197"/>
      <c r="AP969" s="197"/>
      <c r="AQ969" s="197"/>
      <c r="AR969" s="197"/>
      <c r="AS969" s="197"/>
      <c r="AT969" s="197"/>
      <c r="AU969" s="197"/>
      <c r="AV969" s="197"/>
      <c r="AW969" s="197"/>
    </row>
    <row r="970" spans="28:49" s="196" customFormat="1">
      <c r="AB970" s="201"/>
      <c r="AC970" s="201"/>
      <c r="AD970" s="197"/>
      <c r="AE970" s="197"/>
      <c r="AF970" s="197"/>
      <c r="AG970" s="197"/>
      <c r="AH970" s="197"/>
      <c r="AI970" s="197"/>
      <c r="AJ970" s="197"/>
      <c r="AK970" s="197"/>
      <c r="AL970" s="197"/>
      <c r="AM970" s="197"/>
      <c r="AN970" s="197"/>
      <c r="AO970" s="197"/>
      <c r="AP970" s="197"/>
      <c r="AQ970" s="197"/>
      <c r="AR970" s="197"/>
      <c r="AS970" s="197"/>
      <c r="AT970" s="197"/>
      <c r="AU970" s="197"/>
      <c r="AV970" s="197"/>
      <c r="AW970" s="197"/>
    </row>
    <row r="971" spans="28:49" s="196" customFormat="1">
      <c r="AB971" s="201"/>
      <c r="AC971" s="201"/>
      <c r="AD971" s="197"/>
      <c r="AE971" s="197"/>
      <c r="AF971" s="197"/>
      <c r="AG971" s="197"/>
      <c r="AH971" s="197"/>
      <c r="AI971" s="197"/>
      <c r="AJ971" s="197"/>
      <c r="AK971" s="197"/>
      <c r="AL971" s="197"/>
      <c r="AM971" s="197"/>
      <c r="AN971" s="197"/>
      <c r="AO971" s="197"/>
      <c r="AP971" s="197"/>
      <c r="AQ971" s="197"/>
      <c r="AR971" s="197"/>
      <c r="AS971" s="197"/>
      <c r="AT971" s="197"/>
      <c r="AU971" s="197"/>
      <c r="AV971" s="197"/>
      <c r="AW971" s="197"/>
    </row>
    <row r="972" spans="28:49" s="196" customFormat="1">
      <c r="AB972" s="201"/>
      <c r="AC972" s="201"/>
      <c r="AD972" s="197"/>
      <c r="AE972" s="197"/>
      <c r="AF972" s="197"/>
      <c r="AG972" s="197"/>
      <c r="AH972" s="197"/>
      <c r="AI972" s="197"/>
      <c r="AJ972" s="197"/>
      <c r="AK972" s="197"/>
      <c r="AL972" s="197"/>
      <c r="AM972" s="197"/>
      <c r="AN972" s="197"/>
      <c r="AO972" s="197"/>
      <c r="AP972" s="197"/>
      <c r="AQ972" s="197"/>
      <c r="AR972" s="197"/>
      <c r="AS972" s="197"/>
      <c r="AT972" s="197"/>
      <c r="AU972" s="197"/>
      <c r="AV972" s="197"/>
      <c r="AW972" s="197"/>
    </row>
    <row r="973" spans="28:49" s="196" customFormat="1">
      <c r="AB973" s="201"/>
      <c r="AC973" s="201"/>
      <c r="AD973" s="197"/>
      <c r="AE973" s="197"/>
      <c r="AF973" s="197"/>
      <c r="AG973" s="197"/>
      <c r="AH973" s="197"/>
      <c r="AI973" s="197"/>
      <c r="AJ973" s="197"/>
      <c r="AK973" s="197"/>
      <c r="AL973" s="197"/>
      <c r="AM973" s="197"/>
      <c r="AN973" s="197"/>
      <c r="AO973" s="197"/>
      <c r="AP973" s="197"/>
      <c r="AQ973" s="197"/>
      <c r="AR973" s="197"/>
      <c r="AS973" s="197"/>
      <c r="AT973" s="197"/>
      <c r="AU973" s="197"/>
      <c r="AV973" s="197"/>
      <c r="AW973" s="197"/>
    </row>
    <row r="974" spans="28:49" s="196" customFormat="1">
      <c r="AB974" s="201"/>
      <c r="AC974" s="201"/>
      <c r="AD974" s="197"/>
      <c r="AE974" s="197"/>
      <c r="AF974" s="197"/>
      <c r="AG974" s="197"/>
      <c r="AH974" s="197"/>
      <c r="AI974" s="197"/>
      <c r="AJ974" s="197"/>
      <c r="AK974" s="197"/>
      <c r="AL974" s="197"/>
      <c r="AM974" s="197"/>
      <c r="AN974" s="197"/>
      <c r="AO974" s="197"/>
      <c r="AP974" s="197"/>
      <c r="AQ974" s="197"/>
      <c r="AR974" s="197"/>
      <c r="AS974" s="197"/>
      <c r="AT974" s="197"/>
      <c r="AU974" s="197"/>
      <c r="AV974" s="197"/>
      <c r="AW974" s="197"/>
    </row>
    <row r="975" spans="28:49" s="196" customFormat="1">
      <c r="AB975" s="201"/>
      <c r="AC975" s="201"/>
      <c r="AD975" s="197"/>
      <c r="AE975" s="197"/>
      <c r="AF975" s="197"/>
      <c r="AG975" s="197"/>
      <c r="AH975" s="197"/>
      <c r="AI975" s="197"/>
      <c r="AJ975" s="197"/>
      <c r="AK975" s="197"/>
      <c r="AL975" s="197"/>
      <c r="AM975" s="197"/>
      <c r="AN975" s="197"/>
      <c r="AO975" s="197"/>
      <c r="AP975" s="197"/>
      <c r="AQ975" s="197"/>
      <c r="AR975" s="197"/>
      <c r="AS975" s="197"/>
      <c r="AT975" s="197"/>
      <c r="AU975" s="197"/>
      <c r="AV975" s="197"/>
      <c r="AW975" s="197"/>
    </row>
    <row r="976" spans="28:49" s="196" customFormat="1">
      <c r="AB976" s="201"/>
      <c r="AC976" s="201"/>
      <c r="AD976" s="197"/>
      <c r="AE976" s="197"/>
      <c r="AF976" s="197"/>
      <c r="AG976" s="197"/>
      <c r="AH976" s="197"/>
      <c r="AI976" s="197"/>
      <c r="AJ976" s="197"/>
      <c r="AK976" s="197"/>
      <c r="AL976" s="197"/>
      <c r="AM976" s="197"/>
      <c r="AN976" s="197"/>
      <c r="AO976" s="197"/>
      <c r="AP976" s="197"/>
      <c r="AQ976" s="197"/>
      <c r="AR976" s="197"/>
      <c r="AS976" s="197"/>
      <c r="AT976" s="197"/>
      <c r="AU976" s="197"/>
      <c r="AV976" s="197"/>
      <c r="AW976" s="197"/>
    </row>
    <row r="977" spans="28:49" s="196" customFormat="1">
      <c r="AB977" s="201"/>
      <c r="AC977" s="201"/>
      <c r="AD977" s="197"/>
      <c r="AE977" s="197"/>
      <c r="AF977" s="197"/>
      <c r="AG977" s="197"/>
      <c r="AH977" s="197"/>
      <c r="AI977" s="197"/>
      <c r="AJ977" s="197"/>
      <c r="AK977" s="197"/>
      <c r="AL977" s="197"/>
      <c r="AM977" s="197"/>
      <c r="AN977" s="197"/>
      <c r="AO977" s="197"/>
      <c r="AP977" s="197"/>
      <c r="AQ977" s="197"/>
      <c r="AR977" s="197"/>
      <c r="AS977" s="197"/>
      <c r="AT977" s="197"/>
      <c r="AU977" s="197"/>
      <c r="AV977" s="197"/>
      <c r="AW977" s="197"/>
    </row>
    <row r="978" spans="28:49" s="196" customFormat="1">
      <c r="AB978" s="201"/>
      <c r="AC978" s="201"/>
      <c r="AD978" s="197"/>
      <c r="AE978" s="197"/>
      <c r="AF978" s="197"/>
      <c r="AG978" s="197"/>
      <c r="AH978" s="197"/>
      <c r="AI978" s="197"/>
      <c r="AJ978" s="197"/>
      <c r="AK978" s="197"/>
      <c r="AL978" s="197"/>
      <c r="AM978" s="197"/>
      <c r="AN978" s="197"/>
      <c r="AO978" s="197"/>
      <c r="AP978" s="197"/>
      <c r="AQ978" s="197"/>
      <c r="AR978" s="197"/>
      <c r="AS978" s="197"/>
      <c r="AT978" s="197"/>
      <c r="AU978" s="197"/>
      <c r="AV978" s="197"/>
      <c r="AW978" s="197"/>
    </row>
    <row r="979" spans="28:49" s="196" customFormat="1">
      <c r="AB979" s="201"/>
      <c r="AC979" s="201"/>
      <c r="AD979" s="197"/>
      <c r="AE979" s="197"/>
      <c r="AF979" s="197"/>
      <c r="AG979" s="197"/>
      <c r="AH979" s="197"/>
      <c r="AI979" s="197"/>
      <c r="AJ979" s="197"/>
      <c r="AK979" s="197"/>
      <c r="AL979" s="197"/>
      <c r="AM979" s="197"/>
      <c r="AN979" s="197"/>
      <c r="AO979" s="197"/>
      <c r="AP979" s="197"/>
      <c r="AQ979" s="197"/>
      <c r="AR979" s="197"/>
      <c r="AS979" s="197"/>
      <c r="AT979" s="197"/>
      <c r="AU979" s="197"/>
      <c r="AV979" s="197"/>
      <c r="AW979" s="197"/>
    </row>
    <row r="980" spans="28:49" s="196" customFormat="1">
      <c r="AB980" s="201"/>
      <c r="AC980" s="201"/>
      <c r="AD980" s="197"/>
      <c r="AE980" s="197"/>
      <c r="AF980" s="197"/>
      <c r="AG980" s="197"/>
      <c r="AH980" s="197"/>
      <c r="AI980" s="197"/>
      <c r="AJ980" s="197"/>
      <c r="AK980" s="197"/>
      <c r="AL980" s="197"/>
      <c r="AM980" s="197"/>
      <c r="AN980" s="197"/>
      <c r="AO980" s="197"/>
      <c r="AP980" s="197"/>
      <c r="AQ980" s="197"/>
      <c r="AR980" s="197"/>
      <c r="AS980" s="197"/>
      <c r="AT980" s="197"/>
      <c r="AU980" s="197"/>
      <c r="AV980" s="197"/>
      <c r="AW980" s="197"/>
    </row>
    <row r="981" spans="28:49" s="196" customFormat="1">
      <c r="AB981" s="201"/>
      <c r="AC981" s="201"/>
      <c r="AD981" s="197"/>
      <c r="AE981" s="197"/>
      <c r="AF981" s="197"/>
      <c r="AG981" s="197"/>
      <c r="AH981" s="197"/>
      <c r="AI981" s="197"/>
      <c r="AJ981" s="197"/>
      <c r="AK981" s="197"/>
      <c r="AL981" s="197"/>
      <c r="AM981" s="197"/>
      <c r="AN981" s="197"/>
      <c r="AO981" s="197"/>
      <c r="AP981" s="197"/>
      <c r="AQ981" s="197"/>
      <c r="AR981" s="197"/>
      <c r="AS981" s="197"/>
      <c r="AT981" s="197"/>
      <c r="AU981" s="197"/>
      <c r="AV981" s="197"/>
      <c r="AW981" s="197"/>
    </row>
    <row r="982" spans="28:49" s="196" customFormat="1">
      <c r="AB982" s="201"/>
      <c r="AC982" s="201"/>
      <c r="AD982" s="197"/>
      <c r="AE982" s="197"/>
      <c r="AF982" s="197"/>
      <c r="AG982" s="197"/>
      <c r="AH982" s="197"/>
      <c r="AI982" s="197"/>
      <c r="AJ982" s="197"/>
      <c r="AK982" s="197"/>
      <c r="AL982" s="197"/>
      <c r="AM982" s="197"/>
      <c r="AN982" s="197"/>
      <c r="AO982" s="197"/>
      <c r="AP982" s="197"/>
      <c r="AQ982" s="197"/>
      <c r="AR982" s="197"/>
      <c r="AS982" s="197"/>
      <c r="AT982" s="197"/>
      <c r="AU982" s="197"/>
      <c r="AV982" s="197"/>
      <c r="AW982" s="197"/>
    </row>
    <row r="983" spans="28:49" s="196" customFormat="1">
      <c r="AB983" s="201"/>
      <c r="AC983" s="201"/>
      <c r="AD983" s="197"/>
      <c r="AE983" s="197"/>
      <c r="AF983" s="197"/>
      <c r="AG983" s="197"/>
      <c r="AH983" s="197"/>
      <c r="AI983" s="197"/>
      <c r="AJ983" s="197"/>
      <c r="AK983" s="197"/>
      <c r="AL983" s="197"/>
      <c r="AM983" s="197"/>
      <c r="AN983" s="197"/>
      <c r="AO983" s="197"/>
      <c r="AP983" s="197"/>
      <c r="AQ983" s="197"/>
      <c r="AR983" s="197"/>
      <c r="AS983" s="197"/>
      <c r="AT983" s="197"/>
      <c r="AU983" s="197"/>
      <c r="AV983" s="197"/>
      <c r="AW983" s="197"/>
    </row>
    <row r="984" spans="28:49" s="196" customFormat="1">
      <c r="AB984" s="201"/>
      <c r="AC984" s="201"/>
      <c r="AD984" s="197"/>
      <c r="AE984" s="197"/>
      <c r="AF984" s="197"/>
      <c r="AG984" s="197"/>
      <c r="AH984" s="197"/>
      <c r="AI984" s="197"/>
      <c r="AJ984" s="197"/>
      <c r="AK984" s="197"/>
      <c r="AL984" s="197"/>
      <c r="AM984" s="197"/>
      <c r="AN984" s="197"/>
      <c r="AO984" s="197"/>
      <c r="AP984" s="197"/>
      <c r="AQ984" s="197"/>
      <c r="AR984" s="197"/>
      <c r="AS984" s="197"/>
      <c r="AT984" s="197"/>
      <c r="AU984" s="197"/>
      <c r="AV984" s="197"/>
      <c r="AW984" s="197"/>
    </row>
    <row r="985" spans="28:49" s="196" customFormat="1">
      <c r="AB985" s="201"/>
      <c r="AC985" s="201"/>
      <c r="AD985" s="197"/>
      <c r="AE985" s="197"/>
      <c r="AF985" s="197"/>
      <c r="AG985" s="197"/>
      <c r="AH985" s="197"/>
      <c r="AI985" s="197"/>
      <c r="AJ985" s="197"/>
      <c r="AK985" s="197"/>
      <c r="AL985" s="197"/>
      <c r="AM985" s="197"/>
      <c r="AN985" s="197"/>
      <c r="AO985" s="197"/>
      <c r="AP985" s="197"/>
      <c r="AQ985" s="197"/>
      <c r="AR985" s="197"/>
      <c r="AS985" s="197"/>
      <c r="AT985" s="197"/>
      <c r="AU985" s="197"/>
      <c r="AV985" s="197"/>
      <c r="AW985" s="197"/>
    </row>
    <row r="986" spans="28:49" s="196" customFormat="1">
      <c r="AB986" s="201"/>
      <c r="AC986" s="201"/>
      <c r="AD986" s="197"/>
      <c r="AE986" s="197"/>
      <c r="AF986" s="197"/>
      <c r="AG986" s="197"/>
      <c r="AH986" s="197"/>
      <c r="AI986" s="197"/>
      <c r="AJ986" s="197"/>
      <c r="AK986" s="197"/>
      <c r="AL986" s="197"/>
      <c r="AM986" s="197"/>
      <c r="AN986" s="197"/>
      <c r="AO986" s="197"/>
      <c r="AP986" s="197"/>
      <c r="AQ986" s="197"/>
      <c r="AR986" s="197"/>
      <c r="AS986" s="197"/>
      <c r="AT986" s="197"/>
      <c r="AU986" s="197"/>
      <c r="AV986" s="197"/>
      <c r="AW986" s="197"/>
    </row>
    <row r="987" spans="28:49" s="196" customFormat="1">
      <c r="AB987" s="201"/>
      <c r="AC987" s="201"/>
      <c r="AD987" s="197"/>
      <c r="AE987" s="197"/>
      <c r="AF987" s="197"/>
      <c r="AG987" s="197"/>
      <c r="AH987" s="197"/>
      <c r="AI987" s="197"/>
      <c r="AJ987" s="197"/>
      <c r="AK987" s="197"/>
      <c r="AL987" s="197"/>
      <c r="AM987" s="197"/>
      <c r="AN987" s="197"/>
      <c r="AO987" s="197"/>
      <c r="AP987" s="197"/>
      <c r="AQ987" s="197"/>
      <c r="AR987" s="197"/>
      <c r="AS987" s="197"/>
      <c r="AT987" s="197"/>
      <c r="AU987" s="197"/>
      <c r="AV987" s="197"/>
      <c r="AW987" s="197"/>
    </row>
    <row r="988" spans="28:49" s="196" customFormat="1">
      <c r="AB988" s="201"/>
      <c r="AC988" s="201"/>
      <c r="AD988" s="197"/>
      <c r="AE988" s="197"/>
      <c r="AF988" s="197"/>
      <c r="AG988" s="197"/>
      <c r="AH988" s="197"/>
      <c r="AI988" s="197"/>
      <c r="AJ988" s="197"/>
      <c r="AK988" s="197"/>
      <c r="AL988" s="197"/>
      <c r="AM988" s="197"/>
      <c r="AN988" s="197"/>
      <c r="AO988" s="197"/>
      <c r="AP988" s="197"/>
      <c r="AQ988" s="197"/>
      <c r="AR988" s="197"/>
      <c r="AS988" s="197"/>
      <c r="AT988" s="197"/>
      <c r="AU988" s="197"/>
      <c r="AV988" s="197"/>
      <c r="AW988" s="197"/>
    </row>
    <row r="989" spans="28:49" s="196" customFormat="1">
      <c r="AB989" s="201"/>
      <c r="AC989" s="201"/>
      <c r="AD989" s="197"/>
      <c r="AE989" s="197"/>
      <c r="AF989" s="197"/>
      <c r="AG989" s="197"/>
      <c r="AH989" s="197"/>
      <c r="AI989" s="197"/>
      <c r="AJ989" s="197"/>
      <c r="AK989" s="197"/>
      <c r="AL989" s="197"/>
      <c r="AM989" s="197"/>
      <c r="AN989" s="197"/>
      <c r="AO989" s="197"/>
      <c r="AP989" s="197"/>
      <c r="AQ989" s="197"/>
      <c r="AR989" s="197"/>
      <c r="AS989" s="197"/>
      <c r="AT989" s="197"/>
      <c r="AU989" s="197"/>
      <c r="AV989" s="197"/>
      <c r="AW989" s="197"/>
    </row>
    <row r="990" spans="28:49" s="196" customFormat="1">
      <c r="AB990" s="201"/>
      <c r="AC990" s="201"/>
      <c r="AD990" s="197"/>
      <c r="AE990" s="197"/>
      <c r="AF990" s="197"/>
      <c r="AG990" s="197"/>
      <c r="AH990" s="197"/>
      <c r="AI990" s="197"/>
      <c r="AJ990" s="197"/>
      <c r="AK990" s="197"/>
      <c r="AL990" s="197"/>
      <c r="AM990" s="197"/>
      <c r="AN990" s="197"/>
      <c r="AO990" s="197"/>
      <c r="AP990" s="197"/>
      <c r="AQ990" s="197"/>
      <c r="AR990" s="197"/>
      <c r="AS990" s="197"/>
      <c r="AT990" s="197"/>
      <c r="AU990" s="197"/>
      <c r="AV990" s="197"/>
      <c r="AW990" s="197"/>
    </row>
    <row r="991" spans="28:49" s="196" customFormat="1">
      <c r="AB991" s="201"/>
      <c r="AC991" s="201"/>
      <c r="AD991" s="197"/>
      <c r="AE991" s="197"/>
      <c r="AF991" s="197"/>
      <c r="AG991" s="197"/>
      <c r="AH991" s="197"/>
      <c r="AI991" s="197"/>
      <c r="AJ991" s="197"/>
      <c r="AK991" s="197"/>
      <c r="AL991" s="197"/>
      <c r="AM991" s="197"/>
      <c r="AN991" s="197"/>
      <c r="AO991" s="197"/>
      <c r="AP991" s="197"/>
      <c r="AQ991" s="197"/>
      <c r="AR991" s="197"/>
      <c r="AS991" s="197"/>
      <c r="AT991" s="197"/>
      <c r="AU991" s="197"/>
      <c r="AV991" s="197"/>
      <c r="AW991" s="197"/>
    </row>
    <row r="992" spans="28:49" s="196" customFormat="1">
      <c r="AB992" s="201"/>
      <c r="AC992" s="201"/>
      <c r="AD992" s="197"/>
      <c r="AE992" s="197"/>
      <c r="AF992" s="197"/>
      <c r="AG992" s="197"/>
      <c r="AH992" s="197"/>
      <c r="AI992" s="197"/>
      <c r="AJ992" s="197"/>
      <c r="AK992" s="197"/>
      <c r="AL992" s="197"/>
      <c r="AM992" s="197"/>
      <c r="AN992" s="197"/>
      <c r="AO992" s="197"/>
      <c r="AP992" s="197"/>
      <c r="AQ992" s="197"/>
      <c r="AR992" s="197"/>
      <c r="AS992" s="197"/>
      <c r="AT992" s="197"/>
      <c r="AU992" s="197"/>
      <c r="AV992" s="197"/>
      <c r="AW992" s="197"/>
    </row>
    <row r="993" spans="28:49" s="196" customFormat="1">
      <c r="AB993" s="201"/>
      <c r="AC993" s="201"/>
      <c r="AD993" s="197"/>
      <c r="AE993" s="197"/>
      <c r="AF993" s="197"/>
      <c r="AG993" s="197"/>
      <c r="AH993" s="197"/>
      <c r="AI993" s="197"/>
      <c r="AJ993" s="197"/>
      <c r="AK993" s="197"/>
      <c r="AL993" s="197"/>
      <c r="AM993" s="197"/>
      <c r="AN993" s="197"/>
      <c r="AO993" s="197"/>
      <c r="AP993" s="197"/>
      <c r="AQ993" s="197"/>
      <c r="AR993" s="197"/>
      <c r="AS993" s="197"/>
      <c r="AT993" s="197"/>
      <c r="AU993" s="197"/>
      <c r="AV993" s="197"/>
      <c r="AW993" s="197"/>
    </row>
    <row r="994" spans="28:49" s="196" customFormat="1">
      <c r="AB994" s="201"/>
      <c r="AC994" s="201"/>
      <c r="AD994" s="197"/>
      <c r="AE994" s="197"/>
      <c r="AF994" s="197"/>
      <c r="AG994" s="197"/>
      <c r="AH994" s="197"/>
      <c r="AI994" s="197"/>
      <c r="AJ994" s="197"/>
      <c r="AK994" s="197"/>
      <c r="AL994" s="197"/>
      <c r="AM994" s="197"/>
      <c r="AN994" s="197"/>
      <c r="AO994" s="197"/>
      <c r="AP994" s="197"/>
      <c r="AQ994" s="197"/>
      <c r="AR994" s="197"/>
      <c r="AS994" s="197"/>
      <c r="AT994" s="197"/>
      <c r="AU994" s="197"/>
      <c r="AV994" s="197"/>
      <c r="AW994" s="197"/>
    </row>
    <row r="995" spans="28:49" s="196" customFormat="1">
      <c r="AB995" s="201"/>
      <c r="AC995" s="201"/>
      <c r="AD995" s="197"/>
      <c r="AE995" s="197"/>
      <c r="AF995" s="197"/>
      <c r="AG995" s="197"/>
      <c r="AH995" s="197"/>
      <c r="AI995" s="197"/>
      <c r="AJ995" s="197"/>
      <c r="AK995" s="197"/>
      <c r="AL995" s="197"/>
      <c r="AM995" s="197"/>
      <c r="AN995" s="197"/>
      <c r="AO995" s="197"/>
      <c r="AP995" s="197"/>
      <c r="AQ995" s="197"/>
      <c r="AR995" s="197"/>
      <c r="AS995" s="197"/>
      <c r="AT995" s="197"/>
      <c r="AU995" s="197"/>
      <c r="AV995" s="197"/>
      <c r="AW995" s="197"/>
    </row>
    <row r="996" spans="28:49" s="196" customFormat="1">
      <c r="AB996" s="201"/>
      <c r="AC996" s="201"/>
      <c r="AD996" s="197"/>
      <c r="AE996" s="197"/>
      <c r="AF996" s="197"/>
      <c r="AG996" s="197"/>
      <c r="AH996" s="197"/>
      <c r="AI996" s="197"/>
      <c r="AJ996" s="197"/>
      <c r="AK996" s="197"/>
      <c r="AL996" s="197"/>
      <c r="AM996" s="197"/>
      <c r="AN996" s="197"/>
      <c r="AO996" s="197"/>
      <c r="AP996" s="197"/>
      <c r="AQ996" s="197"/>
      <c r="AR996" s="197"/>
      <c r="AS996" s="197"/>
      <c r="AT996" s="197"/>
      <c r="AU996" s="197"/>
      <c r="AV996" s="197"/>
      <c r="AW996" s="197"/>
    </row>
    <row r="997" spans="28:49" s="196" customFormat="1">
      <c r="AB997" s="201"/>
      <c r="AC997" s="201"/>
      <c r="AD997" s="197"/>
      <c r="AE997" s="197"/>
      <c r="AF997" s="197"/>
      <c r="AG997" s="197"/>
      <c r="AH997" s="197"/>
      <c r="AI997" s="197"/>
      <c r="AJ997" s="197"/>
      <c r="AK997" s="197"/>
      <c r="AL997" s="197"/>
      <c r="AM997" s="197"/>
      <c r="AN997" s="197"/>
      <c r="AO997" s="197"/>
      <c r="AP997" s="197"/>
      <c r="AQ997" s="197"/>
      <c r="AR997" s="197"/>
      <c r="AS997" s="197"/>
      <c r="AT997" s="197"/>
      <c r="AU997" s="197"/>
      <c r="AV997" s="197"/>
      <c r="AW997" s="197"/>
    </row>
    <row r="998" spans="28:49" s="196" customFormat="1">
      <c r="AB998" s="201"/>
      <c r="AC998" s="201"/>
      <c r="AD998" s="197"/>
      <c r="AE998" s="197"/>
      <c r="AF998" s="197"/>
      <c r="AG998" s="197"/>
      <c r="AH998" s="197"/>
      <c r="AI998" s="197"/>
      <c r="AJ998" s="197"/>
      <c r="AK998" s="197"/>
      <c r="AL998" s="197"/>
      <c r="AM998" s="197"/>
      <c r="AN998" s="197"/>
      <c r="AO998" s="197"/>
      <c r="AP998" s="197"/>
      <c r="AQ998" s="197"/>
      <c r="AR998" s="197"/>
      <c r="AS998" s="197"/>
      <c r="AT998" s="197"/>
      <c r="AU998" s="197"/>
      <c r="AV998" s="197"/>
      <c r="AW998" s="197"/>
    </row>
    <row r="999" spans="28:49" s="196" customFormat="1">
      <c r="AB999" s="201"/>
      <c r="AC999" s="201"/>
      <c r="AD999" s="197"/>
      <c r="AE999" s="197"/>
      <c r="AF999" s="197"/>
      <c r="AG999" s="197"/>
      <c r="AH999" s="197"/>
      <c r="AI999" s="197"/>
      <c r="AJ999" s="197"/>
      <c r="AK999" s="197"/>
      <c r="AL999" s="197"/>
      <c r="AM999" s="197"/>
      <c r="AN999" s="197"/>
      <c r="AO999" s="197"/>
      <c r="AP999" s="197"/>
      <c r="AQ999" s="197"/>
      <c r="AR999" s="197"/>
      <c r="AS999" s="197"/>
      <c r="AT999" s="197"/>
      <c r="AU999" s="197"/>
      <c r="AV999" s="197"/>
      <c r="AW999" s="197"/>
    </row>
    <row r="1000" spans="28:49" s="196" customFormat="1">
      <c r="AB1000" s="201"/>
      <c r="AC1000" s="201"/>
      <c r="AD1000" s="197"/>
      <c r="AE1000" s="197"/>
      <c r="AF1000" s="197"/>
      <c r="AG1000" s="197"/>
      <c r="AH1000" s="197"/>
      <c r="AI1000" s="197"/>
      <c r="AJ1000" s="197"/>
      <c r="AK1000" s="197"/>
      <c r="AL1000" s="197"/>
      <c r="AM1000" s="197"/>
      <c r="AN1000" s="197"/>
      <c r="AO1000" s="197"/>
      <c r="AP1000" s="197"/>
      <c r="AQ1000" s="197"/>
      <c r="AR1000" s="197"/>
      <c r="AS1000" s="197"/>
      <c r="AT1000" s="197"/>
      <c r="AU1000" s="197"/>
      <c r="AV1000" s="197"/>
      <c r="AW1000" s="197"/>
    </row>
    <row r="1001" spans="28:49" s="196" customFormat="1">
      <c r="AB1001" s="201"/>
      <c r="AC1001" s="201"/>
      <c r="AD1001" s="197"/>
      <c r="AE1001" s="197"/>
      <c r="AF1001" s="197"/>
      <c r="AG1001" s="197"/>
      <c r="AH1001" s="197"/>
      <c r="AI1001" s="197"/>
      <c r="AJ1001" s="197"/>
      <c r="AK1001" s="197"/>
      <c r="AL1001" s="197"/>
      <c r="AM1001" s="197"/>
      <c r="AN1001" s="197"/>
      <c r="AO1001" s="197"/>
      <c r="AP1001" s="197"/>
      <c r="AQ1001" s="197"/>
      <c r="AR1001" s="197"/>
      <c r="AS1001" s="197"/>
      <c r="AT1001" s="197"/>
      <c r="AU1001" s="197"/>
      <c r="AV1001" s="197"/>
      <c r="AW1001" s="197"/>
    </row>
    <row r="1002" spans="28:49" s="196" customFormat="1">
      <c r="AB1002" s="201"/>
      <c r="AC1002" s="201"/>
      <c r="AD1002" s="197"/>
      <c r="AE1002" s="197"/>
      <c r="AF1002" s="197"/>
      <c r="AG1002" s="197"/>
      <c r="AH1002" s="197"/>
      <c r="AI1002" s="197"/>
      <c r="AJ1002" s="197"/>
      <c r="AK1002" s="197"/>
      <c r="AL1002" s="197"/>
      <c r="AM1002" s="197"/>
      <c r="AN1002" s="197"/>
      <c r="AO1002" s="197"/>
      <c r="AP1002" s="197"/>
      <c r="AQ1002" s="197"/>
      <c r="AR1002" s="197"/>
      <c r="AS1002" s="197"/>
      <c r="AT1002" s="197"/>
      <c r="AU1002" s="197"/>
      <c r="AV1002" s="197"/>
      <c r="AW1002" s="197"/>
    </row>
    <row r="1003" spans="28:49" s="196" customFormat="1">
      <c r="AB1003" s="201"/>
      <c r="AC1003" s="201"/>
      <c r="AD1003" s="197"/>
      <c r="AE1003" s="197"/>
      <c r="AF1003" s="197"/>
      <c r="AG1003" s="197"/>
      <c r="AH1003" s="197"/>
      <c r="AI1003" s="197"/>
      <c r="AJ1003" s="197"/>
      <c r="AK1003" s="197"/>
      <c r="AL1003" s="197"/>
      <c r="AM1003" s="197"/>
      <c r="AN1003" s="197"/>
      <c r="AO1003" s="197"/>
      <c r="AP1003" s="197"/>
      <c r="AQ1003" s="197"/>
      <c r="AR1003" s="197"/>
      <c r="AS1003" s="197"/>
      <c r="AT1003" s="197"/>
      <c r="AU1003" s="197"/>
      <c r="AV1003" s="197"/>
      <c r="AW1003" s="197"/>
    </row>
    <row r="1004" spans="28:49" s="196" customFormat="1">
      <c r="AB1004" s="201"/>
      <c r="AC1004" s="201"/>
      <c r="AD1004" s="197"/>
      <c r="AE1004" s="197"/>
      <c r="AF1004" s="197"/>
      <c r="AG1004" s="197"/>
      <c r="AH1004" s="197"/>
      <c r="AI1004" s="197"/>
      <c r="AJ1004" s="197"/>
      <c r="AK1004" s="197"/>
      <c r="AL1004" s="197"/>
      <c r="AM1004" s="197"/>
      <c r="AN1004" s="197"/>
      <c r="AO1004" s="197"/>
      <c r="AP1004" s="197"/>
      <c r="AQ1004" s="197"/>
      <c r="AR1004" s="197"/>
      <c r="AS1004" s="197"/>
      <c r="AT1004" s="197"/>
      <c r="AU1004" s="197"/>
      <c r="AV1004" s="197"/>
      <c r="AW1004" s="197"/>
    </row>
    <row r="1005" spans="28:49" s="196" customFormat="1">
      <c r="AB1005" s="201"/>
      <c r="AC1005" s="201"/>
      <c r="AD1005" s="197"/>
      <c r="AE1005" s="197"/>
      <c r="AF1005" s="197"/>
      <c r="AG1005" s="197"/>
      <c r="AH1005" s="197"/>
      <c r="AI1005" s="197"/>
      <c r="AJ1005" s="197"/>
      <c r="AK1005" s="197"/>
      <c r="AL1005" s="197"/>
      <c r="AM1005" s="197"/>
      <c r="AN1005" s="197"/>
      <c r="AO1005" s="197"/>
      <c r="AP1005" s="197"/>
      <c r="AQ1005" s="197"/>
      <c r="AR1005" s="197"/>
      <c r="AS1005" s="197"/>
      <c r="AT1005" s="197"/>
      <c r="AU1005" s="197"/>
      <c r="AV1005" s="197"/>
      <c r="AW1005" s="197"/>
    </row>
    <row r="1006" spans="28:49" s="196" customFormat="1">
      <c r="AB1006" s="201"/>
      <c r="AC1006" s="201"/>
      <c r="AD1006" s="197"/>
      <c r="AE1006" s="197"/>
      <c r="AF1006" s="197"/>
      <c r="AG1006" s="197"/>
      <c r="AH1006" s="197"/>
      <c r="AI1006" s="197"/>
      <c r="AJ1006" s="197"/>
      <c r="AK1006" s="197"/>
      <c r="AL1006" s="197"/>
      <c r="AM1006" s="197"/>
      <c r="AN1006" s="197"/>
      <c r="AO1006" s="197"/>
      <c r="AP1006" s="197"/>
      <c r="AQ1006" s="197"/>
      <c r="AR1006" s="197"/>
      <c r="AS1006" s="197"/>
      <c r="AT1006" s="197"/>
      <c r="AU1006" s="197"/>
      <c r="AV1006" s="197"/>
      <c r="AW1006" s="197"/>
    </row>
    <row r="1007" spans="28:49" s="196" customFormat="1">
      <c r="AB1007" s="201"/>
      <c r="AC1007" s="201"/>
      <c r="AD1007" s="197"/>
      <c r="AE1007" s="197"/>
      <c r="AF1007" s="197"/>
      <c r="AG1007" s="197"/>
      <c r="AH1007" s="197"/>
      <c r="AI1007" s="197"/>
      <c r="AJ1007" s="197"/>
      <c r="AK1007" s="197"/>
      <c r="AL1007" s="197"/>
      <c r="AM1007" s="197"/>
      <c r="AN1007" s="197"/>
      <c r="AO1007" s="197"/>
      <c r="AP1007" s="197"/>
      <c r="AQ1007" s="197"/>
      <c r="AR1007" s="197"/>
      <c r="AS1007" s="197"/>
      <c r="AT1007" s="197"/>
      <c r="AU1007" s="197"/>
      <c r="AV1007" s="197"/>
      <c r="AW1007" s="197"/>
    </row>
    <row r="1008" spans="28:49" s="196" customFormat="1">
      <c r="AB1008" s="201"/>
      <c r="AC1008" s="201"/>
      <c r="AD1008" s="197"/>
      <c r="AE1008" s="197"/>
      <c r="AF1008" s="197"/>
      <c r="AG1008" s="197"/>
      <c r="AH1008" s="197"/>
      <c r="AI1008" s="197"/>
      <c r="AJ1008" s="197"/>
      <c r="AK1008" s="197"/>
      <c r="AL1008" s="197"/>
      <c r="AM1008" s="197"/>
      <c r="AN1008" s="197"/>
      <c r="AO1008" s="197"/>
      <c r="AP1008" s="197"/>
      <c r="AQ1008" s="197"/>
      <c r="AR1008" s="197"/>
      <c r="AS1008" s="197"/>
      <c r="AT1008" s="197"/>
      <c r="AU1008" s="197"/>
      <c r="AV1008" s="197"/>
      <c r="AW1008" s="197"/>
    </row>
    <row r="1009" spans="28:49" s="196" customFormat="1">
      <c r="AB1009" s="201"/>
      <c r="AC1009" s="201"/>
      <c r="AD1009" s="197"/>
      <c r="AE1009" s="197"/>
      <c r="AF1009" s="197"/>
      <c r="AG1009" s="197"/>
      <c r="AH1009" s="197"/>
      <c r="AI1009" s="197"/>
      <c r="AJ1009" s="197"/>
      <c r="AK1009" s="197"/>
      <c r="AL1009" s="197"/>
      <c r="AM1009" s="197"/>
      <c r="AN1009" s="197"/>
      <c r="AO1009" s="197"/>
      <c r="AP1009" s="197"/>
      <c r="AQ1009" s="197"/>
      <c r="AR1009" s="197"/>
      <c r="AS1009" s="197"/>
      <c r="AT1009" s="197"/>
      <c r="AU1009" s="197"/>
      <c r="AV1009" s="197"/>
      <c r="AW1009" s="197"/>
    </row>
    <row r="1010" spans="28:49" s="196" customFormat="1">
      <c r="AB1010" s="201"/>
      <c r="AC1010" s="201"/>
      <c r="AD1010" s="197"/>
      <c r="AE1010" s="197"/>
      <c r="AF1010" s="197"/>
      <c r="AG1010" s="197"/>
      <c r="AH1010" s="197"/>
      <c r="AI1010" s="197"/>
      <c r="AJ1010" s="197"/>
      <c r="AK1010" s="197"/>
      <c r="AL1010" s="197"/>
      <c r="AM1010" s="197"/>
      <c r="AN1010" s="197"/>
      <c r="AO1010" s="197"/>
      <c r="AP1010" s="197"/>
      <c r="AQ1010" s="197"/>
      <c r="AR1010" s="197"/>
      <c r="AS1010" s="197"/>
      <c r="AT1010" s="197"/>
      <c r="AU1010" s="197"/>
      <c r="AV1010" s="197"/>
      <c r="AW1010" s="197"/>
    </row>
    <row r="1011" spans="28:49" s="196" customFormat="1">
      <c r="AB1011" s="201"/>
      <c r="AC1011" s="201"/>
      <c r="AD1011" s="197"/>
      <c r="AE1011" s="197"/>
      <c r="AF1011" s="197"/>
      <c r="AG1011" s="197"/>
      <c r="AH1011" s="197"/>
      <c r="AI1011" s="197"/>
      <c r="AJ1011" s="197"/>
      <c r="AK1011" s="197"/>
      <c r="AL1011" s="197"/>
      <c r="AM1011" s="197"/>
      <c r="AN1011" s="197"/>
      <c r="AO1011" s="197"/>
      <c r="AP1011" s="197"/>
      <c r="AQ1011" s="197"/>
      <c r="AR1011" s="197"/>
      <c r="AS1011" s="197"/>
      <c r="AT1011" s="197"/>
      <c r="AU1011" s="197"/>
      <c r="AV1011" s="197"/>
      <c r="AW1011" s="197"/>
    </row>
    <row r="1012" spans="28:49" s="196" customFormat="1">
      <c r="AB1012" s="201"/>
      <c r="AC1012" s="201"/>
      <c r="AD1012" s="197"/>
      <c r="AE1012" s="197"/>
      <c r="AF1012" s="197"/>
      <c r="AG1012" s="197"/>
      <c r="AH1012" s="197"/>
      <c r="AI1012" s="197"/>
      <c r="AJ1012" s="197"/>
      <c r="AK1012" s="197"/>
      <c r="AL1012" s="197"/>
      <c r="AM1012" s="197"/>
      <c r="AN1012" s="197"/>
      <c r="AO1012" s="197"/>
      <c r="AP1012" s="197"/>
      <c r="AQ1012" s="197"/>
      <c r="AR1012" s="197"/>
      <c r="AS1012" s="197"/>
      <c r="AT1012" s="197"/>
      <c r="AU1012" s="197"/>
      <c r="AV1012" s="197"/>
      <c r="AW1012" s="197"/>
    </row>
    <row r="1013" spans="28:49" s="196" customFormat="1">
      <c r="AB1013" s="201"/>
      <c r="AC1013" s="201"/>
      <c r="AD1013" s="197"/>
      <c r="AE1013" s="197"/>
      <c r="AF1013" s="197"/>
      <c r="AG1013" s="197"/>
      <c r="AH1013" s="197"/>
      <c r="AI1013" s="197"/>
      <c r="AJ1013" s="197"/>
      <c r="AK1013" s="197"/>
      <c r="AL1013" s="197"/>
      <c r="AM1013" s="197"/>
      <c r="AN1013" s="197"/>
      <c r="AO1013" s="197"/>
      <c r="AP1013" s="197"/>
      <c r="AQ1013" s="197"/>
      <c r="AR1013" s="197"/>
      <c r="AS1013" s="197"/>
      <c r="AT1013" s="197"/>
      <c r="AU1013" s="197"/>
      <c r="AV1013" s="197"/>
      <c r="AW1013" s="197"/>
    </row>
    <row r="1014" spans="28:49" s="196" customFormat="1">
      <c r="AB1014" s="201"/>
      <c r="AC1014" s="201"/>
      <c r="AD1014" s="197"/>
      <c r="AE1014" s="197"/>
      <c r="AF1014" s="197"/>
      <c r="AG1014" s="197"/>
      <c r="AH1014" s="197"/>
      <c r="AI1014" s="197"/>
      <c r="AJ1014" s="197"/>
      <c r="AK1014" s="197"/>
      <c r="AL1014" s="197"/>
      <c r="AM1014" s="197"/>
      <c r="AN1014" s="197"/>
      <c r="AO1014" s="197"/>
      <c r="AP1014" s="197"/>
      <c r="AQ1014" s="197"/>
      <c r="AR1014" s="197"/>
      <c r="AS1014" s="197"/>
      <c r="AT1014" s="197"/>
      <c r="AU1014" s="197"/>
      <c r="AV1014" s="197"/>
      <c r="AW1014" s="197"/>
    </row>
    <row r="1015" spans="28:49" s="196" customFormat="1">
      <c r="AB1015" s="201"/>
      <c r="AC1015" s="201"/>
      <c r="AD1015" s="197"/>
      <c r="AE1015" s="197"/>
      <c r="AF1015" s="197"/>
      <c r="AG1015" s="197"/>
      <c r="AH1015" s="197"/>
      <c r="AI1015" s="197"/>
      <c r="AJ1015" s="197"/>
      <c r="AK1015" s="197"/>
      <c r="AL1015" s="197"/>
      <c r="AM1015" s="197"/>
      <c r="AN1015" s="197"/>
      <c r="AO1015" s="197"/>
      <c r="AP1015" s="197"/>
      <c r="AQ1015" s="197"/>
      <c r="AR1015" s="197"/>
      <c r="AS1015" s="197"/>
      <c r="AT1015" s="197"/>
      <c r="AU1015" s="197"/>
      <c r="AV1015" s="197"/>
      <c r="AW1015" s="197"/>
    </row>
    <row r="1016" spans="28:49" s="196" customFormat="1">
      <c r="AB1016" s="201"/>
      <c r="AC1016" s="201"/>
      <c r="AD1016" s="197"/>
      <c r="AE1016" s="197"/>
      <c r="AF1016" s="197"/>
      <c r="AG1016" s="197"/>
      <c r="AH1016" s="197"/>
      <c r="AI1016" s="197"/>
      <c r="AJ1016" s="197"/>
      <c r="AK1016" s="197"/>
      <c r="AL1016" s="197"/>
      <c r="AM1016" s="197"/>
      <c r="AN1016" s="197"/>
      <c r="AO1016" s="197"/>
      <c r="AP1016" s="197"/>
      <c r="AQ1016" s="197"/>
      <c r="AR1016" s="197"/>
      <c r="AS1016" s="197"/>
      <c r="AT1016" s="197"/>
      <c r="AU1016" s="197"/>
      <c r="AV1016" s="197"/>
      <c r="AW1016" s="197"/>
    </row>
    <row r="1017" spans="28:49" s="196" customFormat="1">
      <c r="AB1017" s="201"/>
      <c r="AC1017" s="201"/>
      <c r="AD1017" s="197"/>
      <c r="AE1017" s="197"/>
      <c r="AF1017" s="197"/>
      <c r="AG1017" s="197"/>
      <c r="AH1017" s="197"/>
      <c r="AI1017" s="197"/>
      <c r="AJ1017" s="197"/>
      <c r="AK1017" s="197"/>
      <c r="AL1017" s="197"/>
      <c r="AM1017" s="197"/>
      <c r="AN1017" s="197"/>
      <c r="AO1017" s="197"/>
      <c r="AP1017" s="197"/>
      <c r="AQ1017" s="197"/>
      <c r="AR1017" s="197"/>
      <c r="AS1017" s="197"/>
      <c r="AT1017" s="197"/>
      <c r="AU1017" s="197"/>
      <c r="AV1017" s="197"/>
      <c r="AW1017" s="197"/>
    </row>
    <row r="1018" spans="28:49" s="196" customFormat="1">
      <c r="AB1018" s="201"/>
      <c r="AC1018" s="201"/>
      <c r="AD1018" s="197"/>
      <c r="AE1018" s="197"/>
      <c r="AF1018" s="197"/>
      <c r="AG1018" s="197"/>
      <c r="AH1018" s="197"/>
      <c r="AI1018" s="197"/>
      <c r="AJ1018" s="197"/>
      <c r="AK1018" s="197"/>
      <c r="AL1018" s="197"/>
      <c r="AM1018" s="197"/>
      <c r="AN1018" s="197"/>
      <c r="AO1018" s="197"/>
      <c r="AP1018" s="197"/>
      <c r="AQ1018" s="197"/>
      <c r="AR1018" s="197"/>
      <c r="AS1018" s="197"/>
      <c r="AT1018" s="197"/>
      <c r="AU1018" s="197"/>
      <c r="AV1018" s="197"/>
      <c r="AW1018" s="197"/>
    </row>
    <row r="1019" spans="28:49" s="196" customFormat="1">
      <c r="AB1019" s="201"/>
      <c r="AC1019" s="201"/>
      <c r="AD1019" s="197"/>
      <c r="AE1019" s="197"/>
      <c r="AF1019" s="197"/>
      <c r="AG1019" s="197"/>
      <c r="AH1019" s="197"/>
      <c r="AI1019" s="197"/>
      <c r="AJ1019" s="197"/>
      <c r="AK1019" s="197"/>
      <c r="AL1019" s="197"/>
      <c r="AM1019" s="197"/>
      <c r="AN1019" s="197"/>
      <c r="AO1019" s="197"/>
      <c r="AP1019" s="197"/>
      <c r="AQ1019" s="197"/>
      <c r="AR1019" s="197"/>
      <c r="AS1019" s="197"/>
      <c r="AT1019" s="197"/>
      <c r="AU1019" s="197"/>
      <c r="AV1019" s="197"/>
      <c r="AW1019" s="197"/>
    </row>
    <row r="1020" spans="28:49" s="196" customFormat="1">
      <c r="AB1020" s="201"/>
      <c r="AC1020" s="201"/>
      <c r="AD1020" s="197"/>
      <c r="AE1020" s="197"/>
      <c r="AF1020" s="197"/>
      <c r="AG1020" s="197"/>
      <c r="AH1020" s="197"/>
      <c r="AI1020" s="197"/>
      <c r="AJ1020" s="197"/>
      <c r="AK1020" s="197"/>
      <c r="AL1020" s="197"/>
      <c r="AM1020" s="197"/>
      <c r="AN1020" s="197"/>
      <c r="AO1020" s="197"/>
      <c r="AP1020" s="197"/>
      <c r="AQ1020" s="197"/>
      <c r="AR1020" s="197"/>
      <c r="AS1020" s="197"/>
      <c r="AT1020" s="197"/>
      <c r="AU1020" s="197"/>
      <c r="AV1020" s="197"/>
      <c r="AW1020" s="197"/>
    </row>
    <row r="1021" spans="28:49" s="196" customFormat="1">
      <c r="AB1021" s="201"/>
      <c r="AC1021" s="201"/>
      <c r="AD1021" s="197"/>
      <c r="AE1021" s="197"/>
      <c r="AF1021" s="197"/>
      <c r="AG1021" s="197"/>
      <c r="AH1021" s="197"/>
      <c r="AI1021" s="197"/>
      <c r="AJ1021" s="197"/>
      <c r="AK1021" s="197"/>
      <c r="AL1021" s="197"/>
      <c r="AM1021" s="197"/>
      <c r="AN1021" s="197"/>
      <c r="AO1021" s="197"/>
      <c r="AP1021" s="197"/>
      <c r="AQ1021" s="197"/>
      <c r="AR1021" s="197"/>
      <c r="AS1021" s="197"/>
      <c r="AT1021" s="197"/>
      <c r="AU1021" s="197"/>
      <c r="AV1021" s="197"/>
      <c r="AW1021" s="197"/>
    </row>
    <row r="1022" spans="28:49" s="196" customFormat="1">
      <c r="AB1022" s="201"/>
      <c r="AC1022" s="201"/>
      <c r="AD1022" s="197"/>
      <c r="AE1022" s="197"/>
      <c r="AF1022" s="197"/>
      <c r="AG1022" s="197"/>
      <c r="AH1022" s="197"/>
      <c r="AI1022" s="197"/>
      <c r="AJ1022" s="197"/>
      <c r="AK1022" s="197"/>
      <c r="AL1022" s="197"/>
      <c r="AM1022" s="197"/>
      <c r="AN1022" s="197"/>
      <c r="AO1022" s="197"/>
      <c r="AP1022" s="197"/>
      <c r="AQ1022" s="197"/>
      <c r="AR1022" s="197"/>
      <c r="AS1022" s="197"/>
      <c r="AT1022" s="197"/>
      <c r="AU1022" s="197"/>
      <c r="AV1022" s="197"/>
      <c r="AW1022" s="197"/>
    </row>
    <row r="1023" spans="28:49" s="196" customFormat="1">
      <c r="AB1023" s="201"/>
      <c r="AC1023" s="201"/>
      <c r="AD1023" s="197"/>
      <c r="AE1023" s="197"/>
      <c r="AF1023" s="197"/>
      <c r="AG1023" s="197"/>
      <c r="AH1023" s="197"/>
      <c r="AI1023" s="197"/>
      <c r="AJ1023" s="197"/>
      <c r="AK1023" s="197"/>
      <c r="AL1023" s="197"/>
      <c r="AM1023" s="197"/>
      <c r="AN1023" s="197"/>
      <c r="AO1023" s="197"/>
      <c r="AP1023" s="197"/>
      <c r="AQ1023" s="197"/>
      <c r="AR1023" s="197"/>
      <c r="AS1023" s="197"/>
      <c r="AT1023" s="197"/>
      <c r="AU1023" s="197"/>
      <c r="AV1023" s="197"/>
      <c r="AW1023" s="197"/>
    </row>
    <row r="1024" spans="28:49" s="196" customFormat="1">
      <c r="AB1024" s="201"/>
      <c r="AC1024" s="201"/>
      <c r="AD1024" s="197"/>
      <c r="AE1024" s="197"/>
      <c r="AF1024" s="197"/>
      <c r="AG1024" s="197"/>
      <c r="AH1024" s="197"/>
      <c r="AI1024" s="197"/>
      <c r="AJ1024" s="197"/>
      <c r="AK1024" s="197"/>
      <c r="AL1024" s="197"/>
      <c r="AM1024" s="197"/>
      <c r="AN1024" s="197"/>
      <c r="AO1024" s="197"/>
      <c r="AP1024" s="197"/>
      <c r="AQ1024" s="197"/>
      <c r="AR1024" s="197"/>
      <c r="AS1024" s="197"/>
      <c r="AT1024" s="197"/>
      <c r="AU1024" s="197"/>
      <c r="AV1024" s="197"/>
      <c r="AW1024" s="197"/>
    </row>
    <row r="1025" spans="28:49" s="196" customFormat="1">
      <c r="AB1025" s="201"/>
      <c r="AC1025" s="201"/>
      <c r="AD1025" s="197"/>
      <c r="AE1025" s="197"/>
      <c r="AF1025" s="197"/>
      <c r="AG1025" s="197"/>
      <c r="AH1025" s="197"/>
      <c r="AI1025" s="197"/>
      <c r="AJ1025" s="197"/>
      <c r="AK1025" s="197"/>
      <c r="AL1025" s="197"/>
      <c r="AM1025" s="197"/>
      <c r="AN1025" s="197"/>
      <c r="AO1025" s="197"/>
      <c r="AP1025" s="197"/>
      <c r="AQ1025" s="197"/>
      <c r="AR1025" s="197"/>
      <c r="AS1025" s="197"/>
      <c r="AT1025" s="197"/>
      <c r="AU1025" s="197"/>
      <c r="AV1025" s="197"/>
      <c r="AW1025" s="197"/>
    </row>
    <row r="1026" spans="28:49" s="196" customFormat="1">
      <c r="AB1026" s="201"/>
      <c r="AC1026" s="201"/>
      <c r="AD1026" s="197"/>
      <c r="AE1026" s="197"/>
      <c r="AF1026" s="197"/>
      <c r="AG1026" s="197"/>
      <c r="AH1026" s="197"/>
      <c r="AI1026" s="197"/>
      <c r="AJ1026" s="197"/>
      <c r="AK1026" s="197"/>
      <c r="AL1026" s="197"/>
      <c r="AM1026" s="197"/>
      <c r="AN1026" s="197"/>
      <c r="AO1026" s="197"/>
      <c r="AP1026" s="197"/>
      <c r="AQ1026" s="197"/>
      <c r="AR1026" s="197"/>
      <c r="AS1026" s="197"/>
      <c r="AT1026" s="197"/>
      <c r="AU1026" s="197"/>
      <c r="AV1026" s="197"/>
      <c r="AW1026" s="197"/>
    </row>
    <row r="1027" spans="28:49" s="196" customFormat="1">
      <c r="AB1027" s="201"/>
      <c r="AC1027" s="201"/>
      <c r="AD1027" s="197"/>
      <c r="AE1027" s="197"/>
      <c r="AF1027" s="197"/>
      <c r="AG1027" s="197"/>
      <c r="AH1027" s="197"/>
      <c r="AI1027" s="197"/>
      <c r="AJ1027" s="197"/>
      <c r="AK1027" s="197"/>
      <c r="AL1027" s="197"/>
      <c r="AM1027" s="197"/>
      <c r="AN1027" s="197"/>
      <c r="AO1027" s="197"/>
      <c r="AP1027" s="197"/>
      <c r="AQ1027" s="197"/>
      <c r="AR1027" s="197"/>
      <c r="AS1027" s="197"/>
      <c r="AT1027" s="197"/>
      <c r="AU1027" s="197"/>
      <c r="AV1027" s="197"/>
      <c r="AW1027" s="197"/>
    </row>
    <row r="1028" spans="28:49" s="196" customFormat="1">
      <c r="AB1028" s="201"/>
      <c r="AC1028" s="201"/>
      <c r="AD1028" s="197"/>
      <c r="AE1028" s="197"/>
      <c r="AF1028" s="197"/>
      <c r="AG1028" s="197"/>
      <c r="AH1028" s="197"/>
      <c r="AI1028" s="197"/>
      <c r="AJ1028" s="197"/>
      <c r="AK1028" s="197"/>
      <c r="AL1028" s="197"/>
      <c r="AM1028" s="197"/>
      <c r="AN1028" s="197"/>
      <c r="AO1028" s="197"/>
      <c r="AP1028" s="197"/>
      <c r="AQ1028" s="197"/>
      <c r="AR1028" s="197"/>
      <c r="AS1028" s="197"/>
      <c r="AT1028" s="197"/>
      <c r="AU1028" s="197"/>
      <c r="AV1028" s="197"/>
      <c r="AW1028" s="197"/>
    </row>
    <row r="1029" spans="28:49" s="196" customFormat="1">
      <c r="AB1029" s="201"/>
      <c r="AC1029" s="201"/>
      <c r="AD1029" s="197"/>
      <c r="AE1029" s="197"/>
      <c r="AF1029" s="197"/>
      <c r="AG1029" s="197"/>
      <c r="AH1029" s="197"/>
      <c r="AI1029" s="197"/>
      <c r="AJ1029" s="197"/>
      <c r="AK1029" s="197"/>
      <c r="AL1029" s="197"/>
      <c r="AM1029" s="197"/>
      <c r="AN1029" s="197"/>
      <c r="AO1029" s="197"/>
      <c r="AP1029" s="197"/>
      <c r="AQ1029" s="197"/>
      <c r="AR1029" s="197"/>
      <c r="AS1029" s="197"/>
      <c r="AT1029" s="197"/>
      <c r="AU1029" s="197"/>
      <c r="AV1029" s="197"/>
      <c r="AW1029" s="197"/>
    </row>
    <row r="1030" spans="28:49" s="196" customFormat="1">
      <c r="AB1030" s="201"/>
      <c r="AC1030" s="201"/>
      <c r="AD1030" s="197"/>
      <c r="AE1030" s="197"/>
      <c r="AF1030" s="197"/>
      <c r="AG1030" s="197"/>
      <c r="AH1030" s="197"/>
      <c r="AI1030" s="197"/>
      <c r="AJ1030" s="197"/>
      <c r="AK1030" s="197"/>
      <c r="AL1030" s="197"/>
      <c r="AM1030" s="197"/>
      <c r="AN1030" s="197"/>
      <c r="AO1030" s="197"/>
      <c r="AP1030" s="197"/>
      <c r="AQ1030" s="197"/>
      <c r="AR1030" s="197"/>
      <c r="AS1030" s="197"/>
      <c r="AT1030" s="197"/>
      <c r="AU1030" s="197"/>
      <c r="AV1030" s="197"/>
      <c r="AW1030" s="197"/>
    </row>
    <row r="1031" spans="28:49" s="196" customFormat="1">
      <c r="AB1031" s="201"/>
      <c r="AC1031" s="201"/>
      <c r="AD1031" s="197"/>
      <c r="AE1031" s="197"/>
      <c r="AF1031" s="197"/>
      <c r="AG1031" s="197"/>
      <c r="AH1031" s="197"/>
      <c r="AI1031" s="197"/>
      <c r="AJ1031" s="197"/>
      <c r="AK1031" s="197"/>
      <c r="AL1031" s="197"/>
      <c r="AM1031" s="197"/>
      <c r="AN1031" s="197"/>
      <c r="AO1031" s="197"/>
      <c r="AP1031" s="197"/>
      <c r="AQ1031" s="197"/>
      <c r="AR1031" s="197"/>
      <c r="AS1031" s="197"/>
      <c r="AT1031" s="197"/>
      <c r="AU1031" s="197"/>
      <c r="AV1031" s="197"/>
      <c r="AW1031" s="197"/>
    </row>
    <row r="1032" spans="28:49" s="196" customFormat="1">
      <c r="AB1032" s="201"/>
      <c r="AC1032" s="201"/>
      <c r="AD1032" s="197"/>
      <c r="AE1032" s="197"/>
      <c r="AF1032" s="197"/>
      <c r="AG1032" s="197"/>
      <c r="AH1032" s="197"/>
      <c r="AI1032" s="197"/>
      <c r="AJ1032" s="197"/>
      <c r="AK1032" s="197"/>
      <c r="AL1032" s="197"/>
      <c r="AM1032" s="197"/>
      <c r="AN1032" s="197"/>
      <c r="AO1032" s="197"/>
      <c r="AP1032" s="197"/>
      <c r="AQ1032" s="197"/>
      <c r="AR1032" s="197"/>
      <c r="AS1032" s="197"/>
      <c r="AT1032" s="197"/>
      <c r="AU1032" s="197"/>
      <c r="AV1032" s="197"/>
      <c r="AW1032" s="197"/>
    </row>
    <row r="1033" spans="28:49" s="196" customFormat="1">
      <c r="AB1033" s="201"/>
      <c r="AC1033" s="201"/>
      <c r="AD1033" s="197"/>
      <c r="AE1033" s="197"/>
      <c r="AF1033" s="197"/>
      <c r="AG1033" s="197"/>
      <c r="AH1033" s="197"/>
      <c r="AI1033" s="197"/>
      <c r="AJ1033" s="197"/>
      <c r="AK1033" s="197"/>
      <c r="AL1033" s="197"/>
      <c r="AM1033" s="197"/>
      <c r="AN1033" s="197"/>
      <c r="AO1033" s="197"/>
      <c r="AP1033" s="197"/>
      <c r="AQ1033" s="197"/>
      <c r="AR1033" s="197"/>
      <c r="AS1033" s="197"/>
      <c r="AT1033" s="197"/>
      <c r="AU1033" s="197"/>
      <c r="AV1033" s="197"/>
      <c r="AW1033" s="197"/>
    </row>
    <row r="1034" spans="28:49" s="196" customFormat="1">
      <c r="AB1034" s="201"/>
      <c r="AC1034" s="201"/>
      <c r="AD1034" s="197"/>
      <c r="AE1034" s="197"/>
      <c r="AF1034" s="197"/>
      <c r="AG1034" s="197"/>
      <c r="AH1034" s="197"/>
      <c r="AI1034" s="197"/>
      <c r="AJ1034" s="197"/>
      <c r="AK1034" s="197"/>
      <c r="AL1034" s="197"/>
      <c r="AM1034" s="197"/>
      <c r="AN1034" s="197"/>
      <c r="AO1034" s="197"/>
      <c r="AP1034" s="197"/>
      <c r="AQ1034" s="197"/>
      <c r="AR1034" s="197"/>
      <c r="AS1034" s="197"/>
      <c r="AT1034" s="197"/>
      <c r="AU1034" s="197"/>
      <c r="AV1034" s="197"/>
      <c r="AW1034" s="197"/>
    </row>
    <row r="1035" spans="28:49" s="196" customFormat="1">
      <c r="AB1035" s="201"/>
      <c r="AC1035" s="201"/>
      <c r="AD1035" s="197"/>
      <c r="AE1035" s="197"/>
      <c r="AF1035" s="197"/>
      <c r="AG1035" s="197"/>
      <c r="AH1035" s="197"/>
      <c r="AI1035" s="197"/>
      <c r="AJ1035" s="197"/>
      <c r="AK1035" s="197"/>
      <c r="AL1035" s="197"/>
      <c r="AM1035" s="197"/>
      <c r="AN1035" s="197"/>
      <c r="AO1035" s="197"/>
      <c r="AP1035" s="197"/>
      <c r="AQ1035" s="197"/>
      <c r="AR1035" s="197"/>
      <c r="AS1035" s="197"/>
      <c r="AT1035" s="197"/>
      <c r="AU1035" s="197"/>
      <c r="AV1035" s="197"/>
      <c r="AW1035" s="197"/>
    </row>
    <row r="1036" spans="28:49" s="196" customFormat="1">
      <c r="AB1036" s="201"/>
      <c r="AC1036" s="201"/>
      <c r="AD1036" s="197"/>
      <c r="AE1036" s="197"/>
      <c r="AF1036" s="197"/>
      <c r="AG1036" s="197"/>
      <c r="AH1036" s="197"/>
      <c r="AI1036" s="197"/>
      <c r="AJ1036" s="197"/>
      <c r="AK1036" s="197"/>
      <c r="AL1036" s="197"/>
      <c r="AM1036" s="197"/>
      <c r="AN1036" s="197"/>
      <c r="AO1036" s="197"/>
      <c r="AP1036" s="197"/>
      <c r="AQ1036" s="197"/>
      <c r="AR1036" s="197"/>
      <c r="AS1036" s="197"/>
      <c r="AT1036" s="197"/>
      <c r="AU1036" s="197"/>
      <c r="AV1036" s="197"/>
      <c r="AW1036" s="197"/>
    </row>
    <row r="1037" spans="28:49" s="196" customFormat="1">
      <c r="AB1037" s="201"/>
      <c r="AC1037" s="201"/>
      <c r="AD1037" s="197"/>
      <c r="AE1037" s="197"/>
      <c r="AF1037" s="197"/>
      <c r="AG1037" s="197"/>
      <c r="AH1037" s="197"/>
      <c r="AI1037" s="197"/>
      <c r="AJ1037" s="197"/>
      <c r="AK1037" s="197"/>
      <c r="AL1037" s="197"/>
      <c r="AM1037" s="197"/>
      <c r="AN1037" s="197"/>
      <c r="AO1037" s="197"/>
      <c r="AP1037" s="197"/>
      <c r="AQ1037" s="197"/>
      <c r="AR1037" s="197"/>
      <c r="AS1037" s="197"/>
      <c r="AT1037" s="197"/>
      <c r="AU1037" s="197"/>
      <c r="AV1037" s="197"/>
      <c r="AW1037" s="197"/>
    </row>
    <row r="1038" spans="28:49" s="196" customFormat="1">
      <c r="AB1038" s="201"/>
      <c r="AC1038" s="201"/>
      <c r="AD1038" s="197"/>
      <c r="AE1038" s="197"/>
      <c r="AF1038" s="197"/>
      <c r="AG1038" s="197"/>
      <c r="AH1038" s="197"/>
      <c r="AI1038" s="197"/>
      <c r="AJ1038" s="197"/>
      <c r="AK1038" s="197"/>
      <c r="AL1038" s="197"/>
      <c r="AM1038" s="197"/>
      <c r="AN1038" s="197"/>
      <c r="AO1038" s="197"/>
      <c r="AP1038" s="197"/>
      <c r="AQ1038" s="197"/>
      <c r="AR1038" s="197"/>
      <c r="AS1038" s="197"/>
      <c r="AT1038" s="197"/>
      <c r="AU1038" s="197"/>
      <c r="AV1038" s="197"/>
      <c r="AW1038" s="197"/>
    </row>
    <row r="1039" spans="28:49" s="196" customFormat="1">
      <c r="AB1039" s="201"/>
      <c r="AC1039" s="201"/>
      <c r="AD1039" s="197"/>
      <c r="AE1039" s="197"/>
      <c r="AF1039" s="197"/>
      <c r="AG1039" s="197"/>
      <c r="AH1039" s="197"/>
      <c r="AI1039" s="197"/>
      <c r="AJ1039" s="197"/>
      <c r="AK1039" s="197"/>
      <c r="AL1039" s="197"/>
      <c r="AM1039" s="197"/>
      <c r="AN1039" s="197"/>
      <c r="AO1039" s="197"/>
      <c r="AP1039" s="197"/>
      <c r="AQ1039" s="197"/>
      <c r="AR1039" s="197"/>
      <c r="AS1039" s="197"/>
      <c r="AT1039" s="197"/>
      <c r="AU1039" s="197"/>
      <c r="AV1039" s="197"/>
      <c r="AW1039" s="197"/>
    </row>
    <row r="1040" spans="28:49" s="196" customFormat="1">
      <c r="AB1040" s="201"/>
      <c r="AC1040" s="201"/>
      <c r="AD1040" s="197"/>
      <c r="AE1040" s="197"/>
      <c r="AF1040" s="197"/>
      <c r="AG1040" s="197"/>
      <c r="AH1040" s="197"/>
      <c r="AI1040" s="197"/>
      <c r="AJ1040" s="197"/>
      <c r="AK1040" s="197"/>
      <c r="AL1040" s="197"/>
      <c r="AM1040" s="197"/>
      <c r="AN1040" s="197"/>
      <c r="AO1040" s="197"/>
      <c r="AP1040" s="197"/>
      <c r="AQ1040" s="197"/>
      <c r="AR1040" s="197"/>
      <c r="AS1040" s="197"/>
      <c r="AT1040" s="197"/>
      <c r="AU1040" s="197"/>
      <c r="AV1040" s="197"/>
      <c r="AW1040" s="197"/>
    </row>
    <row r="1041" spans="28:49" s="196" customFormat="1">
      <c r="AB1041" s="201"/>
      <c r="AC1041" s="201"/>
      <c r="AD1041" s="197"/>
      <c r="AE1041" s="197"/>
      <c r="AF1041" s="197"/>
      <c r="AG1041" s="197"/>
      <c r="AH1041" s="197"/>
      <c r="AI1041" s="197"/>
      <c r="AJ1041" s="197"/>
      <c r="AK1041" s="197"/>
      <c r="AL1041" s="197"/>
      <c r="AM1041" s="197"/>
      <c r="AN1041" s="197"/>
      <c r="AO1041" s="197"/>
      <c r="AP1041" s="197"/>
      <c r="AQ1041" s="197"/>
      <c r="AR1041" s="197"/>
      <c r="AS1041" s="197"/>
      <c r="AT1041" s="197"/>
      <c r="AU1041" s="197"/>
      <c r="AV1041" s="197"/>
      <c r="AW1041" s="197"/>
    </row>
    <row r="1042" spans="28:49" s="196" customFormat="1">
      <c r="AB1042" s="201"/>
      <c r="AC1042" s="201"/>
      <c r="AD1042" s="197"/>
      <c r="AE1042" s="197"/>
      <c r="AF1042" s="197"/>
      <c r="AG1042" s="197"/>
      <c r="AH1042" s="197"/>
      <c r="AI1042" s="197"/>
      <c r="AJ1042" s="197"/>
      <c r="AK1042" s="197"/>
      <c r="AL1042" s="197"/>
      <c r="AM1042" s="197"/>
      <c r="AN1042" s="197"/>
      <c r="AO1042" s="197"/>
      <c r="AP1042" s="197"/>
      <c r="AQ1042" s="197"/>
      <c r="AR1042" s="197"/>
      <c r="AS1042" s="197"/>
      <c r="AT1042" s="197"/>
      <c r="AU1042" s="197"/>
      <c r="AV1042" s="197"/>
      <c r="AW1042" s="197"/>
    </row>
    <row r="1043" spans="28:49" s="196" customFormat="1">
      <c r="AB1043" s="201"/>
      <c r="AC1043" s="201"/>
      <c r="AD1043" s="197"/>
      <c r="AE1043" s="197"/>
      <c r="AF1043" s="197"/>
      <c r="AG1043" s="197"/>
      <c r="AH1043" s="197"/>
      <c r="AI1043" s="197"/>
      <c r="AJ1043" s="197"/>
      <c r="AK1043" s="197"/>
      <c r="AL1043" s="197"/>
      <c r="AM1043" s="197"/>
      <c r="AN1043" s="197"/>
      <c r="AO1043" s="197"/>
      <c r="AP1043" s="197"/>
      <c r="AQ1043" s="197"/>
      <c r="AR1043" s="197"/>
      <c r="AS1043" s="197"/>
      <c r="AT1043" s="197"/>
      <c r="AU1043" s="197"/>
      <c r="AV1043" s="197"/>
      <c r="AW1043" s="197"/>
    </row>
    <row r="1044" spans="28:49" s="196" customFormat="1">
      <c r="AB1044" s="201"/>
      <c r="AC1044" s="201"/>
      <c r="AD1044" s="197"/>
      <c r="AE1044" s="197"/>
      <c r="AF1044" s="197"/>
      <c r="AG1044" s="197"/>
      <c r="AH1044" s="197"/>
      <c r="AI1044" s="197"/>
      <c r="AJ1044" s="197"/>
      <c r="AK1044" s="197"/>
      <c r="AL1044" s="197"/>
      <c r="AM1044" s="197"/>
      <c r="AN1044" s="197"/>
      <c r="AO1044" s="197"/>
      <c r="AP1044" s="197"/>
      <c r="AQ1044" s="197"/>
      <c r="AR1044" s="197"/>
      <c r="AS1044" s="197"/>
      <c r="AT1044" s="197"/>
      <c r="AU1044" s="197"/>
      <c r="AV1044" s="197"/>
      <c r="AW1044" s="197"/>
    </row>
    <row r="1045" spans="28:49" s="196" customFormat="1">
      <c r="AB1045" s="201"/>
      <c r="AC1045" s="201"/>
      <c r="AD1045" s="197"/>
      <c r="AE1045" s="197"/>
      <c r="AF1045" s="197"/>
      <c r="AG1045" s="197"/>
      <c r="AH1045" s="197"/>
      <c r="AI1045" s="197"/>
      <c r="AJ1045" s="197"/>
      <c r="AK1045" s="197"/>
      <c r="AL1045" s="197"/>
      <c r="AM1045" s="197"/>
      <c r="AN1045" s="197"/>
      <c r="AO1045" s="197"/>
      <c r="AP1045" s="197"/>
      <c r="AQ1045" s="197"/>
      <c r="AR1045" s="197"/>
      <c r="AS1045" s="197"/>
      <c r="AT1045" s="197"/>
      <c r="AU1045" s="197"/>
      <c r="AV1045" s="197"/>
      <c r="AW1045" s="197"/>
    </row>
    <row r="1046" spans="28:49" s="196" customFormat="1">
      <c r="AB1046" s="201"/>
      <c r="AC1046" s="201"/>
      <c r="AD1046" s="197"/>
      <c r="AE1046" s="197"/>
      <c r="AF1046" s="197"/>
      <c r="AG1046" s="197"/>
      <c r="AH1046" s="197"/>
      <c r="AI1046" s="197"/>
      <c r="AJ1046" s="197"/>
      <c r="AK1046" s="197"/>
      <c r="AL1046" s="197"/>
      <c r="AM1046" s="197"/>
      <c r="AN1046" s="197"/>
      <c r="AO1046" s="197"/>
      <c r="AP1046" s="197"/>
      <c r="AQ1046" s="197"/>
      <c r="AR1046" s="197"/>
      <c r="AS1046" s="197"/>
      <c r="AT1046" s="197"/>
      <c r="AU1046" s="197"/>
      <c r="AV1046" s="197"/>
      <c r="AW1046" s="197"/>
    </row>
    <row r="1047" spans="28:49" s="196" customFormat="1">
      <c r="AB1047" s="201"/>
      <c r="AC1047" s="201"/>
      <c r="AD1047" s="197"/>
      <c r="AE1047" s="197"/>
      <c r="AF1047" s="197"/>
      <c r="AG1047" s="197"/>
      <c r="AH1047" s="197"/>
      <c r="AI1047" s="197"/>
      <c r="AJ1047" s="197"/>
      <c r="AK1047" s="197"/>
      <c r="AL1047" s="197"/>
      <c r="AM1047" s="197"/>
      <c r="AN1047" s="197"/>
      <c r="AO1047" s="197"/>
      <c r="AP1047" s="197"/>
      <c r="AQ1047" s="197"/>
      <c r="AR1047" s="197"/>
      <c r="AS1047" s="197"/>
      <c r="AT1047" s="197"/>
      <c r="AU1047" s="197"/>
      <c r="AV1047" s="197"/>
      <c r="AW1047" s="197"/>
    </row>
    <row r="1048" spans="28:49" s="196" customFormat="1">
      <c r="AB1048" s="201"/>
      <c r="AC1048" s="201"/>
      <c r="AD1048" s="197"/>
      <c r="AE1048" s="197"/>
      <c r="AF1048" s="197"/>
      <c r="AG1048" s="197"/>
      <c r="AH1048" s="197"/>
      <c r="AI1048" s="197"/>
      <c r="AJ1048" s="197"/>
      <c r="AK1048" s="197"/>
      <c r="AL1048" s="197"/>
      <c r="AM1048" s="197"/>
      <c r="AN1048" s="197"/>
      <c r="AO1048" s="197"/>
      <c r="AP1048" s="197"/>
      <c r="AQ1048" s="197"/>
      <c r="AR1048" s="197"/>
      <c r="AS1048" s="197"/>
      <c r="AT1048" s="197"/>
      <c r="AU1048" s="197"/>
      <c r="AV1048" s="197"/>
      <c r="AW1048" s="197"/>
    </row>
    <row r="1049" spans="28:49" s="196" customFormat="1">
      <c r="AB1049" s="201"/>
      <c r="AC1049" s="201"/>
      <c r="AD1049" s="197"/>
      <c r="AE1049" s="197"/>
      <c r="AF1049" s="197"/>
      <c r="AG1049" s="197"/>
      <c r="AH1049" s="197"/>
      <c r="AI1049" s="197"/>
      <c r="AJ1049" s="197"/>
      <c r="AK1049" s="197"/>
      <c r="AL1049" s="197"/>
      <c r="AM1049" s="197"/>
      <c r="AN1049" s="197"/>
      <c r="AO1049" s="197"/>
      <c r="AP1049" s="197"/>
      <c r="AQ1049" s="197"/>
      <c r="AR1049" s="197"/>
      <c r="AS1049" s="197"/>
      <c r="AT1049" s="197"/>
      <c r="AU1049" s="197"/>
      <c r="AV1049" s="197"/>
      <c r="AW1049" s="197"/>
    </row>
    <row r="1050" spans="28:49" s="196" customFormat="1">
      <c r="AB1050" s="201"/>
      <c r="AC1050" s="201"/>
      <c r="AD1050" s="197"/>
      <c r="AE1050" s="197"/>
      <c r="AF1050" s="197"/>
      <c r="AG1050" s="197"/>
      <c r="AH1050" s="197"/>
      <c r="AI1050" s="197"/>
      <c r="AJ1050" s="197"/>
      <c r="AK1050" s="197"/>
      <c r="AL1050" s="197"/>
      <c r="AM1050" s="197"/>
      <c r="AN1050" s="197"/>
      <c r="AO1050" s="197"/>
      <c r="AP1050" s="197"/>
      <c r="AQ1050" s="197"/>
      <c r="AR1050" s="197"/>
      <c r="AS1050" s="197"/>
      <c r="AT1050" s="197"/>
      <c r="AU1050" s="197"/>
      <c r="AV1050" s="197"/>
      <c r="AW1050" s="197"/>
    </row>
    <row r="1051" spans="28:49" s="196" customFormat="1">
      <c r="AB1051" s="201"/>
      <c r="AC1051" s="201"/>
      <c r="AD1051" s="197"/>
      <c r="AE1051" s="197"/>
      <c r="AF1051" s="197"/>
      <c r="AG1051" s="197"/>
      <c r="AH1051" s="197"/>
      <c r="AI1051" s="197"/>
      <c r="AJ1051" s="197"/>
      <c r="AK1051" s="197"/>
      <c r="AL1051" s="197"/>
      <c r="AM1051" s="197"/>
      <c r="AN1051" s="197"/>
      <c r="AO1051" s="197"/>
      <c r="AP1051" s="197"/>
      <c r="AQ1051" s="197"/>
      <c r="AR1051" s="197"/>
      <c r="AS1051" s="197"/>
      <c r="AT1051" s="197"/>
      <c r="AU1051" s="197"/>
      <c r="AV1051" s="197"/>
      <c r="AW1051" s="197"/>
    </row>
    <row r="1052" spans="28:49" s="196" customFormat="1">
      <c r="AB1052" s="201"/>
      <c r="AC1052" s="201"/>
      <c r="AD1052" s="197"/>
      <c r="AE1052" s="197"/>
      <c r="AF1052" s="197"/>
      <c r="AG1052" s="197"/>
      <c r="AH1052" s="197"/>
      <c r="AI1052" s="197"/>
      <c r="AJ1052" s="197"/>
      <c r="AK1052" s="197"/>
      <c r="AL1052" s="197"/>
      <c r="AM1052" s="197"/>
      <c r="AN1052" s="197"/>
      <c r="AO1052" s="197"/>
      <c r="AP1052" s="197"/>
      <c r="AQ1052" s="197"/>
      <c r="AR1052" s="197"/>
      <c r="AS1052" s="197"/>
      <c r="AT1052" s="197"/>
      <c r="AU1052" s="197"/>
      <c r="AV1052" s="197"/>
      <c r="AW1052" s="197"/>
    </row>
    <row r="1053" spans="28:49" s="196" customFormat="1">
      <c r="AB1053" s="201"/>
      <c r="AC1053" s="201"/>
      <c r="AD1053" s="197"/>
      <c r="AE1053" s="197"/>
      <c r="AF1053" s="197"/>
      <c r="AG1053" s="197"/>
      <c r="AH1053" s="197"/>
      <c r="AI1053" s="197"/>
      <c r="AJ1053" s="197"/>
      <c r="AK1053" s="197"/>
      <c r="AL1053" s="197"/>
      <c r="AM1053" s="197"/>
      <c r="AN1053" s="197"/>
      <c r="AO1053" s="197"/>
      <c r="AP1053" s="197"/>
      <c r="AQ1053" s="197"/>
      <c r="AR1053" s="197"/>
      <c r="AS1053" s="197"/>
      <c r="AT1053" s="197"/>
      <c r="AU1053" s="197"/>
      <c r="AV1053" s="197"/>
      <c r="AW1053" s="197"/>
    </row>
    <row r="1054" spans="28:49" s="196" customFormat="1">
      <c r="AB1054" s="201"/>
      <c r="AC1054" s="201"/>
      <c r="AD1054" s="197"/>
      <c r="AE1054" s="197"/>
      <c r="AF1054" s="197"/>
      <c r="AG1054" s="197"/>
      <c r="AH1054" s="197"/>
      <c r="AI1054" s="197"/>
      <c r="AJ1054" s="197"/>
      <c r="AK1054" s="197"/>
      <c r="AL1054" s="197"/>
      <c r="AM1054" s="197"/>
      <c r="AN1054" s="197"/>
      <c r="AO1054" s="197"/>
      <c r="AP1054" s="197"/>
      <c r="AQ1054" s="197"/>
      <c r="AR1054" s="197"/>
      <c r="AS1054" s="197"/>
      <c r="AT1054" s="197"/>
      <c r="AU1054" s="197"/>
      <c r="AV1054" s="197"/>
      <c r="AW1054" s="197"/>
    </row>
    <row r="1055" spans="28:49" s="196" customFormat="1">
      <c r="AB1055" s="201"/>
      <c r="AC1055" s="201"/>
      <c r="AD1055" s="197"/>
      <c r="AE1055" s="197"/>
      <c r="AF1055" s="197"/>
      <c r="AG1055" s="197"/>
      <c r="AH1055" s="197"/>
      <c r="AI1055" s="197"/>
      <c r="AJ1055" s="197"/>
      <c r="AK1055" s="197"/>
      <c r="AL1055" s="197"/>
      <c r="AM1055" s="197"/>
      <c r="AN1055" s="197"/>
      <c r="AO1055" s="197"/>
      <c r="AP1055" s="197"/>
      <c r="AQ1055" s="197"/>
      <c r="AR1055" s="197"/>
      <c r="AS1055" s="197"/>
      <c r="AT1055" s="197"/>
      <c r="AU1055" s="197"/>
      <c r="AV1055" s="197"/>
      <c r="AW1055" s="197"/>
    </row>
    <row r="1056" spans="28:49" s="196" customFormat="1">
      <c r="AB1056" s="201"/>
      <c r="AC1056" s="201"/>
      <c r="AD1056" s="197"/>
      <c r="AE1056" s="197"/>
      <c r="AF1056" s="197"/>
      <c r="AG1056" s="197"/>
      <c r="AH1056" s="197"/>
      <c r="AI1056" s="197"/>
      <c r="AJ1056" s="197"/>
      <c r="AK1056" s="197"/>
      <c r="AL1056" s="197"/>
      <c r="AM1056" s="197"/>
      <c r="AN1056" s="197"/>
      <c r="AO1056" s="197"/>
      <c r="AP1056" s="197"/>
      <c r="AQ1056" s="197"/>
      <c r="AR1056" s="197"/>
      <c r="AS1056" s="197"/>
      <c r="AT1056" s="197"/>
      <c r="AU1056" s="197"/>
      <c r="AV1056" s="197"/>
      <c r="AW1056" s="197"/>
    </row>
    <row r="1057" spans="28:49" s="196" customFormat="1">
      <c r="AB1057" s="201"/>
      <c r="AC1057" s="201"/>
      <c r="AD1057" s="197"/>
      <c r="AE1057" s="197"/>
      <c r="AF1057" s="197"/>
      <c r="AG1057" s="197"/>
      <c r="AH1057" s="197"/>
      <c r="AI1057" s="197"/>
      <c r="AJ1057" s="197"/>
      <c r="AK1057" s="197"/>
      <c r="AL1057" s="197"/>
      <c r="AM1057" s="197"/>
      <c r="AN1057" s="197"/>
      <c r="AO1057" s="197"/>
      <c r="AP1057" s="197"/>
      <c r="AQ1057" s="197"/>
      <c r="AR1057" s="197"/>
      <c r="AS1057" s="197"/>
      <c r="AT1057" s="197"/>
      <c r="AU1057" s="197"/>
      <c r="AV1057" s="197"/>
      <c r="AW1057" s="197"/>
    </row>
    <row r="1058" spans="28:49" s="196" customFormat="1">
      <c r="AB1058" s="201"/>
      <c r="AC1058" s="201"/>
      <c r="AD1058" s="197"/>
      <c r="AE1058" s="197"/>
      <c r="AF1058" s="197"/>
      <c r="AG1058" s="197"/>
      <c r="AH1058" s="197"/>
      <c r="AI1058" s="197"/>
      <c r="AJ1058" s="197"/>
      <c r="AK1058" s="197"/>
      <c r="AL1058" s="197"/>
      <c r="AM1058" s="197"/>
      <c r="AN1058" s="197"/>
      <c r="AO1058" s="197"/>
      <c r="AP1058" s="197"/>
      <c r="AQ1058" s="197"/>
      <c r="AR1058" s="197"/>
      <c r="AS1058" s="197"/>
      <c r="AT1058" s="197"/>
      <c r="AU1058" s="197"/>
      <c r="AV1058" s="197"/>
      <c r="AW1058" s="197"/>
    </row>
    <row r="1059" spans="28:49" s="196" customFormat="1">
      <c r="AB1059" s="201"/>
      <c r="AC1059" s="201"/>
      <c r="AD1059" s="197"/>
      <c r="AE1059" s="197"/>
      <c r="AF1059" s="197"/>
      <c r="AG1059" s="197"/>
      <c r="AH1059" s="197"/>
      <c r="AI1059" s="197"/>
      <c r="AJ1059" s="197"/>
      <c r="AK1059" s="197"/>
      <c r="AL1059" s="197"/>
      <c r="AM1059" s="197"/>
      <c r="AN1059" s="197"/>
      <c r="AO1059" s="197"/>
      <c r="AP1059" s="197"/>
      <c r="AQ1059" s="197"/>
      <c r="AR1059" s="197"/>
      <c r="AS1059" s="197"/>
      <c r="AT1059" s="197"/>
      <c r="AU1059" s="197"/>
      <c r="AV1059" s="197"/>
      <c r="AW1059" s="197"/>
    </row>
    <row r="1060" spans="28:49" s="196" customFormat="1">
      <c r="AB1060" s="201"/>
      <c r="AC1060" s="201"/>
      <c r="AD1060" s="197"/>
      <c r="AE1060" s="197"/>
      <c r="AF1060" s="197"/>
      <c r="AG1060" s="197"/>
      <c r="AH1060" s="197"/>
      <c r="AI1060" s="197"/>
      <c r="AJ1060" s="197"/>
      <c r="AK1060" s="197"/>
      <c r="AL1060" s="197"/>
      <c r="AM1060" s="197"/>
      <c r="AN1060" s="197"/>
      <c r="AO1060" s="197"/>
      <c r="AP1060" s="197"/>
      <c r="AQ1060" s="197"/>
      <c r="AR1060" s="197"/>
      <c r="AS1060" s="197"/>
      <c r="AT1060" s="197"/>
      <c r="AU1060" s="197"/>
      <c r="AV1060" s="197"/>
      <c r="AW1060" s="197"/>
    </row>
    <row r="1061" spans="28:49" s="196" customFormat="1">
      <c r="AB1061" s="201"/>
      <c r="AC1061" s="201"/>
      <c r="AD1061" s="197"/>
      <c r="AE1061" s="197"/>
      <c r="AF1061" s="197"/>
      <c r="AG1061" s="197"/>
      <c r="AH1061" s="197"/>
      <c r="AI1061" s="197"/>
      <c r="AJ1061" s="197"/>
      <c r="AK1061" s="197"/>
      <c r="AL1061" s="197"/>
      <c r="AM1061" s="197"/>
      <c r="AN1061" s="197"/>
      <c r="AO1061" s="197"/>
      <c r="AP1061" s="197"/>
      <c r="AQ1061" s="197"/>
      <c r="AR1061" s="197"/>
      <c r="AS1061" s="197"/>
      <c r="AT1061" s="197"/>
      <c r="AU1061" s="197"/>
      <c r="AV1061" s="197"/>
      <c r="AW1061" s="197"/>
    </row>
    <row r="1062" spans="28:49" s="196" customFormat="1">
      <c r="AB1062" s="201"/>
      <c r="AC1062" s="201"/>
      <c r="AD1062" s="197"/>
      <c r="AE1062" s="197"/>
      <c r="AF1062" s="197"/>
      <c r="AG1062" s="197"/>
      <c r="AH1062" s="197"/>
      <c r="AI1062" s="197"/>
      <c r="AJ1062" s="197"/>
      <c r="AK1062" s="197"/>
      <c r="AL1062" s="197"/>
      <c r="AM1062" s="197"/>
      <c r="AN1062" s="197"/>
      <c r="AO1062" s="197"/>
      <c r="AP1062" s="197"/>
      <c r="AQ1062" s="197"/>
      <c r="AR1062" s="197"/>
      <c r="AS1062" s="197"/>
      <c r="AT1062" s="197"/>
      <c r="AU1062" s="197"/>
      <c r="AV1062" s="197"/>
      <c r="AW1062" s="197"/>
    </row>
    <row r="1063" spans="28:49" s="196" customFormat="1">
      <c r="AB1063" s="201"/>
      <c r="AC1063" s="201"/>
      <c r="AD1063" s="197"/>
      <c r="AE1063" s="197"/>
      <c r="AF1063" s="197"/>
      <c r="AG1063" s="197"/>
      <c r="AH1063" s="197"/>
      <c r="AI1063" s="197"/>
      <c r="AJ1063" s="197"/>
      <c r="AK1063" s="197"/>
      <c r="AL1063" s="197"/>
      <c r="AM1063" s="197"/>
      <c r="AN1063" s="197"/>
      <c r="AO1063" s="197"/>
      <c r="AP1063" s="197"/>
      <c r="AQ1063" s="197"/>
      <c r="AR1063" s="197"/>
      <c r="AS1063" s="197"/>
      <c r="AT1063" s="197"/>
      <c r="AU1063" s="197"/>
      <c r="AV1063" s="197"/>
      <c r="AW1063" s="197"/>
    </row>
    <row r="1064" spans="28:49" s="196" customFormat="1">
      <c r="AB1064" s="201"/>
      <c r="AC1064" s="201"/>
      <c r="AD1064" s="197"/>
      <c r="AE1064" s="197"/>
      <c r="AF1064" s="197"/>
      <c r="AG1064" s="197"/>
      <c r="AH1064" s="197"/>
      <c r="AI1064" s="197"/>
      <c r="AJ1064" s="197"/>
      <c r="AK1064" s="197"/>
      <c r="AL1064" s="197"/>
      <c r="AM1064" s="197"/>
      <c r="AN1064" s="197"/>
      <c r="AO1064" s="197"/>
      <c r="AP1064" s="197"/>
      <c r="AQ1064" s="197"/>
      <c r="AR1064" s="197"/>
      <c r="AS1064" s="197"/>
      <c r="AT1064" s="197"/>
      <c r="AU1064" s="197"/>
      <c r="AV1064" s="197"/>
      <c r="AW1064" s="197"/>
    </row>
    <row r="1065" spans="28:49" s="196" customFormat="1">
      <c r="AB1065" s="201"/>
      <c r="AC1065" s="201"/>
      <c r="AD1065" s="197"/>
      <c r="AE1065" s="197"/>
      <c r="AF1065" s="197"/>
      <c r="AG1065" s="197"/>
      <c r="AH1065" s="197"/>
      <c r="AI1065" s="197"/>
      <c r="AJ1065" s="197"/>
      <c r="AK1065" s="197"/>
      <c r="AL1065" s="197"/>
      <c r="AM1065" s="197"/>
      <c r="AN1065" s="197"/>
      <c r="AO1065" s="197"/>
      <c r="AP1065" s="197"/>
      <c r="AQ1065" s="197"/>
      <c r="AR1065" s="197"/>
      <c r="AS1065" s="197"/>
      <c r="AT1065" s="197"/>
      <c r="AU1065" s="197"/>
      <c r="AV1065" s="197"/>
      <c r="AW1065" s="197"/>
    </row>
    <row r="1066" spans="28:49" s="196" customFormat="1">
      <c r="AB1066" s="201"/>
      <c r="AC1066" s="201"/>
      <c r="AD1066" s="197"/>
      <c r="AE1066" s="197"/>
      <c r="AF1066" s="197"/>
      <c r="AG1066" s="197"/>
      <c r="AH1066" s="197"/>
      <c r="AI1066" s="197"/>
      <c r="AJ1066" s="197"/>
      <c r="AK1066" s="197"/>
      <c r="AL1066" s="197"/>
      <c r="AM1066" s="197"/>
      <c r="AN1066" s="197"/>
      <c r="AO1066" s="197"/>
      <c r="AP1066" s="197"/>
      <c r="AQ1066" s="197"/>
      <c r="AR1066" s="197"/>
      <c r="AS1066" s="197"/>
      <c r="AT1066" s="197"/>
      <c r="AU1066" s="197"/>
      <c r="AV1066" s="197"/>
      <c r="AW1066" s="197"/>
    </row>
    <row r="1067" spans="28:49" s="196" customFormat="1">
      <c r="AB1067" s="201"/>
      <c r="AC1067" s="201"/>
      <c r="AD1067" s="197"/>
      <c r="AE1067" s="197"/>
      <c r="AF1067" s="197"/>
      <c r="AG1067" s="197"/>
      <c r="AH1067" s="197"/>
      <c r="AI1067" s="197"/>
      <c r="AJ1067" s="197"/>
      <c r="AK1067" s="197"/>
      <c r="AL1067" s="197"/>
      <c r="AM1067" s="197"/>
      <c r="AN1067" s="197"/>
      <c r="AO1067" s="197"/>
      <c r="AP1067" s="197"/>
      <c r="AQ1067" s="197"/>
      <c r="AR1067" s="197"/>
      <c r="AS1067" s="197"/>
      <c r="AT1067" s="197"/>
      <c r="AU1067" s="197"/>
      <c r="AV1067" s="197"/>
      <c r="AW1067" s="197"/>
    </row>
    <row r="1068" spans="28:49" s="196" customFormat="1">
      <c r="AB1068" s="201"/>
      <c r="AC1068" s="201"/>
      <c r="AD1068" s="197"/>
      <c r="AE1068" s="197"/>
      <c r="AF1068" s="197"/>
      <c r="AG1068" s="197"/>
      <c r="AH1068" s="197"/>
      <c r="AI1068" s="197"/>
      <c r="AJ1068" s="197"/>
      <c r="AK1068" s="197"/>
      <c r="AL1068" s="197"/>
      <c r="AM1068" s="197"/>
      <c r="AN1068" s="197"/>
      <c r="AO1068" s="197"/>
      <c r="AP1068" s="197"/>
      <c r="AQ1068" s="197"/>
      <c r="AR1068" s="197"/>
      <c r="AS1068" s="197"/>
      <c r="AT1068" s="197"/>
      <c r="AU1068" s="197"/>
      <c r="AV1068" s="197"/>
      <c r="AW1068" s="197"/>
    </row>
    <row r="1069" spans="28:49" s="196" customFormat="1">
      <c r="AB1069" s="201"/>
      <c r="AC1069" s="201"/>
      <c r="AD1069" s="197"/>
      <c r="AE1069" s="197"/>
      <c r="AF1069" s="197"/>
      <c r="AG1069" s="197"/>
      <c r="AH1069" s="197"/>
      <c r="AI1069" s="197"/>
      <c r="AJ1069" s="197"/>
      <c r="AK1069" s="197"/>
      <c r="AL1069" s="197"/>
      <c r="AM1069" s="197"/>
      <c r="AN1069" s="197"/>
      <c r="AO1069" s="197"/>
      <c r="AP1069" s="197"/>
      <c r="AQ1069" s="197"/>
      <c r="AR1069" s="197"/>
      <c r="AS1069" s="197"/>
      <c r="AT1069" s="197"/>
      <c r="AU1069" s="197"/>
      <c r="AV1069" s="197"/>
      <c r="AW1069" s="197"/>
    </row>
    <row r="1070" spans="28:49" s="196" customFormat="1">
      <c r="AB1070" s="201"/>
      <c r="AC1070" s="201"/>
      <c r="AD1070" s="197"/>
      <c r="AE1070" s="197"/>
      <c r="AF1070" s="197"/>
      <c r="AG1070" s="197"/>
      <c r="AH1070" s="197"/>
      <c r="AI1070" s="197"/>
      <c r="AJ1070" s="197"/>
      <c r="AK1070" s="197"/>
      <c r="AL1070" s="197"/>
      <c r="AM1070" s="197"/>
      <c r="AN1070" s="197"/>
      <c r="AO1070" s="197"/>
      <c r="AP1070" s="197"/>
      <c r="AQ1070" s="197"/>
      <c r="AR1070" s="197"/>
      <c r="AS1070" s="197"/>
      <c r="AT1070" s="197"/>
      <c r="AU1070" s="197"/>
      <c r="AV1070" s="197"/>
      <c r="AW1070" s="197"/>
    </row>
    <row r="1071" spans="28:49" s="196" customFormat="1">
      <c r="AB1071" s="201"/>
      <c r="AC1071" s="201"/>
      <c r="AD1071" s="197"/>
      <c r="AE1071" s="197"/>
      <c r="AF1071" s="197"/>
      <c r="AG1071" s="197"/>
      <c r="AH1071" s="197"/>
      <c r="AI1071" s="197"/>
      <c r="AJ1071" s="197"/>
      <c r="AK1071" s="197"/>
      <c r="AL1071" s="197"/>
      <c r="AM1071" s="197"/>
      <c r="AN1071" s="197"/>
      <c r="AO1071" s="197"/>
      <c r="AP1071" s="197"/>
      <c r="AQ1071" s="197"/>
      <c r="AR1071" s="197"/>
      <c r="AS1071" s="197"/>
      <c r="AT1071" s="197"/>
      <c r="AU1071" s="197"/>
      <c r="AV1071" s="197"/>
      <c r="AW1071" s="197"/>
    </row>
    <row r="1072" spans="28:49" s="196" customFormat="1">
      <c r="AB1072" s="201"/>
      <c r="AC1072" s="201"/>
      <c r="AD1072" s="197"/>
      <c r="AE1072" s="197"/>
      <c r="AF1072" s="197"/>
      <c r="AG1072" s="197"/>
      <c r="AH1072" s="197"/>
      <c r="AI1072" s="197"/>
      <c r="AJ1072" s="197"/>
      <c r="AK1072" s="197"/>
      <c r="AL1072" s="197"/>
      <c r="AM1072" s="197"/>
      <c r="AN1072" s="197"/>
      <c r="AO1072" s="197"/>
      <c r="AP1072" s="197"/>
      <c r="AQ1072" s="197"/>
      <c r="AR1072" s="197"/>
      <c r="AS1072" s="197"/>
      <c r="AT1072" s="197"/>
      <c r="AU1072" s="197"/>
      <c r="AV1072" s="197"/>
      <c r="AW1072" s="197"/>
    </row>
    <row r="1073" spans="28:49" s="196" customFormat="1">
      <c r="AB1073" s="201"/>
      <c r="AC1073" s="201"/>
      <c r="AD1073" s="197"/>
      <c r="AE1073" s="197"/>
      <c r="AF1073" s="197"/>
      <c r="AG1073" s="197"/>
      <c r="AH1073" s="197"/>
      <c r="AI1073" s="197"/>
      <c r="AJ1073" s="197"/>
      <c r="AK1073" s="197"/>
      <c r="AL1073" s="197"/>
      <c r="AM1073" s="197"/>
      <c r="AN1073" s="197"/>
      <c r="AO1073" s="197"/>
      <c r="AP1073" s="197"/>
      <c r="AQ1073" s="197"/>
      <c r="AR1073" s="197"/>
      <c r="AS1073" s="197"/>
      <c r="AT1073" s="197"/>
      <c r="AU1073" s="197"/>
      <c r="AV1073" s="197"/>
      <c r="AW1073" s="197"/>
    </row>
    <row r="1074" spans="28:49" s="196" customFormat="1">
      <c r="AB1074" s="201"/>
      <c r="AC1074" s="201"/>
      <c r="AD1074" s="197"/>
      <c r="AE1074" s="197"/>
      <c r="AF1074" s="197"/>
      <c r="AG1074" s="197"/>
      <c r="AH1074" s="197"/>
      <c r="AI1074" s="197"/>
      <c r="AJ1074" s="197"/>
      <c r="AK1074" s="197"/>
      <c r="AL1074" s="197"/>
      <c r="AM1074" s="197"/>
      <c r="AN1074" s="197"/>
      <c r="AO1074" s="197"/>
      <c r="AP1074" s="197"/>
      <c r="AQ1074" s="197"/>
      <c r="AR1074" s="197"/>
      <c r="AS1074" s="197"/>
      <c r="AT1074" s="197"/>
      <c r="AU1074" s="197"/>
      <c r="AV1074" s="197"/>
      <c r="AW1074" s="197"/>
    </row>
    <row r="1075" spans="28:49" s="196" customFormat="1">
      <c r="AB1075" s="201"/>
      <c r="AC1075" s="201"/>
      <c r="AD1075" s="197"/>
      <c r="AE1075" s="197"/>
      <c r="AF1075" s="197"/>
      <c r="AG1075" s="197"/>
      <c r="AH1075" s="197"/>
      <c r="AI1075" s="197"/>
      <c r="AJ1075" s="197"/>
      <c r="AK1075" s="197"/>
      <c r="AL1075" s="197"/>
      <c r="AM1075" s="197"/>
      <c r="AN1075" s="197"/>
      <c r="AO1075" s="197"/>
      <c r="AP1075" s="197"/>
      <c r="AQ1075" s="197"/>
      <c r="AR1075" s="197"/>
      <c r="AS1075" s="197"/>
      <c r="AT1075" s="197"/>
      <c r="AU1075" s="197"/>
      <c r="AV1075" s="197"/>
      <c r="AW1075" s="197"/>
    </row>
    <row r="1076" spans="28:49" s="196" customFormat="1">
      <c r="AB1076" s="201"/>
      <c r="AC1076" s="201"/>
      <c r="AD1076" s="197"/>
      <c r="AE1076" s="197"/>
      <c r="AF1076" s="197"/>
      <c r="AG1076" s="197"/>
      <c r="AH1076" s="197"/>
      <c r="AI1076" s="197"/>
      <c r="AJ1076" s="197"/>
      <c r="AK1076" s="197"/>
      <c r="AL1076" s="197"/>
      <c r="AM1076" s="197"/>
      <c r="AN1076" s="197"/>
      <c r="AO1076" s="197"/>
      <c r="AP1076" s="197"/>
      <c r="AQ1076" s="197"/>
      <c r="AR1076" s="197"/>
      <c r="AS1076" s="197"/>
      <c r="AT1076" s="197"/>
      <c r="AU1076" s="197"/>
      <c r="AV1076" s="197"/>
      <c r="AW1076" s="197"/>
    </row>
    <row r="1077" spans="28:49" s="196" customFormat="1">
      <c r="AB1077" s="201"/>
      <c r="AC1077" s="201"/>
      <c r="AD1077" s="197"/>
      <c r="AE1077" s="197"/>
      <c r="AF1077" s="197"/>
      <c r="AG1077" s="197"/>
      <c r="AH1077" s="197"/>
      <c r="AI1077" s="197"/>
      <c r="AJ1077" s="197"/>
      <c r="AK1077" s="197"/>
      <c r="AL1077" s="197"/>
      <c r="AM1077" s="197"/>
      <c r="AN1077" s="197"/>
      <c r="AO1077" s="197"/>
      <c r="AP1077" s="197"/>
      <c r="AQ1077" s="197"/>
      <c r="AR1077" s="197"/>
      <c r="AS1077" s="197"/>
      <c r="AT1077" s="197"/>
      <c r="AU1077" s="197"/>
      <c r="AV1077" s="197"/>
      <c r="AW1077" s="197"/>
    </row>
    <row r="1078" spans="28:49" s="196" customFormat="1">
      <c r="AB1078" s="201"/>
      <c r="AC1078" s="201"/>
      <c r="AD1078" s="197"/>
      <c r="AE1078" s="197"/>
      <c r="AF1078" s="197"/>
      <c r="AG1078" s="197"/>
      <c r="AH1078" s="197"/>
      <c r="AI1078" s="197"/>
      <c r="AJ1078" s="197"/>
      <c r="AK1078" s="197"/>
      <c r="AL1078" s="197"/>
      <c r="AM1078" s="197"/>
      <c r="AN1078" s="197"/>
      <c r="AO1078" s="197"/>
      <c r="AP1078" s="197"/>
      <c r="AQ1078" s="197"/>
      <c r="AR1078" s="197"/>
      <c r="AS1078" s="197"/>
      <c r="AT1078" s="197"/>
      <c r="AU1078" s="197"/>
      <c r="AV1078" s="197"/>
      <c r="AW1078" s="197"/>
    </row>
    <row r="1079" spans="28:49" s="196" customFormat="1">
      <c r="AB1079" s="201"/>
      <c r="AC1079" s="201"/>
      <c r="AD1079" s="197"/>
      <c r="AE1079" s="197"/>
      <c r="AF1079" s="197"/>
      <c r="AG1079" s="197"/>
      <c r="AH1079" s="197"/>
      <c r="AI1079" s="197"/>
      <c r="AJ1079" s="197"/>
      <c r="AK1079" s="197"/>
      <c r="AL1079" s="197"/>
      <c r="AM1079" s="197"/>
      <c r="AN1079" s="197"/>
      <c r="AO1079" s="197"/>
      <c r="AP1079" s="197"/>
      <c r="AQ1079" s="197"/>
      <c r="AR1079" s="197"/>
      <c r="AS1079" s="197"/>
      <c r="AT1079" s="197"/>
      <c r="AU1079" s="197"/>
      <c r="AV1079" s="197"/>
      <c r="AW1079" s="197"/>
    </row>
    <row r="1080" spans="28:49" s="196" customFormat="1">
      <c r="AB1080" s="201"/>
      <c r="AC1080" s="201"/>
      <c r="AD1080" s="197"/>
      <c r="AE1080" s="197"/>
      <c r="AF1080" s="197"/>
      <c r="AG1080" s="197"/>
      <c r="AH1080" s="197"/>
      <c r="AI1080" s="197"/>
      <c r="AJ1080" s="197"/>
      <c r="AK1080" s="197"/>
      <c r="AL1080" s="197"/>
      <c r="AM1080" s="197"/>
      <c r="AN1080" s="197"/>
      <c r="AO1080" s="197"/>
      <c r="AP1080" s="197"/>
      <c r="AQ1080" s="197"/>
      <c r="AR1080" s="197"/>
      <c r="AS1080" s="197"/>
      <c r="AT1080" s="197"/>
      <c r="AU1080" s="197"/>
      <c r="AV1080" s="197"/>
      <c r="AW1080" s="197"/>
    </row>
    <row r="1081" spans="28:49" s="196" customFormat="1">
      <c r="AB1081" s="201"/>
      <c r="AC1081" s="201"/>
      <c r="AD1081" s="197"/>
      <c r="AE1081" s="197"/>
      <c r="AF1081" s="197"/>
      <c r="AG1081" s="197"/>
      <c r="AH1081" s="197"/>
      <c r="AI1081" s="197"/>
      <c r="AJ1081" s="197"/>
      <c r="AK1081" s="197"/>
      <c r="AL1081" s="197"/>
      <c r="AM1081" s="197"/>
      <c r="AN1081" s="197"/>
      <c r="AO1081" s="197"/>
      <c r="AP1081" s="197"/>
      <c r="AQ1081" s="197"/>
      <c r="AR1081" s="197"/>
      <c r="AS1081" s="197"/>
      <c r="AT1081" s="197"/>
      <c r="AU1081" s="197"/>
      <c r="AV1081" s="197"/>
      <c r="AW1081" s="197"/>
    </row>
    <row r="1082" spans="28:49" s="196" customFormat="1">
      <c r="AB1082" s="201"/>
      <c r="AC1082" s="201"/>
      <c r="AD1082" s="197"/>
      <c r="AE1082" s="197"/>
      <c r="AF1082" s="197"/>
      <c r="AG1082" s="197"/>
      <c r="AH1082" s="197"/>
      <c r="AI1082" s="197"/>
      <c r="AJ1082" s="197"/>
      <c r="AK1082" s="197"/>
      <c r="AL1082" s="197"/>
      <c r="AM1082" s="197"/>
      <c r="AN1082" s="197"/>
      <c r="AO1082" s="197"/>
      <c r="AP1082" s="197"/>
      <c r="AQ1082" s="197"/>
      <c r="AR1082" s="197"/>
      <c r="AS1082" s="197"/>
      <c r="AT1082" s="197"/>
      <c r="AU1082" s="197"/>
      <c r="AV1082" s="197"/>
      <c r="AW1082" s="197"/>
    </row>
    <row r="1083" spans="28:49" s="196" customFormat="1">
      <c r="AB1083" s="201"/>
      <c r="AC1083" s="201"/>
      <c r="AD1083" s="197"/>
      <c r="AE1083" s="197"/>
      <c r="AF1083" s="197"/>
      <c r="AG1083" s="197"/>
      <c r="AH1083" s="197"/>
      <c r="AI1083" s="197"/>
      <c r="AJ1083" s="197"/>
      <c r="AK1083" s="197"/>
      <c r="AL1083" s="197"/>
      <c r="AM1083" s="197"/>
      <c r="AN1083" s="197"/>
      <c r="AO1083" s="197"/>
      <c r="AP1083" s="197"/>
      <c r="AQ1083" s="197"/>
      <c r="AR1083" s="197"/>
      <c r="AS1083" s="197"/>
      <c r="AT1083" s="197"/>
      <c r="AU1083" s="197"/>
      <c r="AV1083" s="197"/>
      <c r="AW1083" s="197"/>
    </row>
    <row r="1084" spans="28:49" s="196" customFormat="1">
      <c r="AB1084" s="201"/>
      <c r="AC1084" s="201"/>
      <c r="AD1084" s="197"/>
      <c r="AE1084" s="197"/>
      <c r="AF1084" s="197"/>
      <c r="AG1084" s="197"/>
      <c r="AH1084" s="197"/>
      <c r="AI1084" s="197"/>
      <c r="AJ1084" s="197"/>
      <c r="AK1084" s="197"/>
      <c r="AL1084" s="197"/>
      <c r="AM1084" s="197"/>
      <c r="AN1084" s="197"/>
      <c r="AO1084" s="197"/>
      <c r="AP1084" s="197"/>
      <c r="AQ1084" s="197"/>
      <c r="AR1084" s="197"/>
      <c r="AS1084" s="197"/>
      <c r="AT1084" s="197"/>
      <c r="AU1084" s="197"/>
      <c r="AV1084" s="197"/>
      <c r="AW1084" s="197"/>
    </row>
    <row r="1085" spans="28:49" s="196" customFormat="1">
      <c r="AB1085" s="201"/>
      <c r="AC1085" s="201"/>
      <c r="AD1085" s="197"/>
      <c r="AE1085" s="197"/>
      <c r="AF1085" s="197"/>
      <c r="AG1085" s="197"/>
      <c r="AH1085" s="197"/>
      <c r="AI1085" s="197"/>
      <c r="AJ1085" s="197"/>
      <c r="AK1085" s="197"/>
      <c r="AL1085" s="197"/>
      <c r="AM1085" s="197"/>
      <c r="AN1085" s="197"/>
      <c r="AO1085" s="197"/>
      <c r="AP1085" s="197"/>
      <c r="AQ1085" s="197"/>
      <c r="AR1085" s="197"/>
      <c r="AS1085" s="197"/>
      <c r="AT1085" s="197"/>
      <c r="AU1085" s="197"/>
      <c r="AV1085" s="197"/>
      <c r="AW1085" s="197"/>
    </row>
    <row r="1086" spans="28:49" s="196" customFormat="1">
      <c r="AB1086" s="201"/>
      <c r="AC1086" s="201"/>
      <c r="AD1086" s="197"/>
      <c r="AE1086" s="197"/>
      <c r="AF1086" s="197"/>
      <c r="AG1086" s="197"/>
      <c r="AH1086" s="197"/>
      <c r="AI1086" s="197"/>
      <c r="AJ1086" s="197"/>
      <c r="AK1086" s="197"/>
      <c r="AL1086" s="197"/>
      <c r="AM1086" s="197"/>
      <c r="AN1086" s="197"/>
      <c r="AO1086" s="197"/>
      <c r="AP1086" s="197"/>
      <c r="AQ1086" s="197"/>
      <c r="AR1086" s="197"/>
      <c r="AS1086" s="197"/>
      <c r="AT1086" s="197"/>
      <c r="AU1086" s="197"/>
      <c r="AV1086" s="197"/>
      <c r="AW1086" s="197"/>
    </row>
    <row r="1087" spans="28:49" s="196" customFormat="1">
      <c r="AB1087" s="201"/>
      <c r="AC1087" s="201"/>
      <c r="AD1087" s="197"/>
      <c r="AE1087" s="197"/>
      <c r="AF1087" s="197"/>
      <c r="AG1087" s="197"/>
      <c r="AH1087" s="197"/>
      <c r="AI1087" s="197"/>
      <c r="AJ1087" s="197"/>
      <c r="AK1087" s="197"/>
      <c r="AL1087" s="197"/>
      <c r="AM1087" s="197"/>
      <c r="AN1087" s="197"/>
      <c r="AO1087" s="197"/>
      <c r="AP1087" s="197"/>
      <c r="AQ1087" s="197"/>
      <c r="AR1087" s="197"/>
      <c r="AS1087" s="197"/>
      <c r="AT1087" s="197"/>
      <c r="AU1087" s="197"/>
      <c r="AV1087" s="197"/>
      <c r="AW1087" s="197"/>
    </row>
    <row r="1088" spans="28:49" s="196" customFormat="1">
      <c r="AB1088" s="201"/>
      <c r="AC1088" s="201"/>
      <c r="AD1088" s="197"/>
      <c r="AE1088" s="197"/>
      <c r="AF1088" s="197"/>
      <c r="AG1088" s="197"/>
      <c r="AH1088" s="197"/>
      <c r="AI1088" s="197"/>
      <c r="AJ1088" s="197"/>
      <c r="AK1088" s="197"/>
      <c r="AL1088" s="197"/>
      <c r="AM1088" s="197"/>
      <c r="AN1088" s="197"/>
      <c r="AO1088" s="197"/>
      <c r="AP1088" s="197"/>
      <c r="AQ1088" s="197"/>
      <c r="AR1088" s="197"/>
      <c r="AS1088" s="197"/>
      <c r="AT1088" s="197"/>
      <c r="AU1088" s="197"/>
      <c r="AV1088" s="197"/>
      <c r="AW1088" s="197"/>
    </row>
    <row r="1089" spans="28:49" s="196" customFormat="1">
      <c r="AB1089" s="201"/>
      <c r="AC1089" s="201"/>
      <c r="AD1089" s="197"/>
      <c r="AE1089" s="197"/>
      <c r="AF1089" s="197"/>
      <c r="AG1089" s="197"/>
      <c r="AH1089" s="197"/>
      <c r="AI1089" s="197"/>
      <c r="AJ1089" s="197"/>
      <c r="AK1089" s="197"/>
      <c r="AL1089" s="197"/>
      <c r="AM1089" s="197"/>
      <c r="AN1089" s="197"/>
      <c r="AO1089" s="197"/>
      <c r="AP1089" s="197"/>
      <c r="AQ1089" s="197"/>
      <c r="AR1089" s="197"/>
      <c r="AS1089" s="197"/>
      <c r="AT1089" s="197"/>
      <c r="AU1089" s="197"/>
      <c r="AV1089" s="197"/>
      <c r="AW1089" s="197"/>
    </row>
    <row r="1090" spans="28:49" s="196" customFormat="1">
      <c r="AB1090" s="201"/>
      <c r="AC1090" s="201"/>
      <c r="AD1090" s="197"/>
      <c r="AE1090" s="197"/>
      <c r="AF1090" s="197"/>
      <c r="AG1090" s="197"/>
      <c r="AH1090" s="197"/>
      <c r="AI1090" s="197"/>
      <c r="AJ1090" s="197"/>
      <c r="AK1090" s="197"/>
      <c r="AL1090" s="197"/>
      <c r="AM1090" s="197"/>
      <c r="AN1090" s="197"/>
      <c r="AO1090" s="197"/>
      <c r="AP1090" s="197"/>
      <c r="AQ1090" s="197"/>
      <c r="AR1090" s="197"/>
      <c r="AS1090" s="197"/>
      <c r="AT1090" s="197"/>
      <c r="AU1090" s="197"/>
      <c r="AV1090" s="197"/>
      <c r="AW1090" s="197"/>
    </row>
    <row r="1091" spans="28:49" s="196" customFormat="1">
      <c r="AB1091" s="201"/>
      <c r="AC1091" s="201"/>
      <c r="AD1091" s="197"/>
      <c r="AE1091" s="197"/>
      <c r="AF1091" s="197"/>
      <c r="AG1091" s="197"/>
      <c r="AH1091" s="197"/>
      <c r="AI1091" s="197"/>
      <c r="AJ1091" s="197"/>
      <c r="AK1091" s="197"/>
      <c r="AL1091" s="197"/>
      <c r="AM1091" s="197"/>
      <c r="AN1091" s="197"/>
      <c r="AO1091" s="197"/>
      <c r="AP1091" s="197"/>
      <c r="AQ1091" s="197"/>
      <c r="AR1091" s="197"/>
      <c r="AS1091" s="197"/>
      <c r="AT1091" s="197"/>
      <c r="AU1091" s="197"/>
      <c r="AV1091" s="197"/>
      <c r="AW1091" s="197"/>
    </row>
    <row r="1092" spans="28:49" s="196" customFormat="1">
      <c r="AB1092" s="201"/>
      <c r="AC1092" s="201"/>
      <c r="AD1092" s="197"/>
      <c r="AE1092" s="197"/>
      <c r="AF1092" s="197"/>
      <c r="AG1092" s="197"/>
      <c r="AH1092" s="197"/>
      <c r="AI1092" s="197"/>
      <c r="AJ1092" s="197"/>
      <c r="AK1092" s="197"/>
      <c r="AL1092" s="197"/>
      <c r="AM1092" s="197"/>
      <c r="AN1092" s="197"/>
      <c r="AO1092" s="197"/>
      <c r="AP1092" s="197"/>
      <c r="AQ1092" s="197"/>
      <c r="AR1092" s="197"/>
      <c r="AS1092" s="197"/>
      <c r="AT1092" s="197"/>
      <c r="AU1092" s="197"/>
      <c r="AV1092" s="197"/>
      <c r="AW1092" s="197"/>
    </row>
    <row r="1093" spans="28:49" s="196" customFormat="1">
      <c r="AB1093" s="201"/>
      <c r="AC1093" s="201"/>
      <c r="AD1093" s="197"/>
      <c r="AE1093" s="197"/>
      <c r="AF1093" s="197"/>
      <c r="AG1093" s="197"/>
      <c r="AH1093" s="197"/>
      <c r="AI1093" s="197"/>
      <c r="AJ1093" s="197"/>
      <c r="AK1093" s="197"/>
      <c r="AL1093" s="197"/>
      <c r="AM1093" s="197"/>
      <c r="AN1093" s="197"/>
      <c r="AO1093" s="197"/>
      <c r="AP1093" s="197"/>
      <c r="AQ1093" s="197"/>
      <c r="AR1093" s="197"/>
      <c r="AS1093" s="197"/>
      <c r="AT1093" s="197"/>
      <c r="AU1093" s="197"/>
      <c r="AV1093" s="197"/>
      <c r="AW1093" s="197"/>
    </row>
    <row r="1094" spans="28:49" s="196" customFormat="1">
      <c r="AB1094" s="201"/>
      <c r="AC1094" s="201"/>
      <c r="AD1094" s="197"/>
      <c r="AE1094" s="197"/>
      <c r="AF1094" s="197"/>
      <c r="AG1094" s="197"/>
      <c r="AH1094" s="197"/>
      <c r="AI1094" s="197"/>
      <c r="AJ1094" s="197"/>
      <c r="AK1094" s="197"/>
      <c r="AL1094" s="197"/>
      <c r="AM1094" s="197"/>
      <c r="AN1094" s="197"/>
      <c r="AO1094" s="197"/>
      <c r="AP1094" s="197"/>
      <c r="AQ1094" s="197"/>
      <c r="AR1094" s="197"/>
      <c r="AS1094" s="197"/>
      <c r="AT1094" s="197"/>
      <c r="AU1094" s="197"/>
      <c r="AV1094" s="197"/>
      <c r="AW1094" s="197"/>
    </row>
    <row r="1095" spans="28:49" s="196" customFormat="1">
      <c r="AB1095" s="201"/>
      <c r="AC1095" s="201"/>
      <c r="AD1095" s="197"/>
      <c r="AE1095" s="197"/>
      <c r="AF1095" s="197"/>
      <c r="AG1095" s="197"/>
      <c r="AH1095" s="197"/>
      <c r="AI1095" s="197"/>
      <c r="AJ1095" s="197"/>
      <c r="AK1095" s="197"/>
      <c r="AL1095" s="197"/>
      <c r="AM1095" s="197"/>
      <c r="AN1095" s="197"/>
      <c r="AO1095" s="197"/>
      <c r="AP1095" s="197"/>
      <c r="AQ1095" s="197"/>
      <c r="AR1095" s="197"/>
      <c r="AS1095" s="197"/>
      <c r="AT1095" s="197"/>
      <c r="AU1095" s="197"/>
      <c r="AV1095" s="197"/>
      <c r="AW1095" s="197"/>
    </row>
    <row r="1096" spans="28:49" s="196" customFormat="1">
      <c r="AB1096" s="201"/>
      <c r="AC1096" s="201"/>
      <c r="AD1096" s="197"/>
      <c r="AE1096" s="197"/>
      <c r="AF1096" s="197"/>
      <c r="AG1096" s="197"/>
      <c r="AH1096" s="197"/>
      <c r="AI1096" s="197"/>
      <c r="AJ1096" s="197"/>
      <c r="AK1096" s="197"/>
      <c r="AL1096" s="197"/>
      <c r="AM1096" s="197"/>
      <c r="AN1096" s="197"/>
      <c r="AO1096" s="197"/>
      <c r="AP1096" s="197"/>
      <c r="AQ1096" s="197"/>
      <c r="AR1096" s="197"/>
      <c r="AS1096" s="197"/>
      <c r="AT1096" s="197"/>
      <c r="AU1096" s="197"/>
      <c r="AV1096" s="197"/>
      <c r="AW1096" s="197"/>
    </row>
    <row r="1097" spans="28:49" s="196" customFormat="1">
      <c r="AB1097" s="201"/>
      <c r="AC1097" s="201"/>
      <c r="AD1097" s="197"/>
      <c r="AE1097" s="197"/>
      <c r="AF1097" s="197"/>
      <c r="AG1097" s="197"/>
      <c r="AH1097" s="197"/>
      <c r="AI1097" s="197"/>
      <c r="AJ1097" s="197"/>
      <c r="AK1097" s="197"/>
      <c r="AL1097" s="197"/>
      <c r="AM1097" s="197"/>
      <c r="AN1097" s="197"/>
      <c r="AO1097" s="197"/>
      <c r="AP1097" s="197"/>
      <c r="AQ1097" s="197"/>
      <c r="AR1097" s="197"/>
      <c r="AS1097" s="197"/>
      <c r="AT1097" s="197"/>
      <c r="AU1097" s="197"/>
      <c r="AV1097" s="197"/>
      <c r="AW1097" s="197"/>
    </row>
    <row r="1098" spans="28:49" s="196" customFormat="1">
      <c r="AB1098" s="201"/>
      <c r="AC1098" s="201"/>
      <c r="AD1098" s="197"/>
      <c r="AE1098" s="197"/>
      <c r="AF1098" s="197"/>
      <c r="AG1098" s="197"/>
      <c r="AH1098" s="197"/>
      <c r="AI1098" s="197"/>
      <c r="AJ1098" s="197"/>
      <c r="AK1098" s="197"/>
      <c r="AL1098" s="197"/>
      <c r="AM1098" s="197"/>
      <c r="AN1098" s="197"/>
      <c r="AO1098" s="197"/>
      <c r="AP1098" s="197"/>
      <c r="AQ1098" s="197"/>
      <c r="AR1098" s="197"/>
      <c r="AS1098" s="197"/>
      <c r="AT1098" s="197"/>
      <c r="AU1098" s="197"/>
      <c r="AV1098" s="197"/>
      <c r="AW1098" s="197"/>
    </row>
    <row r="1099" spans="28:49" s="196" customFormat="1">
      <c r="AB1099" s="201"/>
      <c r="AC1099" s="201"/>
      <c r="AD1099" s="197"/>
      <c r="AE1099" s="197"/>
      <c r="AF1099" s="197"/>
      <c r="AG1099" s="197"/>
      <c r="AH1099" s="197"/>
      <c r="AI1099" s="197"/>
      <c r="AJ1099" s="197"/>
      <c r="AK1099" s="197"/>
      <c r="AL1099" s="197"/>
      <c r="AM1099" s="197"/>
      <c r="AN1099" s="197"/>
      <c r="AO1099" s="197"/>
      <c r="AP1099" s="197"/>
      <c r="AQ1099" s="197"/>
      <c r="AR1099" s="197"/>
      <c r="AS1099" s="197"/>
      <c r="AT1099" s="197"/>
      <c r="AU1099" s="197"/>
      <c r="AV1099" s="197"/>
      <c r="AW1099" s="197"/>
    </row>
    <row r="1100" spans="28:49" s="196" customFormat="1">
      <c r="AB1100" s="201"/>
      <c r="AC1100" s="201"/>
      <c r="AD1100" s="197"/>
      <c r="AE1100" s="197"/>
      <c r="AF1100" s="197"/>
      <c r="AG1100" s="197"/>
      <c r="AH1100" s="197"/>
      <c r="AI1100" s="197"/>
      <c r="AJ1100" s="197"/>
      <c r="AK1100" s="197"/>
      <c r="AL1100" s="197"/>
      <c r="AM1100" s="197"/>
      <c r="AN1100" s="197"/>
      <c r="AO1100" s="197"/>
      <c r="AP1100" s="197"/>
      <c r="AQ1100" s="197"/>
      <c r="AR1100" s="197"/>
      <c r="AS1100" s="197"/>
      <c r="AT1100" s="197"/>
      <c r="AU1100" s="197"/>
      <c r="AV1100" s="197"/>
      <c r="AW1100" s="197"/>
    </row>
    <row r="1101" spans="28:49" s="196" customFormat="1">
      <c r="AB1101" s="201"/>
      <c r="AC1101" s="201"/>
      <c r="AD1101" s="197"/>
      <c r="AE1101" s="197"/>
      <c r="AF1101" s="197"/>
      <c r="AG1101" s="197"/>
      <c r="AH1101" s="197"/>
      <c r="AI1101" s="197"/>
      <c r="AJ1101" s="197"/>
      <c r="AK1101" s="197"/>
      <c r="AL1101" s="197"/>
      <c r="AM1101" s="197"/>
      <c r="AN1101" s="197"/>
      <c r="AO1101" s="197"/>
      <c r="AP1101" s="197"/>
      <c r="AQ1101" s="197"/>
      <c r="AR1101" s="197"/>
      <c r="AS1101" s="197"/>
      <c r="AT1101" s="197"/>
      <c r="AU1101" s="197"/>
      <c r="AV1101" s="197"/>
      <c r="AW1101" s="197"/>
    </row>
    <row r="1102" spans="28:49" s="196" customFormat="1">
      <c r="AB1102" s="201"/>
      <c r="AC1102" s="201"/>
      <c r="AD1102" s="197"/>
      <c r="AE1102" s="197"/>
      <c r="AF1102" s="197"/>
      <c r="AG1102" s="197"/>
      <c r="AH1102" s="197"/>
      <c r="AI1102" s="197"/>
      <c r="AJ1102" s="197"/>
      <c r="AK1102" s="197"/>
      <c r="AL1102" s="197"/>
      <c r="AM1102" s="197"/>
      <c r="AN1102" s="197"/>
      <c r="AO1102" s="197"/>
      <c r="AP1102" s="197"/>
      <c r="AQ1102" s="197"/>
      <c r="AR1102" s="197"/>
      <c r="AS1102" s="197"/>
      <c r="AT1102" s="197"/>
      <c r="AU1102" s="197"/>
      <c r="AV1102" s="197"/>
      <c r="AW1102" s="197"/>
    </row>
    <row r="1103" spans="28:49" s="196" customFormat="1">
      <c r="AB1103" s="201"/>
      <c r="AC1103" s="201"/>
      <c r="AD1103" s="197"/>
      <c r="AE1103" s="197"/>
      <c r="AF1103" s="197"/>
      <c r="AG1103" s="197"/>
      <c r="AH1103" s="197"/>
      <c r="AI1103" s="197"/>
      <c r="AJ1103" s="197"/>
      <c r="AK1103" s="197"/>
      <c r="AL1103" s="197"/>
      <c r="AM1103" s="197"/>
      <c r="AN1103" s="197"/>
      <c r="AO1103" s="197"/>
      <c r="AP1103" s="197"/>
      <c r="AQ1103" s="197"/>
      <c r="AR1103" s="197"/>
      <c r="AS1103" s="197"/>
      <c r="AT1103" s="197"/>
      <c r="AU1103" s="197"/>
      <c r="AV1103" s="197"/>
      <c r="AW1103" s="197"/>
    </row>
    <row r="1104" spans="28:49" s="196" customFormat="1">
      <c r="AB1104" s="201"/>
      <c r="AC1104" s="201"/>
      <c r="AD1104" s="197"/>
      <c r="AE1104" s="197"/>
      <c r="AF1104" s="197"/>
      <c r="AG1104" s="197"/>
      <c r="AH1104" s="197"/>
      <c r="AI1104" s="197"/>
      <c r="AJ1104" s="197"/>
      <c r="AK1104" s="197"/>
      <c r="AL1104" s="197"/>
      <c r="AM1104" s="197"/>
      <c r="AN1104" s="197"/>
      <c r="AO1104" s="197"/>
      <c r="AP1104" s="197"/>
      <c r="AQ1104" s="197"/>
      <c r="AR1104" s="197"/>
      <c r="AS1104" s="197"/>
      <c r="AT1104" s="197"/>
      <c r="AU1104" s="197"/>
      <c r="AV1104" s="197"/>
      <c r="AW1104" s="197"/>
    </row>
    <row r="1105" spans="28:49" s="196" customFormat="1">
      <c r="AB1105" s="201"/>
      <c r="AC1105" s="201"/>
      <c r="AD1105" s="197"/>
      <c r="AE1105" s="197"/>
      <c r="AF1105" s="197"/>
      <c r="AG1105" s="197"/>
      <c r="AH1105" s="197"/>
      <c r="AI1105" s="197"/>
      <c r="AJ1105" s="197"/>
      <c r="AK1105" s="197"/>
      <c r="AL1105" s="197"/>
      <c r="AM1105" s="197"/>
      <c r="AN1105" s="197"/>
      <c r="AO1105" s="197"/>
      <c r="AP1105" s="197"/>
      <c r="AQ1105" s="197"/>
      <c r="AR1105" s="197"/>
      <c r="AS1105" s="197"/>
      <c r="AT1105" s="197"/>
      <c r="AU1105" s="197"/>
      <c r="AV1105" s="197"/>
      <c r="AW1105" s="197"/>
    </row>
    <row r="1106" spans="28:49" s="196" customFormat="1">
      <c r="AB1106" s="201"/>
      <c r="AC1106" s="201"/>
      <c r="AD1106" s="197"/>
      <c r="AE1106" s="197"/>
      <c r="AF1106" s="197"/>
      <c r="AG1106" s="197"/>
      <c r="AH1106" s="197"/>
      <c r="AI1106" s="197"/>
      <c r="AJ1106" s="197"/>
      <c r="AK1106" s="197"/>
      <c r="AL1106" s="197"/>
      <c r="AM1106" s="197"/>
      <c r="AN1106" s="197"/>
      <c r="AO1106" s="197"/>
      <c r="AP1106" s="197"/>
      <c r="AQ1106" s="197"/>
      <c r="AR1106" s="197"/>
      <c r="AS1106" s="197"/>
      <c r="AT1106" s="197"/>
      <c r="AU1106" s="197"/>
      <c r="AV1106" s="197"/>
      <c r="AW1106" s="197"/>
    </row>
    <row r="1107" spans="28:49" s="196" customFormat="1">
      <c r="AB1107" s="201"/>
      <c r="AC1107" s="201"/>
      <c r="AD1107" s="197"/>
      <c r="AE1107" s="197"/>
      <c r="AF1107" s="197"/>
      <c r="AG1107" s="197"/>
      <c r="AH1107" s="197"/>
      <c r="AI1107" s="197"/>
      <c r="AJ1107" s="197"/>
      <c r="AK1107" s="197"/>
      <c r="AL1107" s="197"/>
      <c r="AM1107" s="197"/>
      <c r="AN1107" s="197"/>
      <c r="AO1107" s="197"/>
      <c r="AP1107" s="197"/>
      <c r="AQ1107" s="197"/>
      <c r="AR1107" s="197"/>
      <c r="AS1107" s="197"/>
      <c r="AT1107" s="197"/>
      <c r="AU1107" s="197"/>
      <c r="AV1107" s="197"/>
      <c r="AW1107" s="197"/>
    </row>
    <row r="1108" spans="28:49" s="196" customFormat="1">
      <c r="AB1108" s="201"/>
      <c r="AC1108" s="201"/>
      <c r="AD1108" s="197"/>
      <c r="AE1108" s="197"/>
      <c r="AF1108" s="197"/>
      <c r="AG1108" s="197"/>
      <c r="AH1108" s="197"/>
      <c r="AI1108" s="197"/>
      <c r="AJ1108" s="197"/>
      <c r="AK1108" s="197"/>
      <c r="AL1108" s="197"/>
      <c r="AM1108" s="197"/>
      <c r="AN1108" s="197"/>
      <c r="AO1108" s="197"/>
      <c r="AP1108" s="197"/>
      <c r="AQ1108" s="197"/>
      <c r="AR1108" s="197"/>
      <c r="AS1108" s="197"/>
      <c r="AT1108" s="197"/>
      <c r="AU1108" s="197"/>
      <c r="AV1108" s="197"/>
      <c r="AW1108" s="197"/>
    </row>
    <row r="1109" spans="28:49" s="196" customFormat="1">
      <c r="AB1109" s="201"/>
      <c r="AC1109" s="201"/>
      <c r="AD1109" s="197"/>
      <c r="AE1109" s="197"/>
      <c r="AF1109" s="197"/>
      <c r="AG1109" s="197"/>
      <c r="AH1109" s="197"/>
      <c r="AI1109" s="197"/>
      <c r="AJ1109" s="197"/>
      <c r="AK1109" s="197"/>
      <c r="AL1109" s="197"/>
      <c r="AM1109" s="197"/>
      <c r="AN1109" s="197"/>
      <c r="AO1109" s="197"/>
      <c r="AP1109" s="197"/>
      <c r="AQ1109" s="197"/>
      <c r="AR1109" s="197"/>
      <c r="AS1109" s="197"/>
      <c r="AT1109" s="197"/>
      <c r="AU1109" s="197"/>
      <c r="AV1109" s="197"/>
      <c r="AW1109" s="197"/>
    </row>
    <row r="1110" spans="28:49" s="196" customFormat="1">
      <c r="AB1110" s="201"/>
      <c r="AC1110" s="201"/>
      <c r="AD1110" s="197"/>
      <c r="AE1110" s="197"/>
      <c r="AF1110" s="197"/>
      <c r="AG1110" s="197"/>
      <c r="AH1110" s="197"/>
      <c r="AI1110" s="197"/>
      <c r="AJ1110" s="197"/>
      <c r="AK1110" s="197"/>
      <c r="AL1110" s="197"/>
      <c r="AM1110" s="197"/>
      <c r="AN1110" s="197"/>
      <c r="AO1110" s="197"/>
      <c r="AP1110" s="197"/>
      <c r="AQ1110" s="197"/>
      <c r="AR1110" s="197"/>
      <c r="AS1110" s="197"/>
      <c r="AT1110" s="197"/>
      <c r="AU1110" s="197"/>
      <c r="AV1110" s="197"/>
      <c r="AW1110" s="197"/>
    </row>
    <row r="1111" spans="28:49" s="196" customFormat="1">
      <c r="AB1111" s="201"/>
      <c r="AC1111" s="201"/>
      <c r="AD1111" s="197"/>
      <c r="AE1111" s="197"/>
      <c r="AF1111" s="197"/>
      <c r="AG1111" s="197"/>
      <c r="AH1111" s="197"/>
      <c r="AI1111" s="197"/>
      <c r="AJ1111" s="197"/>
      <c r="AK1111" s="197"/>
      <c r="AL1111" s="197"/>
      <c r="AM1111" s="197"/>
      <c r="AN1111" s="197"/>
      <c r="AO1111" s="197"/>
      <c r="AP1111" s="197"/>
      <c r="AQ1111" s="197"/>
      <c r="AR1111" s="197"/>
      <c r="AS1111" s="197"/>
      <c r="AT1111" s="197"/>
      <c r="AU1111" s="197"/>
      <c r="AV1111" s="197"/>
      <c r="AW1111" s="197"/>
    </row>
    <row r="1112" spans="28:49" s="196" customFormat="1">
      <c r="AB1112" s="201"/>
      <c r="AC1112" s="201"/>
      <c r="AD1112" s="197"/>
      <c r="AE1112" s="197"/>
      <c r="AF1112" s="197"/>
      <c r="AG1112" s="197"/>
      <c r="AH1112" s="197"/>
      <c r="AI1112" s="197"/>
      <c r="AJ1112" s="197"/>
      <c r="AK1112" s="197"/>
      <c r="AL1112" s="197"/>
      <c r="AM1112" s="197"/>
      <c r="AN1112" s="197"/>
      <c r="AO1112" s="197"/>
      <c r="AP1112" s="197"/>
      <c r="AQ1112" s="197"/>
      <c r="AR1112" s="197"/>
      <c r="AS1112" s="197"/>
      <c r="AT1112" s="197"/>
      <c r="AU1112" s="197"/>
      <c r="AV1112" s="197"/>
      <c r="AW1112" s="197"/>
    </row>
    <row r="1113" spans="28:49" s="196" customFormat="1">
      <c r="AB1113" s="201"/>
      <c r="AC1113" s="201"/>
      <c r="AD1113" s="197"/>
      <c r="AE1113" s="197"/>
      <c r="AF1113" s="197"/>
      <c r="AG1113" s="197"/>
      <c r="AH1113" s="197"/>
      <c r="AI1113" s="197"/>
      <c r="AJ1113" s="197"/>
      <c r="AK1113" s="197"/>
      <c r="AL1113" s="197"/>
      <c r="AM1113" s="197"/>
      <c r="AN1113" s="197"/>
      <c r="AO1113" s="197"/>
      <c r="AP1113" s="197"/>
      <c r="AQ1113" s="197"/>
      <c r="AR1113" s="197"/>
      <c r="AS1113" s="197"/>
      <c r="AT1113" s="197"/>
      <c r="AU1113" s="197"/>
      <c r="AV1113" s="197"/>
      <c r="AW1113" s="197"/>
    </row>
    <row r="1114" spans="28:49" s="196" customFormat="1">
      <c r="AB1114" s="201"/>
      <c r="AC1114" s="201"/>
      <c r="AD1114" s="197"/>
      <c r="AE1114" s="197"/>
      <c r="AF1114" s="197"/>
      <c r="AG1114" s="197"/>
      <c r="AH1114" s="197"/>
      <c r="AI1114" s="197"/>
      <c r="AJ1114" s="197"/>
      <c r="AK1114" s="197"/>
      <c r="AL1114" s="197"/>
      <c r="AM1114" s="197"/>
      <c r="AN1114" s="197"/>
      <c r="AO1114" s="197"/>
      <c r="AP1114" s="197"/>
      <c r="AQ1114" s="197"/>
      <c r="AR1114" s="197"/>
      <c r="AS1114" s="197"/>
      <c r="AT1114" s="197"/>
      <c r="AU1114" s="197"/>
      <c r="AV1114" s="197"/>
      <c r="AW1114" s="197"/>
    </row>
    <row r="1115" spans="28:49" s="196" customFormat="1">
      <c r="AB1115" s="201"/>
      <c r="AC1115" s="201"/>
      <c r="AD1115" s="197"/>
      <c r="AE1115" s="197"/>
      <c r="AF1115" s="197"/>
      <c r="AG1115" s="197"/>
      <c r="AH1115" s="197"/>
      <c r="AI1115" s="197"/>
      <c r="AJ1115" s="197"/>
      <c r="AK1115" s="197"/>
      <c r="AL1115" s="197"/>
      <c r="AM1115" s="197"/>
      <c r="AN1115" s="197"/>
      <c r="AO1115" s="197"/>
      <c r="AP1115" s="197"/>
      <c r="AQ1115" s="197"/>
      <c r="AR1115" s="197"/>
      <c r="AS1115" s="197"/>
      <c r="AT1115" s="197"/>
      <c r="AU1115" s="197"/>
      <c r="AV1115" s="197"/>
      <c r="AW1115" s="197"/>
    </row>
    <row r="1116" spans="28:49" s="196" customFormat="1">
      <c r="AB1116" s="201"/>
      <c r="AC1116" s="201"/>
      <c r="AD1116" s="197"/>
      <c r="AE1116" s="197"/>
      <c r="AF1116" s="197"/>
      <c r="AG1116" s="197"/>
      <c r="AH1116" s="197"/>
      <c r="AI1116" s="197"/>
      <c r="AJ1116" s="197"/>
      <c r="AK1116" s="197"/>
      <c r="AL1116" s="197"/>
      <c r="AM1116" s="197"/>
      <c r="AN1116" s="197"/>
      <c r="AO1116" s="197"/>
      <c r="AP1116" s="197"/>
      <c r="AQ1116" s="197"/>
      <c r="AR1116" s="197"/>
      <c r="AS1116" s="197"/>
      <c r="AT1116" s="197"/>
      <c r="AU1116" s="197"/>
      <c r="AV1116" s="197"/>
      <c r="AW1116" s="197"/>
    </row>
    <row r="1117" spans="28:49" s="196" customFormat="1">
      <c r="AB1117" s="201"/>
      <c r="AC1117" s="201"/>
      <c r="AD1117" s="197"/>
      <c r="AE1117" s="197"/>
      <c r="AF1117" s="197"/>
      <c r="AG1117" s="197"/>
      <c r="AH1117" s="197"/>
      <c r="AI1117" s="197"/>
      <c r="AJ1117" s="197"/>
      <c r="AK1117" s="197"/>
      <c r="AL1117" s="197"/>
      <c r="AM1117" s="197"/>
      <c r="AN1117" s="197"/>
      <c r="AO1117" s="197"/>
      <c r="AP1117" s="197"/>
      <c r="AQ1117" s="197"/>
      <c r="AR1117" s="197"/>
      <c r="AS1117" s="197"/>
      <c r="AT1117" s="197"/>
      <c r="AU1117" s="197"/>
      <c r="AV1117" s="197"/>
      <c r="AW1117" s="197"/>
    </row>
    <row r="1118" spans="28:49" s="196" customFormat="1">
      <c r="AB1118" s="201"/>
      <c r="AC1118" s="201"/>
      <c r="AD1118" s="197"/>
      <c r="AE1118" s="197"/>
      <c r="AF1118" s="197"/>
      <c r="AG1118" s="197"/>
      <c r="AH1118" s="197"/>
      <c r="AI1118" s="197"/>
      <c r="AJ1118" s="197"/>
      <c r="AK1118" s="197"/>
      <c r="AL1118" s="197"/>
      <c r="AM1118" s="197"/>
      <c r="AN1118" s="197"/>
      <c r="AO1118" s="197"/>
      <c r="AP1118" s="197"/>
      <c r="AQ1118" s="197"/>
      <c r="AR1118" s="197"/>
      <c r="AS1118" s="197"/>
      <c r="AT1118" s="197"/>
      <c r="AU1118" s="197"/>
      <c r="AV1118" s="197"/>
      <c r="AW1118" s="197"/>
    </row>
    <row r="1119" spans="28:49" s="196" customFormat="1">
      <c r="AB1119" s="201"/>
      <c r="AC1119" s="201"/>
      <c r="AD1119" s="197"/>
      <c r="AE1119" s="197"/>
      <c r="AF1119" s="197"/>
      <c r="AG1119" s="197"/>
      <c r="AH1119" s="197"/>
      <c r="AI1119" s="197"/>
      <c r="AJ1119" s="197"/>
      <c r="AK1119" s="197"/>
      <c r="AL1119" s="197"/>
      <c r="AM1119" s="197"/>
      <c r="AN1119" s="197"/>
      <c r="AO1119" s="197"/>
      <c r="AP1119" s="197"/>
      <c r="AQ1119" s="197"/>
      <c r="AR1119" s="197"/>
      <c r="AS1119" s="197"/>
      <c r="AT1119" s="197"/>
      <c r="AU1119" s="197"/>
      <c r="AV1119" s="197"/>
      <c r="AW1119" s="197"/>
    </row>
    <row r="1120" spans="28:49" s="196" customFormat="1">
      <c r="AB1120" s="201"/>
      <c r="AC1120" s="201"/>
      <c r="AD1120" s="197"/>
      <c r="AE1120" s="197"/>
      <c r="AF1120" s="197"/>
      <c r="AG1120" s="197"/>
      <c r="AH1120" s="197"/>
      <c r="AI1120" s="197"/>
      <c r="AJ1120" s="197"/>
      <c r="AK1120" s="197"/>
      <c r="AL1120" s="197"/>
      <c r="AM1120" s="197"/>
      <c r="AN1120" s="197"/>
      <c r="AO1120" s="197"/>
      <c r="AP1120" s="197"/>
      <c r="AQ1120" s="197"/>
      <c r="AR1120" s="197"/>
      <c r="AS1120" s="197"/>
      <c r="AT1120" s="197"/>
      <c r="AU1120" s="197"/>
      <c r="AV1120" s="197"/>
      <c r="AW1120" s="197"/>
    </row>
    <row r="1121" spans="28:49" s="196" customFormat="1">
      <c r="AB1121" s="201"/>
      <c r="AC1121" s="201"/>
      <c r="AD1121" s="197"/>
      <c r="AE1121" s="197"/>
      <c r="AF1121" s="197"/>
      <c r="AG1121" s="197"/>
      <c r="AH1121" s="197"/>
      <c r="AI1121" s="197"/>
      <c r="AJ1121" s="197"/>
      <c r="AK1121" s="197"/>
      <c r="AL1121" s="197"/>
      <c r="AM1121" s="197"/>
      <c r="AN1121" s="197"/>
      <c r="AO1121" s="197"/>
      <c r="AP1121" s="197"/>
      <c r="AQ1121" s="197"/>
      <c r="AR1121" s="197"/>
      <c r="AS1121" s="197"/>
      <c r="AT1121" s="197"/>
      <c r="AU1121" s="197"/>
      <c r="AV1121" s="197"/>
      <c r="AW1121" s="197"/>
    </row>
    <row r="1122" spans="28:49" s="196" customFormat="1">
      <c r="AB1122" s="201"/>
      <c r="AC1122" s="201"/>
      <c r="AD1122" s="197"/>
      <c r="AE1122" s="197"/>
      <c r="AF1122" s="197"/>
      <c r="AG1122" s="197"/>
      <c r="AH1122" s="197"/>
      <c r="AI1122" s="197"/>
      <c r="AJ1122" s="197"/>
      <c r="AK1122" s="197"/>
      <c r="AL1122" s="197"/>
      <c r="AM1122" s="197"/>
      <c r="AN1122" s="197"/>
      <c r="AO1122" s="197"/>
      <c r="AP1122" s="197"/>
      <c r="AQ1122" s="197"/>
      <c r="AR1122" s="197"/>
      <c r="AS1122" s="197"/>
      <c r="AT1122" s="197"/>
      <c r="AU1122" s="197"/>
      <c r="AV1122" s="197"/>
      <c r="AW1122" s="197"/>
    </row>
    <row r="1123" spans="28:49" s="196" customFormat="1">
      <c r="AB1123" s="201"/>
      <c r="AC1123" s="201"/>
      <c r="AD1123" s="197"/>
      <c r="AE1123" s="197"/>
      <c r="AF1123" s="197"/>
      <c r="AG1123" s="197"/>
      <c r="AH1123" s="197"/>
      <c r="AI1123" s="197"/>
      <c r="AJ1123" s="197"/>
      <c r="AK1123" s="197"/>
      <c r="AL1123" s="197"/>
      <c r="AM1123" s="197"/>
      <c r="AN1123" s="197"/>
      <c r="AO1123" s="197"/>
      <c r="AP1123" s="197"/>
      <c r="AQ1123" s="197"/>
      <c r="AR1123" s="197"/>
      <c r="AS1123" s="197"/>
      <c r="AT1123" s="197"/>
      <c r="AU1123" s="197"/>
      <c r="AV1123" s="197"/>
      <c r="AW1123" s="197"/>
    </row>
    <row r="1124" spans="28:49" s="196" customFormat="1">
      <c r="AB1124" s="201"/>
      <c r="AC1124" s="201"/>
      <c r="AD1124" s="197"/>
      <c r="AE1124" s="197"/>
      <c r="AF1124" s="197"/>
      <c r="AG1124" s="197"/>
      <c r="AH1124" s="197"/>
      <c r="AI1124" s="197"/>
      <c r="AJ1124" s="197"/>
      <c r="AK1124" s="197"/>
      <c r="AL1124" s="197"/>
      <c r="AM1124" s="197"/>
      <c r="AN1124" s="197"/>
      <c r="AO1124" s="197"/>
      <c r="AP1124" s="197"/>
      <c r="AQ1124" s="197"/>
      <c r="AR1124" s="197"/>
      <c r="AS1124" s="197"/>
      <c r="AT1124" s="197"/>
      <c r="AU1124" s="197"/>
      <c r="AV1124" s="197"/>
      <c r="AW1124" s="197"/>
    </row>
    <row r="1125" spans="28:49" s="196" customFormat="1">
      <c r="AB1125" s="201"/>
      <c r="AC1125" s="201"/>
      <c r="AD1125" s="197"/>
      <c r="AE1125" s="197"/>
      <c r="AF1125" s="197"/>
      <c r="AG1125" s="197"/>
      <c r="AH1125" s="197"/>
      <c r="AI1125" s="197"/>
      <c r="AJ1125" s="197"/>
      <c r="AK1125" s="197"/>
      <c r="AL1125" s="197"/>
      <c r="AM1125" s="197"/>
      <c r="AN1125" s="197"/>
      <c r="AO1125" s="197"/>
      <c r="AP1125" s="197"/>
      <c r="AQ1125" s="197"/>
      <c r="AR1125" s="197"/>
      <c r="AS1125" s="197"/>
      <c r="AT1125" s="197"/>
      <c r="AU1125" s="197"/>
      <c r="AV1125" s="197"/>
      <c r="AW1125" s="197"/>
    </row>
    <row r="1126" spans="28:49" s="196" customFormat="1">
      <c r="AB1126" s="201"/>
      <c r="AC1126" s="201"/>
      <c r="AD1126" s="197"/>
      <c r="AE1126" s="197"/>
      <c r="AF1126" s="197"/>
      <c r="AG1126" s="197"/>
      <c r="AH1126" s="197"/>
      <c r="AI1126" s="197"/>
      <c r="AJ1126" s="197"/>
      <c r="AK1126" s="197"/>
      <c r="AL1126" s="197"/>
      <c r="AM1126" s="197"/>
      <c r="AN1126" s="197"/>
      <c r="AO1126" s="197"/>
      <c r="AP1126" s="197"/>
      <c r="AQ1126" s="197"/>
      <c r="AR1126" s="197"/>
      <c r="AS1126" s="197"/>
      <c r="AT1126" s="197"/>
      <c r="AU1126" s="197"/>
      <c r="AV1126" s="197"/>
      <c r="AW1126" s="197"/>
    </row>
    <row r="1127" spans="28:49" s="196" customFormat="1">
      <c r="AB1127" s="201"/>
      <c r="AC1127" s="201"/>
      <c r="AD1127" s="197"/>
      <c r="AE1127" s="197"/>
      <c r="AF1127" s="197"/>
      <c r="AG1127" s="197"/>
      <c r="AH1127" s="197"/>
      <c r="AI1127" s="197"/>
      <c r="AJ1127" s="197"/>
      <c r="AK1127" s="197"/>
      <c r="AL1127" s="197"/>
      <c r="AM1127" s="197"/>
      <c r="AN1127" s="197"/>
      <c r="AO1127" s="197"/>
      <c r="AP1127" s="197"/>
      <c r="AQ1127" s="197"/>
      <c r="AR1127" s="197"/>
      <c r="AS1127" s="197"/>
      <c r="AT1127" s="197"/>
      <c r="AU1127" s="197"/>
      <c r="AV1127" s="197"/>
      <c r="AW1127" s="197"/>
    </row>
    <row r="1128" spans="28:49" s="196" customFormat="1">
      <c r="AB1128" s="201"/>
      <c r="AC1128" s="201"/>
      <c r="AD1128" s="197"/>
      <c r="AE1128" s="197"/>
      <c r="AF1128" s="197"/>
      <c r="AG1128" s="197"/>
      <c r="AH1128" s="197"/>
      <c r="AI1128" s="197"/>
      <c r="AJ1128" s="197"/>
      <c r="AK1128" s="197"/>
      <c r="AL1128" s="197"/>
      <c r="AM1128" s="197"/>
      <c r="AN1128" s="197"/>
      <c r="AO1128" s="197"/>
      <c r="AP1128" s="197"/>
      <c r="AQ1128" s="197"/>
      <c r="AR1128" s="197"/>
      <c r="AS1128" s="197"/>
      <c r="AT1128" s="197"/>
      <c r="AU1128" s="197"/>
      <c r="AV1128" s="197"/>
      <c r="AW1128" s="197"/>
    </row>
    <row r="1129" spans="28:49" s="196" customFormat="1">
      <c r="AB1129" s="201"/>
      <c r="AC1129" s="201"/>
      <c r="AD1129" s="197"/>
      <c r="AE1129" s="197"/>
      <c r="AF1129" s="197"/>
      <c r="AG1129" s="197"/>
      <c r="AH1129" s="197"/>
      <c r="AI1129" s="197"/>
      <c r="AJ1129" s="197"/>
      <c r="AK1129" s="197"/>
      <c r="AL1129" s="197"/>
      <c r="AM1129" s="197"/>
      <c r="AN1129" s="197"/>
      <c r="AO1129" s="197"/>
      <c r="AP1129" s="197"/>
      <c r="AQ1129" s="197"/>
      <c r="AR1129" s="197"/>
      <c r="AS1129" s="197"/>
      <c r="AT1129" s="197"/>
      <c r="AU1129" s="197"/>
      <c r="AV1129" s="197"/>
      <c r="AW1129" s="197"/>
    </row>
    <row r="1130" spans="28:49" s="196" customFormat="1">
      <c r="AB1130" s="201"/>
      <c r="AC1130" s="201"/>
      <c r="AD1130" s="197"/>
      <c r="AE1130" s="197"/>
      <c r="AF1130" s="197"/>
      <c r="AG1130" s="197"/>
      <c r="AH1130" s="197"/>
      <c r="AI1130" s="197"/>
      <c r="AJ1130" s="197"/>
      <c r="AK1130" s="197"/>
      <c r="AL1130" s="197"/>
      <c r="AM1130" s="197"/>
      <c r="AN1130" s="197"/>
      <c r="AO1130" s="197"/>
      <c r="AP1130" s="197"/>
      <c r="AQ1130" s="197"/>
      <c r="AR1130" s="197"/>
      <c r="AS1130" s="197"/>
      <c r="AT1130" s="197"/>
      <c r="AU1130" s="197"/>
      <c r="AV1130" s="197"/>
      <c r="AW1130" s="197"/>
    </row>
    <row r="1131" spans="28:49" s="196" customFormat="1">
      <c r="AB1131" s="201"/>
      <c r="AC1131" s="201"/>
      <c r="AD1131" s="197"/>
      <c r="AE1131" s="197"/>
      <c r="AF1131" s="197"/>
      <c r="AG1131" s="197"/>
      <c r="AH1131" s="197"/>
      <c r="AI1131" s="197"/>
      <c r="AJ1131" s="197"/>
      <c r="AK1131" s="197"/>
      <c r="AL1131" s="197"/>
      <c r="AM1131" s="197"/>
      <c r="AN1131" s="197"/>
      <c r="AO1131" s="197"/>
      <c r="AP1131" s="197"/>
      <c r="AQ1131" s="197"/>
      <c r="AR1131" s="197"/>
      <c r="AS1131" s="197"/>
      <c r="AT1131" s="197"/>
      <c r="AU1131" s="197"/>
      <c r="AV1131" s="197"/>
      <c r="AW1131" s="197"/>
    </row>
    <row r="1132" spans="28:49" s="196" customFormat="1">
      <c r="AB1132" s="201"/>
      <c r="AC1132" s="201"/>
      <c r="AD1132" s="197"/>
      <c r="AE1132" s="197"/>
      <c r="AF1132" s="197"/>
      <c r="AG1132" s="197"/>
      <c r="AH1132" s="197"/>
      <c r="AI1132" s="197"/>
      <c r="AJ1132" s="197"/>
      <c r="AK1132" s="197"/>
      <c r="AL1132" s="197"/>
      <c r="AM1132" s="197"/>
      <c r="AN1132" s="197"/>
      <c r="AO1132" s="197"/>
      <c r="AP1132" s="197"/>
      <c r="AQ1132" s="197"/>
      <c r="AR1132" s="197"/>
      <c r="AS1132" s="197"/>
      <c r="AT1132" s="197"/>
      <c r="AU1132" s="197"/>
      <c r="AV1132" s="197"/>
      <c r="AW1132" s="197"/>
    </row>
    <row r="1133" spans="28:49" s="196" customFormat="1">
      <c r="AB1133" s="201"/>
      <c r="AC1133" s="201"/>
      <c r="AD1133" s="197"/>
      <c r="AE1133" s="197"/>
      <c r="AF1133" s="197"/>
      <c r="AG1133" s="197"/>
      <c r="AH1133" s="197"/>
      <c r="AI1133" s="197"/>
      <c r="AJ1133" s="197"/>
      <c r="AK1133" s="197"/>
      <c r="AL1133" s="197"/>
      <c r="AM1133" s="197"/>
      <c r="AN1133" s="197"/>
      <c r="AO1133" s="197"/>
      <c r="AP1133" s="197"/>
      <c r="AQ1133" s="197"/>
      <c r="AR1133" s="197"/>
      <c r="AS1133" s="197"/>
      <c r="AT1133" s="197"/>
      <c r="AU1133" s="197"/>
      <c r="AV1133" s="197"/>
      <c r="AW1133" s="197"/>
    </row>
    <row r="1134" spans="28:49" s="196" customFormat="1">
      <c r="AB1134" s="201"/>
      <c r="AC1134" s="201"/>
      <c r="AD1134" s="197"/>
      <c r="AE1134" s="197"/>
      <c r="AF1134" s="197"/>
      <c r="AG1134" s="197"/>
      <c r="AH1134" s="197"/>
      <c r="AI1134" s="197"/>
      <c r="AJ1134" s="197"/>
      <c r="AK1134" s="197"/>
      <c r="AL1134" s="197"/>
      <c r="AM1134" s="197"/>
      <c r="AN1134" s="197"/>
      <c r="AO1134" s="197"/>
      <c r="AP1134" s="197"/>
      <c r="AQ1134" s="197"/>
      <c r="AR1134" s="197"/>
      <c r="AS1134" s="197"/>
      <c r="AT1134" s="197"/>
      <c r="AU1134" s="197"/>
      <c r="AV1134" s="197"/>
      <c r="AW1134" s="197"/>
    </row>
    <row r="1135" spans="28:49" s="196" customFormat="1">
      <c r="AB1135" s="201"/>
      <c r="AC1135" s="201"/>
      <c r="AD1135" s="197"/>
      <c r="AE1135" s="197"/>
      <c r="AF1135" s="197"/>
      <c r="AG1135" s="197"/>
      <c r="AH1135" s="197"/>
      <c r="AI1135" s="197"/>
      <c r="AJ1135" s="197"/>
      <c r="AK1135" s="197"/>
      <c r="AL1135" s="197"/>
      <c r="AM1135" s="197"/>
      <c r="AN1135" s="197"/>
      <c r="AO1135" s="197"/>
      <c r="AP1135" s="197"/>
      <c r="AQ1135" s="197"/>
      <c r="AR1135" s="197"/>
      <c r="AS1135" s="197"/>
      <c r="AT1135" s="197"/>
      <c r="AU1135" s="197"/>
      <c r="AV1135" s="197"/>
      <c r="AW1135" s="197"/>
    </row>
    <row r="1136" spans="28:49" s="196" customFormat="1">
      <c r="AB1136" s="201"/>
      <c r="AC1136" s="201"/>
      <c r="AD1136" s="197"/>
      <c r="AE1136" s="197"/>
      <c r="AF1136" s="197"/>
      <c r="AG1136" s="197"/>
      <c r="AH1136" s="197"/>
      <c r="AI1136" s="197"/>
      <c r="AJ1136" s="197"/>
      <c r="AK1136" s="197"/>
      <c r="AL1136" s="197"/>
      <c r="AM1136" s="197"/>
      <c r="AN1136" s="197"/>
      <c r="AO1136" s="197"/>
      <c r="AP1136" s="197"/>
      <c r="AQ1136" s="197"/>
      <c r="AR1136" s="197"/>
      <c r="AS1136" s="197"/>
      <c r="AT1136" s="197"/>
      <c r="AU1136" s="197"/>
      <c r="AV1136" s="197"/>
      <c r="AW1136" s="197"/>
    </row>
    <row r="1137" spans="28:49" s="196" customFormat="1">
      <c r="AB1137" s="201"/>
      <c r="AC1137" s="201"/>
      <c r="AD1137" s="197"/>
      <c r="AE1137" s="197"/>
      <c r="AF1137" s="197"/>
      <c r="AG1137" s="197"/>
      <c r="AH1137" s="197"/>
      <c r="AI1137" s="197"/>
      <c r="AJ1137" s="197"/>
      <c r="AK1137" s="197"/>
      <c r="AL1137" s="197"/>
      <c r="AM1137" s="197"/>
      <c r="AN1137" s="197"/>
      <c r="AO1137" s="197"/>
      <c r="AP1137" s="197"/>
      <c r="AQ1137" s="197"/>
      <c r="AR1137" s="197"/>
      <c r="AS1137" s="197"/>
      <c r="AT1137" s="197"/>
      <c r="AU1137" s="197"/>
      <c r="AV1137" s="197"/>
      <c r="AW1137" s="197"/>
    </row>
    <row r="1138" spans="28:49" s="196" customFormat="1">
      <c r="AB1138" s="201"/>
      <c r="AC1138" s="201"/>
      <c r="AD1138" s="197"/>
      <c r="AE1138" s="197"/>
      <c r="AF1138" s="197"/>
      <c r="AG1138" s="197"/>
      <c r="AH1138" s="197"/>
      <c r="AI1138" s="197"/>
      <c r="AJ1138" s="197"/>
      <c r="AK1138" s="197"/>
      <c r="AL1138" s="197"/>
      <c r="AM1138" s="197"/>
      <c r="AN1138" s="197"/>
      <c r="AO1138" s="197"/>
      <c r="AP1138" s="197"/>
      <c r="AQ1138" s="197"/>
      <c r="AR1138" s="197"/>
      <c r="AS1138" s="197"/>
      <c r="AT1138" s="197"/>
      <c r="AU1138" s="197"/>
      <c r="AV1138" s="197"/>
      <c r="AW1138" s="197"/>
    </row>
    <row r="1139" spans="28:49" s="196" customFormat="1">
      <c r="AB1139" s="201"/>
      <c r="AC1139" s="201"/>
      <c r="AD1139" s="197"/>
      <c r="AE1139" s="197"/>
      <c r="AF1139" s="197"/>
      <c r="AG1139" s="197"/>
      <c r="AH1139" s="197"/>
      <c r="AI1139" s="197"/>
      <c r="AJ1139" s="197"/>
      <c r="AK1139" s="197"/>
      <c r="AL1139" s="197"/>
      <c r="AM1139" s="197"/>
      <c r="AN1139" s="197"/>
      <c r="AO1139" s="197"/>
      <c r="AP1139" s="197"/>
      <c r="AQ1139" s="197"/>
      <c r="AR1139" s="197"/>
      <c r="AS1139" s="197"/>
      <c r="AT1139" s="197"/>
      <c r="AU1139" s="197"/>
      <c r="AV1139" s="197"/>
      <c r="AW1139" s="197"/>
    </row>
    <row r="1140" spans="28:49" s="196" customFormat="1">
      <c r="AB1140" s="201"/>
      <c r="AC1140" s="201"/>
      <c r="AD1140" s="197"/>
      <c r="AE1140" s="197"/>
      <c r="AF1140" s="197"/>
      <c r="AG1140" s="197"/>
      <c r="AH1140" s="197"/>
      <c r="AI1140" s="197"/>
      <c r="AJ1140" s="197"/>
      <c r="AK1140" s="197"/>
      <c r="AL1140" s="197"/>
      <c r="AM1140" s="197"/>
      <c r="AN1140" s="197"/>
      <c r="AO1140" s="197"/>
      <c r="AP1140" s="197"/>
      <c r="AQ1140" s="197"/>
      <c r="AR1140" s="197"/>
      <c r="AS1140" s="197"/>
      <c r="AT1140" s="197"/>
      <c r="AU1140" s="197"/>
      <c r="AV1140" s="197"/>
      <c r="AW1140" s="197"/>
    </row>
    <row r="1141" spans="28:49" s="196" customFormat="1">
      <c r="AB1141" s="201"/>
      <c r="AC1141" s="201"/>
      <c r="AD1141" s="197"/>
      <c r="AE1141" s="197"/>
      <c r="AF1141" s="197"/>
      <c r="AG1141" s="197"/>
      <c r="AH1141" s="197"/>
      <c r="AI1141" s="197"/>
      <c r="AJ1141" s="197"/>
      <c r="AK1141" s="197"/>
      <c r="AL1141" s="197"/>
      <c r="AM1141" s="197"/>
      <c r="AN1141" s="197"/>
      <c r="AO1141" s="197"/>
      <c r="AP1141" s="197"/>
      <c r="AQ1141" s="197"/>
      <c r="AR1141" s="197"/>
      <c r="AS1141" s="197"/>
      <c r="AT1141" s="197"/>
      <c r="AU1141" s="197"/>
      <c r="AV1141" s="197"/>
      <c r="AW1141" s="197"/>
    </row>
    <row r="1142" spans="28:49" s="196" customFormat="1">
      <c r="AB1142" s="201"/>
      <c r="AC1142" s="201"/>
      <c r="AD1142" s="197"/>
      <c r="AE1142" s="197"/>
      <c r="AF1142" s="197"/>
      <c r="AG1142" s="197"/>
      <c r="AH1142" s="197"/>
      <c r="AI1142" s="197"/>
      <c r="AJ1142" s="197"/>
      <c r="AK1142" s="197"/>
      <c r="AL1142" s="197"/>
      <c r="AM1142" s="197"/>
      <c r="AN1142" s="197"/>
      <c r="AO1142" s="197"/>
      <c r="AP1142" s="197"/>
      <c r="AQ1142" s="197"/>
      <c r="AR1142" s="197"/>
      <c r="AS1142" s="197"/>
      <c r="AT1142" s="197"/>
      <c r="AU1142" s="197"/>
      <c r="AV1142" s="197"/>
      <c r="AW1142" s="197"/>
    </row>
    <row r="1143" spans="28:49" s="196" customFormat="1">
      <c r="AB1143" s="201"/>
      <c r="AC1143" s="201"/>
      <c r="AD1143" s="197"/>
      <c r="AE1143" s="197"/>
      <c r="AF1143" s="197"/>
      <c r="AG1143" s="197"/>
      <c r="AH1143" s="197"/>
      <c r="AI1143" s="197"/>
      <c r="AJ1143" s="197"/>
      <c r="AK1143" s="197"/>
      <c r="AL1143" s="197"/>
      <c r="AM1143" s="197"/>
      <c r="AN1143" s="197"/>
      <c r="AO1143" s="197"/>
      <c r="AP1143" s="197"/>
      <c r="AQ1143" s="197"/>
      <c r="AR1143" s="197"/>
      <c r="AS1143" s="197"/>
      <c r="AT1143" s="197"/>
      <c r="AU1143" s="197"/>
      <c r="AV1143" s="197"/>
      <c r="AW1143" s="197"/>
    </row>
    <row r="1144" spans="28:49" s="196" customFormat="1">
      <c r="AB1144" s="201"/>
      <c r="AC1144" s="201"/>
      <c r="AD1144" s="197"/>
      <c r="AE1144" s="197"/>
      <c r="AF1144" s="197"/>
      <c r="AG1144" s="197"/>
      <c r="AH1144" s="197"/>
      <c r="AI1144" s="197"/>
      <c r="AJ1144" s="197"/>
      <c r="AK1144" s="197"/>
      <c r="AL1144" s="197"/>
      <c r="AM1144" s="197"/>
      <c r="AN1144" s="197"/>
      <c r="AO1144" s="197"/>
      <c r="AP1144" s="197"/>
      <c r="AQ1144" s="197"/>
      <c r="AR1144" s="197"/>
      <c r="AS1144" s="197"/>
      <c r="AT1144" s="197"/>
      <c r="AU1144" s="197"/>
      <c r="AV1144" s="197"/>
      <c r="AW1144" s="197"/>
    </row>
    <row r="1145" spans="28:49" s="196" customFormat="1">
      <c r="AB1145" s="201"/>
      <c r="AC1145" s="201"/>
      <c r="AD1145" s="197"/>
      <c r="AE1145" s="197"/>
      <c r="AF1145" s="197"/>
      <c r="AG1145" s="197"/>
      <c r="AH1145" s="197"/>
      <c r="AI1145" s="197"/>
      <c r="AJ1145" s="197"/>
      <c r="AK1145" s="197"/>
      <c r="AL1145" s="197"/>
      <c r="AM1145" s="197"/>
      <c r="AN1145" s="197"/>
      <c r="AO1145" s="197"/>
      <c r="AP1145" s="197"/>
      <c r="AQ1145" s="197"/>
      <c r="AR1145" s="197"/>
      <c r="AS1145" s="197"/>
      <c r="AT1145" s="197"/>
      <c r="AU1145" s="197"/>
      <c r="AV1145" s="197"/>
      <c r="AW1145" s="197"/>
    </row>
    <row r="1146" spans="28:49" s="196" customFormat="1">
      <c r="AB1146" s="201"/>
      <c r="AC1146" s="201"/>
      <c r="AD1146" s="197"/>
      <c r="AE1146" s="197"/>
      <c r="AF1146" s="197"/>
      <c r="AG1146" s="197"/>
      <c r="AH1146" s="197"/>
      <c r="AI1146" s="197"/>
      <c r="AJ1146" s="197"/>
      <c r="AK1146" s="197"/>
      <c r="AL1146" s="197"/>
      <c r="AM1146" s="197"/>
      <c r="AN1146" s="197"/>
      <c r="AO1146" s="197"/>
      <c r="AP1146" s="197"/>
      <c r="AQ1146" s="197"/>
      <c r="AR1146" s="197"/>
      <c r="AS1146" s="197"/>
      <c r="AT1146" s="197"/>
      <c r="AU1146" s="197"/>
      <c r="AV1146" s="197"/>
      <c r="AW1146" s="197"/>
    </row>
    <row r="1147" spans="28:49" s="196" customFormat="1">
      <c r="AB1147" s="201"/>
      <c r="AC1147" s="201"/>
      <c r="AD1147" s="197"/>
      <c r="AE1147" s="197"/>
      <c r="AF1147" s="197"/>
      <c r="AG1147" s="197"/>
      <c r="AH1147" s="197"/>
      <c r="AI1147" s="197"/>
      <c r="AJ1147" s="197"/>
      <c r="AK1147" s="197"/>
      <c r="AL1147" s="197"/>
      <c r="AM1147" s="197"/>
      <c r="AN1147" s="197"/>
      <c r="AO1147" s="197"/>
      <c r="AP1147" s="197"/>
      <c r="AQ1147" s="197"/>
      <c r="AR1147" s="197"/>
      <c r="AS1147" s="197"/>
      <c r="AT1147" s="197"/>
      <c r="AU1147" s="197"/>
      <c r="AV1147" s="197"/>
      <c r="AW1147" s="197"/>
    </row>
    <row r="1148" spans="28:49" s="196" customFormat="1">
      <c r="AB1148" s="201"/>
      <c r="AC1148" s="201"/>
      <c r="AD1148" s="197"/>
      <c r="AE1148" s="197"/>
      <c r="AF1148" s="197"/>
      <c r="AG1148" s="197"/>
      <c r="AH1148" s="197"/>
      <c r="AI1148" s="197"/>
      <c r="AJ1148" s="197"/>
      <c r="AK1148" s="197"/>
      <c r="AL1148" s="197"/>
      <c r="AM1148" s="197"/>
      <c r="AN1148" s="197"/>
      <c r="AO1148" s="197"/>
      <c r="AP1148" s="197"/>
      <c r="AQ1148" s="197"/>
      <c r="AR1148" s="197"/>
      <c r="AS1148" s="197"/>
      <c r="AT1148" s="197"/>
      <c r="AU1148" s="197"/>
      <c r="AV1148" s="197"/>
      <c r="AW1148" s="197"/>
    </row>
    <row r="1149" spans="28:49" s="196" customFormat="1">
      <c r="AB1149" s="201"/>
      <c r="AC1149" s="201"/>
      <c r="AD1149" s="197"/>
      <c r="AE1149" s="197"/>
      <c r="AF1149" s="197"/>
      <c r="AG1149" s="197"/>
      <c r="AH1149" s="197"/>
      <c r="AI1149" s="197"/>
      <c r="AJ1149" s="197"/>
      <c r="AK1149" s="197"/>
      <c r="AL1149" s="197"/>
      <c r="AM1149" s="197"/>
      <c r="AN1149" s="197"/>
      <c r="AO1149" s="197"/>
      <c r="AP1149" s="197"/>
      <c r="AQ1149" s="197"/>
      <c r="AR1149" s="197"/>
      <c r="AS1149" s="197"/>
      <c r="AT1149" s="197"/>
      <c r="AU1149" s="197"/>
      <c r="AV1149" s="197"/>
      <c r="AW1149" s="197"/>
    </row>
    <row r="1150" spans="28:49" s="196" customFormat="1">
      <c r="AB1150" s="201"/>
      <c r="AC1150" s="201"/>
      <c r="AD1150" s="197"/>
      <c r="AE1150" s="197"/>
      <c r="AF1150" s="197"/>
      <c r="AG1150" s="197"/>
      <c r="AH1150" s="197"/>
      <c r="AI1150" s="197"/>
      <c r="AJ1150" s="197"/>
      <c r="AK1150" s="197"/>
      <c r="AL1150" s="197"/>
      <c r="AM1150" s="197"/>
      <c r="AN1150" s="197"/>
      <c r="AO1150" s="197"/>
      <c r="AP1150" s="197"/>
      <c r="AQ1150" s="197"/>
      <c r="AR1150" s="197"/>
      <c r="AS1150" s="197"/>
      <c r="AT1150" s="197"/>
      <c r="AU1150" s="197"/>
      <c r="AV1150" s="197"/>
      <c r="AW1150" s="197"/>
    </row>
    <row r="1151" spans="28:49" s="196" customFormat="1">
      <c r="AB1151" s="201"/>
      <c r="AC1151" s="201"/>
      <c r="AD1151" s="197"/>
      <c r="AE1151" s="197"/>
      <c r="AF1151" s="197"/>
      <c r="AG1151" s="197"/>
      <c r="AH1151" s="197"/>
      <c r="AI1151" s="197"/>
      <c r="AJ1151" s="197"/>
      <c r="AK1151" s="197"/>
      <c r="AL1151" s="197"/>
      <c r="AM1151" s="197"/>
      <c r="AN1151" s="197"/>
      <c r="AO1151" s="197"/>
      <c r="AP1151" s="197"/>
      <c r="AQ1151" s="197"/>
      <c r="AR1151" s="197"/>
      <c r="AS1151" s="197"/>
      <c r="AT1151" s="197"/>
      <c r="AU1151" s="197"/>
      <c r="AV1151" s="197"/>
      <c r="AW1151" s="197"/>
    </row>
    <row r="1152" spans="28:49" s="196" customFormat="1">
      <c r="AB1152" s="201"/>
      <c r="AC1152" s="201"/>
      <c r="AD1152" s="197"/>
      <c r="AE1152" s="197"/>
      <c r="AF1152" s="197"/>
      <c r="AG1152" s="197"/>
      <c r="AH1152" s="197"/>
      <c r="AI1152" s="197"/>
      <c r="AJ1152" s="197"/>
      <c r="AK1152" s="197"/>
      <c r="AL1152" s="197"/>
      <c r="AM1152" s="197"/>
      <c r="AN1152" s="197"/>
      <c r="AO1152" s="197"/>
      <c r="AP1152" s="197"/>
      <c r="AQ1152" s="197"/>
      <c r="AR1152" s="197"/>
      <c r="AS1152" s="197"/>
      <c r="AT1152" s="197"/>
      <c r="AU1152" s="197"/>
      <c r="AV1152" s="197"/>
      <c r="AW1152" s="197"/>
    </row>
    <row r="1153" spans="28:49" s="196" customFormat="1">
      <c r="AB1153" s="201"/>
      <c r="AC1153" s="201"/>
      <c r="AD1153" s="197"/>
      <c r="AE1153" s="197"/>
      <c r="AF1153" s="197"/>
      <c r="AG1153" s="197"/>
      <c r="AH1153" s="197"/>
      <c r="AI1153" s="197"/>
      <c r="AJ1153" s="197"/>
      <c r="AK1153" s="197"/>
      <c r="AL1153" s="197"/>
      <c r="AM1153" s="197"/>
      <c r="AN1153" s="197"/>
      <c r="AO1153" s="197"/>
      <c r="AP1153" s="197"/>
      <c r="AQ1153" s="197"/>
      <c r="AR1153" s="197"/>
      <c r="AS1153" s="197"/>
      <c r="AT1153" s="197"/>
      <c r="AU1153" s="197"/>
      <c r="AV1153" s="197"/>
      <c r="AW1153" s="197"/>
    </row>
    <row r="1154" spans="28:49" s="196" customFormat="1">
      <c r="AB1154" s="201"/>
      <c r="AC1154" s="201"/>
      <c r="AD1154" s="197"/>
      <c r="AE1154" s="197"/>
      <c r="AF1154" s="197"/>
      <c r="AG1154" s="197"/>
      <c r="AH1154" s="197"/>
      <c r="AI1154" s="197"/>
      <c r="AJ1154" s="197"/>
      <c r="AK1154" s="197"/>
      <c r="AL1154" s="197"/>
      <c r="AM1154" s="197"/>
      <c r="AN1154" s="197"/>
      <c r="AO1154" s="197"/>
      <c r="AP1154" s="197"/>
      <c r="AQ1154" s="197"/>
      <c r="AR1154" s="197"/>
      <c r="AS1154" s="197"/>
      <c r="AT1154" s="197"/>
      <c r="AU1154" s="197"/>
      <c r="AV1154" s="197"/>
      <c r="AW1154" s="197"/>
    </row>
    <row r="1155" spans="28:49" s="196" customFormat="1">
      <c r="AB1155" s="201"/>
      <c r="AC1155" s="201"/>
      <c r="AD1155" s="197"/>
      <c r="AE1155" s="197"/>
      <c r="AF1155" s="197"/>
      <c r="AG1155" s="197"/>
      <c r="AH1155" s="197"/>
      <c r="AI1155" s="197"/>
      <c r="AJ1155" s="197"/>
      <c r="AK1155" s="197"/>
      <c r="AL1155" s="197"/>
      <c r="AM1155" s="197"/>
      <c r="AN1155" s="197"/>
      <c r="AO1155" s="197"/>
      <c r="AP1155" s="197"/>
      <c r="AQ1155" s="197"/>
      <c r="AR1155" s="197"/>
      <c r="AS1155" s="197"/>
      <c r="AT1155" s="197"/>
      <c r="AU1155" s="197"/>
      <c r="AV1155" s="197"/>
      <c r="AW1155" s="197"/>
    </row>
    <row r="1156" spans="28:49" s="196" customFormat="1">
      <c r="AB1156" s="201"/>
      <c r="AC1156" s="201"/>
      <c r="AD1156" s="197"/>
      <c r="AE1156" s="197"/>
      <c r="AF1156" s="197"/>
      <c r="AG1156" s="197"/>
      <c r="AH1156" s="197"/>
      <c r="AI1156" s="197"/>
      <c r="AJ1156" s="197"/>
      <c r="AK1156" s="197"/>
      <c r="AL1156" s="197"/>
      <c r="AM1156" s="197"/>
      <c r="AN1156" s="197"/>
      <c r="AO1156" s="197"/>
      <c r="AP1156" s="197"/>
      <c r="AQ1156" s="197"/>
      <c r="AR1156" s="197"/>
      <c r="AS1156" s="197"/>
      <c r="AT1156" s="197"/>
      <c r="AU1156" s="197"/>
      <c r="AV1156" s="197"/>
      <c r="AW1156" s="197"/>
    </row>
    <row r="1157" spans="28:49" s="196" customFormat="1">
      <c r="AB1157" s="201"/>
      <c r="AC1157" s="201"/>
      <c r="AD1157" s="197"/>
      <c r="AE1157" s="197"/>
      <c r="AF1157" s="197"/>
      <c r="AG1157" s="197"/>
      <c r="AH1157" s="197"/>
      <c r="AI1157" s="197"/>
      <c r="AJ1157" s="197"/>
      <c r="AK1157" s="197"/>
      <c r="AL1157" s="197"/>
      <c r="AM1157" s="197"/>
      <c r="AN1157" s="197"/>
      <c r="AO1157" s="197"/>
      <c r="AP1157" s="197"/>
      <c r="AQ1157" s="197"/>
      <c r="AR1157" s="197"/>
      <c r="AS1157" s="197"/>
      <c r="AT1157" s="197"/>
      <c r="AU1157" s="197"/>
      <c r="AV1157" s="197"/>
      <c r="AW1157" s="197"/>
    </row>
    <row r="1158" spans="28:49" s="196" customFormat="1">
      <c r="AB1158" s="201"/>
      <c r="AC1158" s="201"/>
      <c r="AD1158" s="197"/>
      <c r="AE1158" s="197"/>
      <c r="AF1158" s="197"/>
      <c r="AG1158" s="197"/>
      <c r="AH1158" s="197"/>
      <c r="AI1158" s="197"/>
      <c r="AJ1158" s="197"/>
      <c r="AK1158" s="197"/>
      <c r="AL1158" s="197"/>
      <c r="AM1158" s="197"/>
      <c r="AN1158" s="197"/>
      <c r="AO1158" s="197"/>
      <c r="AP1158" s="197"/>
      <c r="AQ1158" s="197"/>
      <c r="AR1158" s="197"/>
      <c r="AS1158" s="197"/>
      <c r="AT1158" s="197"/>
      <c r="AU1158" s="197"/>
      <c r="AV1158" s="197"/>
      <c r="AW1158" s="197"/>
    </row>
    <row r="1159" spans="28:49" s="196" customFormat="1">
      <c r="AB1159" s="201"/>
      <c r="AC1159" s="201"/>
      <c r="AD1159" s="197"/>
      <c r="AE1159" s="197"/>
      <c r="AF1159" s="197"/>
      <c r="AG1159" s="197"/>
      <c r="AH1159" s="197"/>
      <c r="AI1159" s="197"/>
      <c r="AJ1159" s="197"/>
      <c r="AK1159" s="197"/>
      <c r="AL1159" s="197"/>
      <c r="AM1159" s="197"/>
      <c r="AN1159" s="197"/>
      <c r="AO1159" s="197"/>
      <c r="AP1159" s="197"/>
      <c r="AQ1159" s="197"/>
      <c r="AR1159" s="197"/>
      <c r="AS1159" s="197"/>
      <c r="AT1159" s="197"/>
      <c r="AU1159" s="197"/>
      <c r="AV1159" s="197"/>
      <c r="AW1159" s="197"/>
    </row>
    <row r="1160" spans="28:49" s="196" customFormat="1">
      <c r="AB1160" s="201"/>
      <c r="AC1160" s="201"/>
      <c r="AD1160" s="197"/>
      <c r="AE1160" s="197"/>
      <c r="AF1160" s="197"/>
      <c r="AG1160" s="197"/>
      <c r="AH1160" s="197"/>
      <c r="AI1160" s="197"/>
      <c r="AJ1160" s="197"/>
      <c r="AK1160" s="197"/>
      <c r="AL1160" s="197"/>
      <c r="AM1160" s="197"/>
      <c r="AN1160" s="197"/>
      <c r="AO1160" s="197"/>
      <c r="AP1160" s="197"/>
      <c r="AQ1160" s="197"/>
      <c r="AR1160" s="197"/>
      <c r="AS1160" s="197"/>
      <c r="AT1160" s="197"/>
      <c r="AU1160" s="197"/>
      <c r="AV1160" s="197"/>
      <c r="AW1160" s="197"/>
    </row>
    <row r="1161" spans="28:49" s="196" customFormat="1">
      <c r="AB1161" s="201"/>
      <c r="AC1161" s="201"/>
      <c r="AD1161" s="197"/>
      <c r="AE1161" s="197"/>
      <c r="AF1161" s="197"/>
      <c r="AG1161" s="197"/>
      <c r="AH1161" s="197"/>
      <c r="AI1161" s="197"/>
      <c r="AJ1161" s="197"/>
      <c r="AK1161" s="197"/>
      <c r="AL1161" s="197"/>
      <c r="AM1161" s="197"/>
      <c r="AN1161" s="197"/>
      <c r="AO1161" s="197"/>
      <c r="AP1161" s="197"/>
      <c r="AQ1161" s="197"/>
      <c r="AR1161" s="197"/>
      <c r="AS1161" s="197"/>
      <c r="AT1161" s="197"/>
      <c r="AU1161" s="197"/>
      <c r="AV1161" s="197"/>
      <c r="AW1161" s="197"/>
    </row>
    <row r="1162" spans="28:49" s="196" customFormat="1">
      <c r="AB1162" s="201"/>
      <c r="AC1162" s="201"/>
      <c r="AD1162" s="197"/>
      <c r="AE1162" s="197"/>
      <c r="AF1162" s="197"/>
      <c r="AG1162" s="197"/>
      <c r="AH1162" s="197"/>
      <c r="AI1162" s="197"/>
      <c r="AJ1162" s="197"/>
      <c r="AK1162" s="197"/>
      <c r="AL1162" s="197"/>
      <c r="AM1162" s="197"/>
      <c r="AN1162" s="197"/>
      <c r="AO1162" s="197"/>
      <c r="AP1162" s="197"/>
      <c r="AQ1162" s="197"/>
      <c r="AR1162" s="197"/>
      <c r="AS1162" s="197"/>
      <c r="AT1162" s="197"/>
      <c r="AU1162" s="197"/>
      <c r="AV1162" s="197"/>
      <c r="AW1162" s="197"/>
    </row>
    <row r="1163" spans="28:49" s="196" customFormat="1">
      <c r="AB1163" s="201"/>
      <c r="AC1163" s="201"/>
      <c r="AD1163" s="197"/>
      <c r="AE1163" s="197"/>
      <c r="AF1163" s="197"/>
      <c r="AG1163" s="197"/>
      <c r="AH1163" s="197"/>
      <c r="AI1163" s="197"/>
      <c r="AJ1163" s="197"/>
      <c r="AK1163" s="197"/>
      <c r="AL1163" s="197"/>
      <c r="AM1163" s="197"/>
      <c r="AN1163" s="197"/>
      <c r="AO1163" s="197"/>
      <c r="AP1163" s="197"/>
      <c r="AQ1163" s="197"/>
      <c r="AR1163" s="197"/>
      <c r="AS1163" s="197"/>
      <c r="AT1163" s="197"/>
      <c r="AU1163" s="197"/>
      <c r="AV1163" s="197"/>
      <c r="AW1163" s="197"/>
    </row>
    <row r="1164" spans="28:49" s="196" customFormat="1">
      <c r="AB1164" s="201"/>
      <c r="AC1164" s="201"/>
      <c r="AD1164" s="197"/>
      <c r="AE1164" s="197"/>
      <c r="AF1164" s="197"/>
      <c r="AG1164" s="197"/>
      <c r="AH1164" s="197"/>
      <c r="AI1164" s="197"/>
      <c r="AJ1164" s="197"/>
      <c r="AK1164" s="197"/>
      <c r="AL1164" s="197"/>
      <c r="AM1164" s="197"/>
      <c r="AN1164" s="197"/>
      <c r="AO1164" s="197"/>
      <c r="AP1164" s="197"/>
      <c r="AQ1164" s="197"/>
      <c r="AR1164" s="197"/>
      <c r="AS1164" s="197"/>
      <c r="AT1164" s="197"/>
      <c r="AU1164" s="197"/>
      <c r="AV1164" s="197"/>
      <c r="AW1164" s="197"/>
    </row>
    <row r="1165" spans="28:49" s="196" customFormat="1">
      <c r="AB1165" s="201"/>
      <c r="AC1165" s="201"/>
      <c r="AD1165" s="197"/>
      <c r="AE1165" s="197"/>
      <c r="AF1165" s="197"/>
      <c r="AG1165" s="197"/>
      <c r="AH1165" s="197"/>
      <c r="AI1165" s="197"/>
      <c r="AJ1165" s="197"/>
      <c r="AK1165" s="197"/>
      <c r="AL1165" s="197"/>
      <c r="AM1165" s="197"/>
      <c r="AN1165" s="197"/>
      <c r="AO1165" s="197"/>
      <c r="AP1165" s="197"/>
      <c r="AQ1165" s="197"/>
      <c r="AR1165" s="197"/>
      <c r="AS1165" s="197"/>
      <c r="AT1165" s="197"/>
      <c r="AU1165" s="197"/>
      <c r="AV1165" s="197"/>
      <c r="AW1165" s="197"/>
    </row>
    <row r="1166" spans="28:49" s="196" customFormat="1">
      <c r="AB1166" s="201"/>
      <c r="AC1166" s="201"/>
      <c r="AD1166" s="197"/>
      <c r="AE1166" s="197"/>
      <c r="AF1166" s="197"/>
      <c r="AG1166" s="197"/>
      <c r="AH1166" s="197"/>
      <c r="AI1166" s="197"/>
      <c r="AJ1166" s="197"/>
      <c r="AK1166" s="197"/>
      <c r="AL1166" s="197"/>
      <c r="AM1166" s="197"/>
      <c r="AN1166" s="197"/>
      <c r="AO1166" s="197"/>
      <c r="AP1166" s="197"/>
      <c r="AQ1166" s="197"/>
      <c r="AR1166" s="197"/>
      <c r="AS1166" s="197"/>
      <c r="AT1166" s="197"/>
      <c r="AU1166" s="197"/>
      <c r="AV1166" s="197"/>
      <c r="AW1166" s="197"/>
    </row>
    <row r="1167" spans="28:49" s="196" customFormat="1">
      <c r="AB1167" s="201"/>
      <c r="AC1167" s="201"/>
      <c r="AD1167" s="197"/>
      <c r="AE1167" s="197"/>
      <c r="AF1167" s="197"/>
      <c r="AG1167" s="197"/>
      <c r="AH1167" s="197"/>
      <c r="AI1167" s="197"/>
      <c r="AJ1167" s="197"/>
      <c r="AK1167" s="197"/>
      <c r="AL1167" s="197"/>
      <c r="AM1167" s="197"/>
      <c r="AN1167" s="197"/>
      <c r="AO1167" s="197"/>
      <c r="AP1167" s="197"/>
      <c r="AQ1167" s="197"/>
      <c r="AR1167" s="197"/>
      <c r="AS1167" s="197"/>
      <c r="AT1167" s="197"/>
      <c r="AU1167" s="197"/>
      <c r="AV1167" s="197"/>
      <c r="AW1167" s="197"/>
    </row>
    <row r="1168" spans="28:49" s="196" customFormat="1">
      <c r="AB1168" s="201"/>
      <c r="AC1168" s="201"/>
      <c r="AD1168" s="197"/>
      <c r="AE1168" s="197"/>
      <c r="AF1168" s="197"/>
      <c r="AG1168" s="197"/>
      <c r="AH1168" s="197"/>
      <c r="AI1168" s="197"/>
      <c r="AJ1168" s="197"/>
      <c r="AK1168" s="197"/>
      <c r="AL1168" s="197"/>
      <c r="AM1168" s="197"/>
      <c r="AN1168" s="197"/>
      <c r="AO1168" s="197"/>
      <c r="AP1168" s="197"/>
      <c r="AQ1168" s="197"/>
      <c r="AR1168" s="197"/>
      <c r="AS1168" s="197"/>
      <c r="AT1168" s="197"/>
      <c r="AU1168" s="197"/>
      <c r="AV1168" s="197"/>
      <c r="AW1168" s="197"/>
    </row>
    <row r="1169" spans="28:49" s="196" customFormat="1">
      <c r="AB1169" s="201"/>
      <c r="AC1169" s="201"/>
      <c r="AD1169" s="197"/>
      <c r="AE1169" s="197"/>
      <c r="AF1169" s="197"/>
      <c r="AG1169" s="197"/>
      <c r="AH1169" s="197"/>
      <c r="AI1169" s="197"/>
      <c r="AJ1169" s="197"/>
      <c r="AK1169" s="197"/>
      <c r="AL1169" s="197"/>
      <c r="AM1169" s="197"/>
      <c r="AN1169" s="197"/>
      <c r="AO1169" s="197"/>
      <c r="AP1169" s="197"/>
      <c r="AQ1169" s="197"/>
      <c r="AR1169" s="197"/>
      <c r="AS1169" s="197"/>
      <c r="AT1169" s="197"/>
      <c r="AU1169" s="197"/>
      <c r="AV1169" s="197"/>
      <c r="AW1169" s="197"/>
    </row>
    <row r="1170" spans="28:49" s="196" customFormat="1">
      <c r="AB1170" s="201"/>
      <c r="AC1170" s="201"/>
      <c r="AD1170" s="197"/>
      <c r="AE1170" s="197"/>
      <c r="AF1170" s="197"/>
      <c r="AG1170" s="197"/>
      <c r="AH1170" s="197"/>
      <c r="AI1170" s="197"/>
      <c r="AJ1170" s="197"/>
      <c r="AK1170" s="197"/>
      <c r="AL1170" s="197"/>
      <c r="AM1170" s="197"/>
      <c r="AN1170" s="197"/>
      <c r="AO1170" s="197"/>
      <c r="AP1170" s="197"/>
      <c r="AQ1170" s="197"/>
      <c r="AR1170" s="197"/>
      <c r="AS1170" s="197"/>
      <c r="AT1170" s="197"/>
      <c r="AU1170" s="197"/>
      <c r="AV1170" s="197"/>
      <c r="AW1170" s="197"/>
    </row>
    <row r="1171" spans="28:49" s="196" customFormat="1">
      <c r="AB1171" s="201"/>
      <c r="AC1171" s="201"/>
      <c r="AD1171" s="197"/>
      <c r="AE1171" s="197"/>
      <c r="AF1171" s="197"/>
      <c r="AG1171" s="197"/>
      <c r="AH1171" s="197"/>
      <c r="AI1171" s="197"/>
      <c r="AJ1171" s="197"/>
      <c r="AK1171" s="197"/>
      <c r="AL1171" s="197"/>
      <c r="AM1171" s="197"/>
      <c r="AN1171" s="197"/>
      <c r="AO1171" s="197"/>
      <c r="AP1171" s="197"/>
      <c r="AQ1171" s="197"/>
      <c r="AR1171" s="197"/>
      <c r="AS1171" s="197"/>
      <c r="AT1171" s="197"/>
      <c r="AU1171" s="197"/>
      <c r="AV1171" s="197"/>
      <c r="AW1171" s="197"/>
    </row>
    <row r="1172" spans="28:49" s="196" customFormat="1">
      <c r="AB1172" s="201"/>
      <c r="AC1172" s="201"/>
      <c r="AD1172" s="197"/>
      <c r="AE1172" s="197"/>
      <c r="AF1172" s="197"/>
      <c r="AG1172" s="197"/>
      <c r="AH1172" s="197"/>
      <c r="AI1172" s="197"/>
      <c r="AJ1172" s="197"/>
      <c r="AK1172" s="197"/>
      <c r="AL1172" s="197"/>
      <c r="AM1172" s="197"/>
      <c r="AN1172" s="197"/>
      <c r="AO1172" s="197"/>
      <c r="AP1172" s="197"/>
      <c r="AQ1172" s="197"/>
      <c r="AR1172" s="197"/>
      <c r="AS1172" s="197"/>
      <c r="AT1172" s="197"/>
      <c r="AU1172" s="197"/>
      <c r="AV1172" s="197"/>
      <c r="AW1172" s="197"/>
    </row>
    <row r="1173" spans="28:49" s="196" customFormat="1">
      <c r="AB1173" s="201"/>
      <c r="AC1173" s="201"/>
      <c r="AD1173" s="197"/>
      <c r="AE1173" s="197"/>
      <c r="AF1173" s="197"/>
      <c r="AG1173" s="197"/>
      <c r="AH1173" s="197"/>
      <c r="AI1173" s="197"/>
      <c r="AJ1173" s="197"/>
      <c r="AK1173" s="197"/>
      <c r="AL1173" s="197"/>
      <c r="AM1173" s="197"/>
      <c r="AN1173" s="197"/>
      <c r="AO1173" s="197"/>
      <c r="AP1173" s="197"/>
      <c r="AQ1173" s="197"/>
      <c r="AR1173" s="197"/>
      <c r="AS1173" s="197"/>
      <c r="AT1173" s="197"/>
      <c r="AU1173" s="197"/>
      <c r="AV1173" s="197"/>
      <c r="AW1173" s="197"/>
    </row>
    <row r="1174" spans="28:49" s="196" customFormat="1">
      <c r="AB1174" s="201"/>
      <c r="AC1174" s="201"/>
      <c r="AD1174" s="197"/>
      <c r="AE1174" s="197"/>
      <c r="AF1174" s="197"/>
      <c r="AG1174" s="197"/>
      <c r="AH1174" s="197"/>
      <c r="AI1174" s="197"/>
      <c r="AJ1174" s="197"/>
      <c r="AK1174" s="197"/>
      <c r="AL1174" s="197"/>
      <c r="AM1174" s="197"/>
      <c r="AN1174" s="197"/>
      <c r="AO1174" s="197"/>
      <c r="AP1174" s="197"/>
      <c r="AQ1174" s="197"/>
      <c r="AR1174" s="197"/>
      <c r="AS1174" s="197"/>
      <c r="AT1174" s="197"/>
      <c r="AU1174" s="197"/>
      <c r="AV1174" s="197"/>
      <c r="AW1174" s="197"/>
    </row>
    <row r="1175" spans="28:49" s="196" customFormat="1">
      <c r="AB1175" s="201"/>
      <c r="AC1175" s="201"/>
      <c r="AD1175" s="197"/>
      <c r="AE1175" s="197"/>
      <c r="AF1175" s="197"/>
      <c r="AG1175" s="197"/>
      <c r="AH1175" s="197"/>
      <c r="AI1175" s="197"/>
      <c r="AJ1175" s="197"/>
      <c r="AK1175" s="197"/>
      <c r="AL1175" s="197"/>
      <c r="AM1175" s="197"/>
      <c r="AN1175" s="197"/>
      <c r="AO1175" s="197"/>
      <c r="AP1175" s="197"/>
      <c r="AQ1175" s="197"/>
      <c r="AR1175" s="197"/>
      <c r="AS1175" s="197"/>
      <c r="AT1175" s="197"/>
      <c r="AU1175" s="197"/>
      <c r="AV1175" s="197"/>
      <c r="AW1175" s="197"/>
    </row>
    <row r="1176" spans="28:49" s="196" customFormat="1">
      <c r="AB1176" s="201"/>
      <c r="AC1176" s="201"/>
      <c r="AD1176" s="197"/>
      <c r="AE1176" s="197"/>
      <c r="AF1176" s="197"/>
      <c r="AG1176" s="197"/>
      <c r="AH1176" s="197"/>
      <c r="AI1176" s="197"/>
      <c r="AJ1176" s="197"/>
      <c r="AK1176" s="197"/>
      <c r="AL1176" s="197"/>
      <c r="AM1176" s="197"/>
      <c r="AN1176" s="197"/>
      <c r="AO1176" s="197"/>
      <c r="AP1176" s="197"/>
      <c r="AQ1176" s="197"/>
      <c r="AR1176" s="197"/>
      <c r="AS1176" s="197"/>
      <c r="AT1176" s="197"/>
      <c r="AU1176" s="197"/>
      <c r="AV1176" s="197"/>
      <c r="AW1176" s="197"/>
    </row>
    <row r="1177" spans="28:49" s="196" customFormat="1">
      <c r="AB1177" s="201"/>
      <c r="AC1177" s="201"/>
      <c r="AD1177" s="197"/>
      <c r="AE1177" s="197"/>
      <c r="AF1177" s="197"/>
      <c r="AG1177" s="197"/>
      <c r="AH1177" s="197"/>
      <c r="AI1177" s="197"/>
      <c r="AJ1177" s="197"/>
      <c r="AK1177" s="197"/>
      <c r="AL1177" s="197"/>
      <c r="AM1177" s="197"/>
      <c r="AN1177" s="197"/>
      <c r="AO1177" s="197"/>
      <c r="AP1177" s="197"/>
      <c r="AQ1177" s="197"/>
      <c r="AR1177" s="197"/>
      <c r="AS1177" s="197"/>
      <c r="AT1177" s="197"/>
      <c r="AU1177" s="197"/>
      <c r="AV1177" s="197"/>
      <c r="AW1177" s="197"/>
    </row>
    <row r="1178" spans="28:49" s="196" customFormat="1">
      <c r="AB1178" s="201"/>
      <c r="AC1178" s="201"/>
      <c r="AD1178" s="197"/>
      <c r="AE1178" s="197"/>
      <c r="AF1178" s="197"/>
      <c r="AG1178" s="197"/>
      <c r="AH1178" s="197"/>
      <c r="AI1178" s="197"/>
      <c r="AJ1178" s="197"/>
      <c r="AK1178" s="197"/>
      <c r="AL1178" s="197"/>
      <c r="AM1178" s="197"/>
      <c r="AN1178" s="197"/>
      <c r="AO1178" s="197"/>
      <c r="AP1178" s="197"/>
      <c r="AQ1178" s="197"/>
      <c r="AR1178" s="197"/>
      <c r="AS1178" s="197"/>
      <c r="AT1178" s="197"/>
      <c r="AU1178" s="197"/>
      <c r="AV1178" s="197"/>
      <c r="AW1178" s="197"/>
    </row>
    <row r="1179" spans="28:49" s="196" customFormat="1">
      <c r="AB1179" s="201"/>
      <c r="AC1179" s="201"/>
      <c r="AD1179" s="197"/>
      <c r="AE1179" s="197"/>
      <c r="AF1179" s="197"/>
      <c r="AG1179" s="197"/>
      <c r="AH1179" s="197"/>
      <c r="AI1179" s="197"/>
      <c r="AJ1179" s="197"/>
      <c r="AK1179" s="197"/>
      <c r="AL1179" s="197"/>
      <c r="AM1179" s="197"/>
      <c r="AN1179" s="197"/>
      <c r="AO1179" s="197"/>
      <c r="AP1179" s="197"/>
      <c r="AQ1179" s="197"/>
      <c r="AR1179" s="197"/>
      <c r="AS1179" s="197"/>
      <c r="AT1179" s="197"/>
      <c r="AU1179" s="197"/>
      <c r="AV1179" s="197"/>
      <c r="AW1179" s="197"/>
    </row>
    <row r="1180" spans="28:49" s="196" customFormat="1">
      <c r="AB1180" s="201"/>
      <c r="AC1180" s="201"/>
      <c r="AD1180" s="197"/>
      <c r="AE1180" s="197"/>
      <c r="AF1180" s="197"/>
      <c r="AG1180" s="197"/>
      <c r="AH1180" s="197"/>
      <c r="AI1180" s="197"/>
      <c r="AJ1180" s="197"/>
      <c r="AK1180" s="197"/>
      <c r="AL1180" s="197"/>
      <c r="AM1180" s="197"/>
      <c r="AN1180" s="197"/>
      <c r="AO1180" s="197"/>
      <c r="AP1180" s="197"/>
      <c r="AQ1180" s="197"/>
      <c r="AR1180" s="197"/>
      <c r="AS1180" s="197"/>
      <c r="AT1180" s="197"/>
      <c r="AU1180" s="197"/>
      <c r="AV1180" s="197"/>
      <c r="AW1180" s="197"/>
    </row>
    <row r="1181" spans="28:49" s="196" customFormat="1">
      <c r="AB1181" s="201"/>
      <c r="AC1181" s="201"/>
      <c r="AD1181" s="197"/>
      <c r="AE1181" s="197"/>
      <c r="AF1181" s="197"/>
      <c r="AG1181" s="197"/>
      <c r="AH1181" s="197"/>
      <c r="AI1181" s="197"/>
      <c r="AJ1181" s="197"/>
      <c r="AK1181" s="197"/>
      <c r="AL1181" s="197"/>
      <c r="AM1181" s="197"/>
      <c r="AN1181" s="197"/>
      <c r="AO1181" s="197"/>
      <c r="AP1181" s="197"/>
      <c r="AQ1181" s="197"/>
      <c r="AR1181" s="197"/>
      <c r="AS1181" s="197"/>
      <c r="AT1181" s="197"/>
      <c r="AU1181" s="197"/>
      <c r="AV1181" s="197"/>
      <c r="AW1181" s="197"/>
    </row>
    <row r="1182" spans="28:49" s="196" customFormat="1">
      <c r="AB1182" s="201"/>
      <c r="AC1182" s="201"/>
      <c r="AD1182" s="197"/>
      <c r="AE1182" s="197"/>
      <c r="AF1182" s="197"/>
      <c r="AG1182" s="197"/>
      <c r="AH1182" s="197"/>
      <c r="AI1182" s="197"/>
      <c r="AJ1182" s="197"/>
      <c r="AK1182" s="197"/>
      <c r="AL1182" s="197"/>
      <c r="AM1182" s="197"/>
      <c r="AN1182" s="197"/>
      <c r="AO1182" s="197"/>
      <c r="AP1182" s="197"/>
      <c r="AQ1182" s="197"/>
      <c r="AR1182" s="197"/>
      <c r="AS1182" s="197"/>
      <c r="AT1182" s="197"/>
      <c r="AU1182" s="197"/>
      <c r="AV1182" s="197"/>
      <c r="AW1182" s="197"/>
    </row>
    <row r="1183" spans="28:49" s="196" customFormat="1">
      <c r="AB1183" s="201"/>
      <c r="AC1183" s="201"/>
      <c r="AD1183" s="197"/>
      <c r="AE1183" s="197"/>
      <c r="AF1183" s="197"/>
      <c r="AG1183" s="197"/>
      <c r="AH1183" s="197"/>
      <c r="AI1183" s="197"/>
      <c r="AJ1183" s="197"/>
      <c r="AK1183" s="197"/>
      <c r="AL1183" s="197"/>
      <c r="AM1183" s="197"/>
      <c r="AN1183" s="197"/>
      <c r="AO1183" s="197"/>
      <c r="AP1183" s="197"/>
      <c r="AQ1183" s="197"/>
      <c r="AR1183" s="197"/>
      <c r="AS1183" s="197"/>
      <c r="AT1183" s="197"/>
      <c r="AU1183" s="197"/>
      <c r="AV1183" s="197"/>
      <c r="AW1183" s="197"/>
    </row>
    <row r="1184" spans="28:49" s="196" customFormat="1">
      <c r="AB1184" s="201"/>
      <c r="AC1184" s="201"/>
      <c r="AD1184" s="197"/>
      <c r="AE1184" s="197"/>
      <c r="AF1184" s="197"/>
      <c r="AG1184" s="197"/>
      <c r="AH1184" s="197"/>
      <c r="AI1184" s="197"/>
      <c r="AJ1184" s="197"/>
      <c r="AK1184" s="197"/>
      <c r="AL1184" s="197"/>
      <c r="AM1184" s="197"/>
      <c r="AN1184" s="197"/>
      <c r="AO1184" s="197"/>
      <c r="AP1184" s="197"/>
      <c r="AQ1184" s="197"/>
      <c r="AR1184" s="197"/>
      <c r="AS1184" s="197"/>
      <c r="AT1184" s="197"/>
      <c r="AU1184" s="197"/>
      <c r="AV1184" s="197"/>
      <c r="AW1184" s="197"/>
    </row>
    <row r="1185" spans="28:49" s="196" customFormat="1">
      <c r="AB1185" s="201"/>
      <c r="AC1185" s="201"/>
      <c r="AD1185" s="197"/>
      <c r="AE1185" s="197"/>
      <c r="AF1185" s="197"/>
      <c r="AG1185" s="197"/>
      <c r="AH1185" s="197"/>
      <c r="AI1185" s="197"/>
      <c r="AJ1185" s="197"/>
      <c r="AK1185" s="197"/>
      <c r="AL1185" s="197"/>
      <c r="AM1185" s="197"/>
      <c r="AN1185" s="197"/>
      <c r="AO1185" s="197"/>
      <c r="AP1185" s="197"/>
      <c r="AQ1185" s="197"/>
      <c r="AR1185" s="197"/>
      <c r="AS1185" s="197"/>
      <c r="AT1185" s="197"/>
      <c r="AU1185" s="197"/>
      <c r="AV1185" s="197"/>
      <c r="AW1185" s="197"/>
    </row>
    <row r="1186" spans="28:49" s="196" customFormat="1">
      <c r="AB1186" s="201"/>
      <c r="AC1186" s="201"/>
      <c r="AD1186" s="197"/>
      <c r="AE1186" s="197"/>
      <c r="AF1186" s="197"/>
      <c r="AG1186" s="197"/>
      <c r="AH1186" s="197"/>
      <c r="AI1186" s="197"/>
      <c r="AJ1186" s="197"/>
      <c r="AK1186" s="197"/>
      <c r="AL1186" s="197"/>
      <c r="AM1186" s="197"/>
      <c r="AN1186" s="197"/>
      <c r="AO1186" s="197"/>
      <c r="AP1186" s="197"/>
      <c r="AQ1186" s="197"/>
      <c r="AR1186" s="197"/>
      <c r="AS1186" s="197"/>
      <c r="AT1186" s="197"/>
      <c r="AU1186" s="197"/>
      <c r="AV1186" s="197"/>
      <c r="AW1186" s="197"/>
    </row>
    <row r="1187" spans="28:49" s="196" customFormat="1">
      <c r="AB1187" s="201"/>
      <c r="AC1187" s="201"/>
      <c r="AD1187" s="197"/>
      <c r="AE1187" s="197"/>
      <c r="AF1187" s="197"/>
      <c r="AG1187" s="197"/>
      <c r="AH1187" s="197"/>
      <c r="AI1187" s="197"/>
      <c r="AJ1187" s="197"/>
      <c r="AK1187" s="197"/>
      <c r="AL1187" s="197"/>
      <c r="AM1187" s="197"/>
      <c r="AN1187" s="197"/>
      <c r="AO1187" s="197"/>
      <c r="AP1187" s="197"/>
      <c r="AQ1187" s="197"/>
      <c r="AR1187" s="197"/>
      <c r="AS1187" s="197"/>
      <c r="AT1187" s="197"/>
      <c r="AU1187" s="197"/>
      <c r="AV1187" s="197"/>
      <c r="AW1187" s="197"/>
    </row>
    <row r="1188" spans="28:49" s="196" customFormat="1">
      <c r="AB1188" s="201"/>
      <c r="AC1188" s="201"/>
      <c r="AD1188" s="197"/>
      <c r="AE1188" s="197"/>
      <c r="AF1188" s="197"/>
      <c r="AG1188" s="197"/>
      <c r="AH1188" s="197"/>
      <c r="AI1188" s="197"/>
      <c r="AJ1188" s="197"/>
      <c r="AK1188" s="197"/>
      <c r="AL1188" s="197"/>
      <c r="AM1188" s="197"/>
      <c r="AN1188" s="197"/>
      <c r="AO1188" s="197"/>
      <c r="AP1188" s="197"/>
      <c r="AQ1188" s="197"/>
      <c r="AR1188" s="197"/>
      <c r="AS1188" s="197"/>
      <c r="AT1188" s="197"/>
      <c r="AU1188" s="197"/>
      <c r="AV1188" s="197"/>
      <c r="AW1188" s="197"/>
    </row>
    <row r="1189" spans="28:49" s="196" customFormat="1">
      <c r="AB1189" s="201"/>
      <c r="AC1189" s="201"/>
      <c r="AD1189" s="197"/>
      <c r="AE1189" s="197"/>
      <c r="AF1189" s="197"/>
      <c r="AG1189" s="197"/>
      <c r="AH1189" s="197"/>
      <c r="AI1189" s="197"/>
      <c r="AJ1189" s="197"/>
      <c r="AK1189" s="197"/>
      <c r="AL1189" s="197"/>
      <c r="AM1189" s="197"/>
      <c r="AN1189" s="197"/>
      <c r="AO1189" s="197"/>
      <c r="AP1189" s="197"/>
      <c r="AQ1189" s="197"/>
      <c r="AR1189" s="197"/>
      <c r="AS1189" s="197"/>
      <c r="AT1189" s="197"/>
      <c r="AU1189" s="197"/>
      <c r="AV1189" s="197"/>
      <c r="AW1189" s="197"/>
    </row>
    <row r="1190" spans="28:49" s="196" customFormat="1">
      <c r="AB1190" s="201"/>
      <c r="AC1190" s="201"/>
      <c r="AD1190" s="197"/>
      <c r="AE1190" s="197"/>
      <c r="AF1190" s="197"/>
      <c r="AG1190" s="197"/>
      <c r="AH1190" s="197"/>
      <c r="AI1190" s="197"/>
      <c r="AJ1190" s="197"/>
      <c r="AK1190" s="197"/>
      <c r="AL1190" s="197"/>
      <c r="AM1190" s="197"/>
      <c r="AN1190" s="197"/>
      <c r="AO1190" s="197"/>
      <c r="AP1190" s="197"/>
      <c r="AQ1190" s="197"/>
      <c r="AR1190" s="197"/>
      <c r="AS1190" s="197"/>
      <c r="AT1190" s="197"/>
      <c r="AU1190" s="197"/>
      <c r="AV1190" s="197"/>
      <c r="AW1190" s="197"/>
    </row>
    <row r="1191" spans="28:49" s="196" customFormat="1">
      <c r="AB1191" s="201"/>
      <c r="AC1191" s="201"/>
      <c r="AD1191" s="197"/>
      <c r="AE1191" s="197"/>
      <c r="AF1191" s="197"/>
      <c r="AG1191" s="197"/>
      <c r="AH1191" s="197"/>
      <c r="AI1191" s="197"/>
      <c r="AJ1191" s="197"/>
      <c r="AK1191" s="197"/>
      <c r="AL1191" s="197"/>
      <c r="AM1191" s="197"/>
      <c r="AN1191" s="197"/>
      <c r="AO1191" s="197"/>
      <c r="AP1191" s="197"/>
      <c r="AQ1191" s="197"/>
      <c r="AR1191" s="197"/>
      <c r="AS1191" s="197"/>
      <c r="AT1191" s="197"/>
      <c r="AU1191" s="197"/>
      <c r="AV1191" s="197"/>
      <c r="AW1191" s="197"/>
    </row>
    <row r="1192" spans="28:49" s="196" customFormat="1">
      <c r="AB1192" s="201"/>
      <c r="AC1192" s="201"/>
      <c r="AD1192" s="197"/>
      <c r="AE1192" s="197"/>
      <c r="AF1192" s="197"/>
      <c r="AG1192" s="197"/>
      <c r="AH1192" s="197"/>
      <c r="AI1192" s="197"/>
      <c r="AJ1192" s="197"/>
      <c r="AK1192" s="197"/>
      <c r="AL1192" s="197"/>
      <c r="AM1192" s="197"/>
      <c r="AN1192" s="197"/>
      <c r="AO1192" s="197"/>
      <c r="AP1192" s="197"/>
      <c r="AQ1192" s="197"/>
      <c r="AR1192" s="197"/>
      <c r="AS1192" s="197"/>
      <c r="AT1192" s="197"/>
      <c r="AU1192" s="197"/>
      <c r="AV1192" s="197"/>
      <c r="AW1192" s="197"/>
    </row>
    <row r="1193" spans="28:49" s="196" customFormat="1">
      <c r="AB1193" s="201"/>
      <c r="AC1193" s="201"/>
      <c r="AD1193" s="197"/>
      <c r="AE1193" s="197"/>
      <c r="AF1193" s="197"/>
      <c r="AG1193" s="197"/>
      <c r="AH1193" s="197"/>
      <c r="AI1193" s="197"/>
      <c r="AJ1193" s="197"/>
      <c r="AK1193" s="197"/>
      <c r="AL1193" s="197"/>
      <c r="AM1193" s="197"/>
      <c r="AN1193" s="197"/>
      <c r="AO1193" s="197"/>
      <c r="AP1193" s="197"/>
      <c r="AQ1193" s="197"/>
      <c r="AR1193" s="197"/>
      <c r="AS1193" s="197"/>
      <c r="AT1193" s="197"/>
      <c r="AU1193" s="197"/>
      <c r="AV1193" s="197"/>
      <c r="AW1193" s="197"/>
    </row>
    <row r="1194" spans="28:49" s="196" customFormat="1">
      <c r="AB1194" s="201"/>
      <c r="AC1194" s="201"/>
      <c r="AD1194" s="197"/>
      <c r="AE1194" s="197"/>
      <c r="AF1194" s="197"/>
      <c r="AG1194" s="197"/>
      <c r="AH1194" s="197"/>
      <c r="AI1194" s="197"/>
      <c r="AJ1194" s="197"/>
      <c r="AK1194" s="197"/>
      <c r="AL1194" s="197"/>
      <c r="AM1194" s="197"/>
      <c r="AN1194" s="197"/>
      <c r="AO1194" s="197"/>
      <c r="AP1194" s="197"/>
      <c r="AQ1194" s="197"/>
      <c r="AR1194" s="197"/>
      <c r="AS1194" s="197"/>
      <c r="AT1194" s="197"/>
      <c r="AU1194" s="197"/>
      <c r="AV1194" s="197"/>
      <c r="AW1194" s="197"/>
    </row>
    <row r="1195" spans="28:49" s="196" customFormat="1">
      <c r="AB1195" s="201"/>
      <c r="AC1195" s="201"/>
      <c r="AD1195" s="197"/>
      <c r="AE1195" s="197"/>
      <c r="AF1195" s="197"/>
      <c r="AG1195" s="197"/>
      <c r="AH1195" s="197"/>
      <c r="AI1195" s="197"/>
      <c r="AJ1195" s="197"/>
      <c r="AK1195" s="197"/>
      <c r="AL1195" s="197"/>
      <c r="AM1195" s="197"/>
      <c r="AN1195" s="197"/>
      <c r="AO1195" s="197"/>
      <c r="AP1195" s="197"/>
      <c r="AQ1195" s="197"/>
      <c r="AR1195" s="197"/>
      <c r="AS1195" s="197"/>
      <c r="AT1195" s="197"/>
      <c r="AU1195" s="197"/>
      <c r="AV1195" s="197"/>
      <c r="AW1195" s="197"/>
    </row>
    <row r="1196" spans="28:49" s="196" customFormat="1">
      <c r="AB1196" s="201"/>
      <c r="AC1196" s="201"/>
      <c r="AD1196" s="197"/>
      <c r="AE1196" s="197"/>
      <c r="AF1196" s="197"/>
      <c r="AG1196" s="197"/>
      <c r="AH1196" s="197"/>
      <c r="AI1196" s="197"/>
      <c r="AJ1196" s="197"/>
      <c r="AK1196" s="197"/>
      <c r="AL1196" s="197"/>
      <c r="AM1196" s="197"/>
      <c r="AN1196" s="197"/>
      <c r="AO1196" s="197"/>
      <c r="AP1196" s="197"/>
      <c r="AQ1196" s="197"/>
      <c r="AR1196" s="197"/>
      <c r="AS1196" s="197"/>
      <c r="AT1196" s="197"/>
      <c r="AU1196" s="197"/>
      <c r="AV1196" s="197"/>
      <c r="AW1196" s="197"/>
    </row>
    <row r="1197" spans="28:49" s="196" customFormat="1">
      <c r="AB1197" s="201"/>
      <c r="AC1197" s="201"/>
      <c r="AD1197" s="197"/>
      <c r="AE1197" s="197"/>
      <c r="AF1197" s="197"/>
      <c r="AG1197" s="197"/>
      <c r="AH1197" s="197"/>
      <c r="AI1197" s="197"/>
      <c r="AJ1197" s="197"/>
      <c r="AK1197" s="197"/>
      <c r="AL1197" s="197"/>
      <c r="AM1197" s="197"/>
      <c r="AN1197" s="197"/>
      <c r="AO1197" s="197"/>
      <c r="AP1197" s="197"/>
      <c r="AQ1197" s="197"/>
      <c r="AR1197" s="197"/>
      <c r="AS1197" s="197"/>
      <c r="AT1197" s="197"/>
      <c r="AU1197" s="197"/>
      <c r="AV1197" s="197"/>
      <c r="AW1197" s="197"/>
    </row>
    <row r="1198" spans="28:49" s="196" customFormat="1">
      <c r="AB1198" s="201"/>
      <c r="AC1198" s="201"/>
      <c r="AD1198" s="197"/>
      <c r="AE1198" s="197"/>
      <c r="AF1198" s="197"/>
      <c r="AG1198" s="197"/>
      <c r="AH1198" s="197"/>
      <c r="AI1198" s="197"/>
      <c r="AJ1198" s="197"/>
      <c r="AK1198" s="197"/>
      <c r="AL1198" s="197"/>
      <c r="AM1198" s="197"/>
      <c r="AN1198" s="197"/>
      <c r="AO1198" s="197"/>
      <c r="AP1198" s="197"/>
      <c r="AQ1198" s="197"/>
      <c r="AR1198" s="197"/>
      <c r="AS1198" s="197"/>
      <c r="AT1198" s="197"/>
      <c r="AU1198" s="197"/>
      <c r="AV1198" s="197"/>
      <c r="AW1198" s="197"/>
    </row>
    <row r="1199" spans="28:49" s="196" customFormat="1">
      <c r="AB1199" s="201"/>
      <c r="AC1199" s="201"/>
      <c r="AD1199" s="197"/>
      <c r="AE1199" s="197"/>
      <c r="AF1199" s="197"/>
      <c r="AG1199" s="197"/>
      <c r="AH1199" s="197"/>
      <c r="AI1199" s="197"/>
      <c r="AJ1199" s="197"/>
      <c r="AK1199" s="197"/>
      <c r="AL1199" s="197"/>
      <c r="AM1199" s="197"/>
      <c r="AN1199" s="197"/>
      <c r="AO1199" s="197"/>
      <c r="AP1199" s="197"/>
      <c r="AQ1199" s="197"/>
      <c r="AR1199" s="197"/>
      <c r="AS1199" s="197"/>
      <c r="AT1199" s="197"/>
      <c r="AU1199" s="197"/>
      <c r="AV1199" s="197"/>
      <c r="AW1199" s="197"/>
    </row>
    <row r="1200" spans="28:49" s="196" customFormat="1">
      <c r="AB1200" s="201"/>
      <c r="AC1200" s="201"/>
      <c r="AD1200" s="197"/>
      <c r="AE1200" s="197"/>
      <c r="AF1200" s="197"/>
      <c r="AG1200" s="197"/>
      <c r="AH1200" s="197"/>
      <c r="AI1200" s="197"/>
      <c r="AJ1200" s="197"/>
      <c r="AK1200" s="197"/>
      <c r="AL1200" s="197"/>
      <c r="AM1200" s="197"/>
      <c r="AN1200" s="197"/>
      <c r="AO1200" s="197"/>
      <c r="AP1200" s="197"/>
      <c r="AQ1200" s="197"/>
      <c r="AR1200" s="197"/>
      <c r="AS1200" s="197"/>
      <c r="AT1200" s="197"/>
      <c r="AU1200" s="197"/>
      <c r="AV1200" s="197"/>
      <c r="AW1200" s="197"/>
    </row>
    <row r="1201" spans="28:49" s="196" customFormat="1">
      <c r="AB1201" s="201"/>
      <c r="AC1201" s="201"/>
      <c r="AD1201" s="197"/>
      <c r="AE1201" s="197"/>
      <c r="AF1201" s="197"/>
      <c r="AG1201" s="197"/>
      <c r="AH1201" s="197"/>
      <c r="AI1201" s="197"/>
      <c r="AJ1201" s="197"/>
      <c r="AK1201" s="197"/>
      <c r="AL1201" s="197"/>
      <c r="AM1201" s="197"/>
      <c r="AN1201" s="197"/>
      <c r="AO1201" s="197"/>
      <c r="AP1201" s="197"/>
      <c r="AQ1201" s="197"/>
      <c r="AR1201" s="197"/>
      <c r="AS1201" s="197"/>
      <c r="AT1201" s="197"/>
      <c r="AU1201" s="197"/>
      <c r="AV1201" s="197"/>
      <c r="AW1201" s="197"/>
    </row>
    <row r="1202" spans="28:49" s="196" customFormat="1">
      <c r="AB1202" s="201"/>
      <c r="AC1202" s="201"/>
      <c r="AD1202" s="197"/>
      <c r="AE1202" s="197"/>
      <c r="AF1202" s="197"/>
      <c r="AG1202" s="197"/>
      <c r="AH1202" s="197"/>
      <c r="AI1202" s="197"/>
      <c r="AJ1202" s="197"/>
      <c r="AK1202" s="197"/>
      <c r="AL1202" s="197"/>
      <c r="AM1202" s="197"/>
      <c r="AN1202" s="197"/>
      <c r="AO1202" s="197"/>
      <c r="AP1202" s="197"/>
      <c r="AQ1202" s="197"/>
      <c r="AR1202" s="197"/>
      <c r="AS1202" s="197"/>
      <c r="AT1202" s="197"/>
      <c r="AU1202" s="197"/>
      <c r="AV1202" s="197"/>
      <c r="AW1202" s="197"/>
    </row>
    <row r="1203" spans="28:49" s="196" customFormat="1">
      <c r="AB1203" s="201"/>
      <c r="AC1203" s="201"/>
      <c r="AD1203" s="197"/>
      <c r="AE1203" s="197"/>
      <c r="AF1203" s="197"/>
      <c r="AG1203" s="197"/>
      <c r="AH1203" s="197"/>
      <c r="AI1203" s="197"/>
      <c r="AJ1203" s="197"/>
      <c r="AK1203" s="197"/>
      <c r="AL1203" s="197"/>
      <c r="AM1203" s="197"/>
      <c r="AN1203" s="197"/>
      <c r="AO1203" s="197"/>
      <c r="AP1203" s="197"/>
      <c r="AQ1203" s="197"/>
      <c r="AR1203" s="197"/>
      <c r="AS1203" s="197"/>
      <c r="AT1203" s="197"/>
      <c r="AU1203" s="197"/>
      <c r="AV1203" s="197"/>
      <c r="AW1203" s="197"/>
    </row>
    <row r="1204" spans="28:49" s="196" customFormat="1">
      <c r="AB1204" s="201"/>
      <c r="AC1204" s="201"/>
      <c r="AD1204" s="197"/>
      <c r="AE1204" s="197"/>
      <c r="AF1204" s="197"/>
      <c r="AG1204" s="197"/>
      <c r="AH1204" s="197"/>
      <c r="AI1204" s="197"/>
      <c r="AJ1204" s="197"/>
      <c r="AK1204" s="197"/>
      <c r="AL1204" s="197"/>
      <c r="AM1204" s="197"/>
      <c r="AN1204" s="197"/>
      <c r="AO1204" s="197"/>
      <c r="AP1204" s="197"/>
      <c r="AQ1204" s="197"/>
      <c r="AR1204" s="197"/>
      <c r="AS1204" s="197"/>
      <c r="AT1204" s="197"/>
      <c r="AU1204" s="197"/>
      <c r="AV1204" s="197"/>
      <c r="AW1204" s="197"/>
    </row>
    <row r="1205" spans="28:49" s="196" customFormat="1">
      <c r="AB1205" s="201"/>
      <c r="AC1205" s="201"/>
      <c r="AD1205" s="197"/>
      <c r="AE1205" s="197"/>
      <c r="AF1205" s="197"/>
      <c r="AG1205" s="197"/>
      <c r="AH1205" s="197"/>
      <c r="AI1205" s="197"/>
      <c r="AJ1205" s="197"/>
      <c r="AK1205" s="197"/>
      <c r="AL1205" s="197"/>
      <c r="AM1205" s="197"/>
      <c r="AN1205" s="197"/>
      <c r="AO1205" s="197"/>
      <c r="AP1205" s="197"/>
      <c r="AQ1205" s="197"/>
      <c r="AR1205" s="197"/>
      <c r="AS1205" s="197"/>
      <c r="AT1205" s="197"/>
      <c r="AU1205" s="197"/>
      <c r="AV1205" s="197"/>
      <c r="AW1205" s="197"/>
    </row>
    <row r="1206" spans="28:49" s="196" customFormat="1">
      <c r="AB1206" s="201"/>
      <c r="AC1206" s="201"/>
      <c r="AD1206" s="197"/>
      <c r="AE1206" s="197"/>
      <c r="AF1206" s="197"/>
      <c r="AG1206" s="197"/>
      <c r="AH1206" s="197"/>
      <c r="AI1206" s="197"/>
      <c r="AJ1206" s="197"/>
      <c r="AK1206" s="197"/>
      <c r="AL1206" s="197"/>
      <c r="AM1206" s="197"/>
      <c r="AN1206" s="197"/>
      <c r="AO1206" s="197"/>
      <c r="AP1206" s="197"/>
      <c r="AQ1206" s="197"/>
      <c r="AR1206" s="197"/>
      <c r="AS1206" s="197"/>
      <c r="AT1206" s="197"/>
      <c r="AU1206" s="197"/>
      <c r="AV1206" s="197"/>
      <c r="AW1206" s="197"/>
    </row>
    <row r="1207" spans="28:49" s="196" customFormat="1">
      <c r="AB1207" s="201"/>
      <c r="AC1207" s="201"/>
      <c r="AD1207" s="197"/>
      <c r="AE1207" s="197"/>
      <c r="AF1207" s="197"/>
      <c r="AG1207" s="197"/>
      <c r="AH1207" s="197"/>
      <c r="AI1207" s="197"/>
      <c r="AJ1207" s="197"/>
      <c r="AK1207" s="197"/>
      <c r="AL1207" s="197"/>
      <c r="AM1207" s="197"/>
      <c r="AN1207" s="197"/>
      <c r="AO1207" s="197"/>
      <c r="AP1207" s="197"/>
      <c r="AQ1207" s="197"/>
      <c r="AR1207" s="197"/>
      <c r="AS1207" s="197"/>
      <c r="AT1207" s="197"/>
      <c r="AU1207" s="197"/>
      <c r="AV1207" s="197"/>
      <c r="AW1207" s="197"/>
    </row>
    <row r="1208" spans="28:49" s="196" customFormat="1">
      <c r="AB1208" s="201"/>
      <c r="AC1208" s="201"/>
      <c r="AD1208" s="197"/>
      <c r="AE1208" s="197"/>
      <c r="AF1208" s="197"/>
      <c r="AG1208" s="197"/>
      <c r="AH1208" s="197"/>
      <c r="AI1208" s="197"/>
      <c r="AJ1208" s="197"/>
      <c r="AK1208" s="197"/>
      <c r="AL1208" s="197"/>
      <c r="AM1208" s="197"/>
      <c r="AN1208" s="197"/>
      <c r="AO1208" s="197"/>
      <c r="AP1208" s="197"/>
      <c r="AQ1208" s="197"/>
      <c r="AR1208" s="197"/>
      <c r="AS1208" s="197"/>
      <c r="AT1208" s="197"/>
      <c r="AU1208" s="197"/>
      <c r="AV1208" s="197"/>
      <c r="AW1208" s="197"/>
    </row>
    <row r="1209" spans="28:49" s="196" customFormat="1">
      <c r="AB1209" s="201"/>
      <c r="AC1209" s="201"/>
      <c r="AD1209" s="197"/>
      <c r="AE1209" s="197"/>
      <c r="AF1209" s="197"/>
      <c r="AG1209" s="197"/>
      <c r="AH1209" s="197"/>
      <c r="AI1209" s="197"/>
      <c r="AJ1209" s="197"/>
      <c r="AK1209" s="197"/>
      <c r="AL1209" s="197"/>
      <c r="AM1209" s="197"/>
      <c r="AN1209" s="197"/>
      <c r="AO1209" s="197"/>
      <c r="AP1209" s="197"/>
      <c r="AQ1209" s="197"/>
      <c r="AR1209" s="197"/>
      <c r="AS1209" s="197"/>
      <c r="AT1209" s="197"/>
      <c r="AU1209" s="197"/>
      <c r="AV1209" s="197"/>
      <c r="AW1209" s="197"/>
    </row>
    <row r="1210" spans="28:49" s="196" customFormat="1">
      <c r="AB1210" s="201"/>
      <c r="AC1210" s="201"/>
      <c r="AD1210" s="197"/>
      <c r="AE1210" s="197"/>
      <c r="AF1210" s="197"/>
      <c r="AG1210" s="197"/>
      <c r="AH1210" s="197"/>
      <c r="AI1210" s="197"/>
      <c r="AJ1210" s="197"/>
      <c r="AK1210" s="197"/>
      <c r="AL1210" s="197"/>
      <c r="AM1210" s="197"/>
      <c r="AN1210" s="197"/>
      <c r="AO1210" s="197"/>
      <c r="AP1210" s="197"/>
      <c r="AQ1210" s="197"/>
      <c r="AR1210" s="197"/>
      <c r="AS1210" s="197"/>
      <c r="AT1210" s="197"/>
      <c r="AU1210" s="197"/>
      <c r="AV1210" s="197"/>
      <c r="AW1210" s="197"/>
    </row>
    <row r="1211" spans="28:49" s="196" customFormat="1">
      <c r="AB1211" s="201"/>
      <c r="AC1211" s="201"/>
      <c r="AD1211" s="197"/>
      <c r="AE1211" s="197"/>
      <c r="AF1211" s="197"/>
      <c r="AG1211" s="197"/>
      <c r="AH1211" s="197"/>
      <c r="AI1211" s="197"/>
      <c r="AJ1211" s="197"/>
      <c r="AK1211" s="197"/>
      <c r="AL1211" s="197"/>
      <c r="AM1211" s="197"/>
      <c r="AN1211" s="197"/>
      <c r="AO1211" s="197"/>
      <c r="AP1211" s="197"/>
      <c r="AQ1211" s="197"/>
      <c r="AR1211" s="197"/>
      <c r="AS1211" s="197"/>
      <c r="AT1211" s="197"/>
      <c r="AU1211" s="197"/>
      <c r="AV1211" s="197"/>
      <c r="AW1211" s="197"/>
    </row>
    <row r="1212" spans="28:49" s="196" customFormat="1">
      <c r="AB1212" s="201"/>
      <c r="AC1212" s="201"/>
      <c r="AD1212" s="197"/>
      <c r="AE1212" s="197"/>
      <c r="AF1212" s="197"/>
      <c r="AG1212" s="197"/>
      <c r="AH1212" s="197"/>
      <c r="AI1212" s="197"/>
      <c r="AJ1212" s="197"/>
      <c r="AK1212" s="197"/>
      <c r="AL1212" s="197"/>
      <c r="AM1212" s="197"/>
      <c r="AN1212" s="197"/>
      <c r="AO1212" s="197"/>
      <c r="AP1212" s="197"/>
      <c r="AQ1212" s="197"/>
      <c r="AR1212" s="197"/>
      <c r="AS1212" s="197"/>
      <c r="AT1212" s="197"/>
      <c r="AU1212" s="197"/>
      <c r="AV1212" s="197"/>
      <c r="AW1212" s="197"/>
    </row>
    <row r="1213" spans="28:49" s="196" customFormat="1">
      <c r="AB1213" s="201"/>
      <c r="AC1213" s="201"/>
      <c r="AD1213" s="197"/>
      <c r="AE1213" s="197"/>
      <c r="AF1213" s="197"/>
      <c r="AG1213" s="197"/>
      <c r="AH1213" s="197"/>
      <c r="AI1213" s="197"/>
      <c r="AJ1213" s="197"/>
      <c r="AK1213" s="197"/>
      <c r="AL1213" s="197"/>
      <c r="AM1213" s="197"/>
      <c r="AN1213" s="197"/>
      <c r="AO1213" s="197"/>
      <c r="AP1213" s="197"/>
      <c r="AQ1213" s="197"/>
      <c r="AR1213" s="197"/>
      <c r="AS1213" s="197"/>
      <c r="AT1213" s="197"/>
      <c r="AU1213" s="197"/>
      <c r="AV1213" s="197"/>
      <c r="AW1213" s="197"/>
    </row>
    <row r="1214" spans="28:49" s="196" customFormat="1">
      <c r="AB1214" s="201"/>
      <c r="AC1214" s="201"/>
      <c r="AD1214" s="197"/>
      <c r="AE1214" s="197"/>
      <c r="AF1214" s="197"/>
      <c r="AG1214" s="197"/>
      <c r="AH1214" s="197"/>
      <c r="AI1214" s="197"/>
      <c r="AJ1214" s="197"/>
      <c r="AK1214" s="197"/>
      <c r="AL1214" s="197"/>
      <c r="AM1214" s="197"/>
      <c r="AN1214" s="197"/>
      <c r="AO1214" s="197"/>
      <c r="AP1214" s="197"/>
      <c r="AQ1214" s="197"/>
      <c r="AR1214" s="197"/>
      <c r="AS1214" s="197"/>
      <c r="AT1214" s="197"/>
      <c r="AU1214" s="197"/>
      <c r="AV1214" s="197"/>
      <c r="AW1214" s="197"/>
    </row>
    <row r="1215" spans="28:49" s="196" customFormat="1">
      <c r="AB1215" s="201"/>
      <c r="AC1215" s="201"/>
      <c r="AD1215" s="197"/>
      <c r="AE1215" s="197"/>
      <c r="AF1215" s="197"/>
      <c r="AG1215" s="197"/>
      <c r="AH1215" s="197"/>
      <c r="AI1215" s="197"/>
      <c r="AJ1215" s="197"/>
      <c r="AK1215" s="197"/>
      <c r="AL1215" s="197"/>
      <c r="AM1215" s="197"/>
      <c r="AN1215" s="197"/>
      <c r="AO1215" s="197"/>
      <c r="AP1215" s="197"/>
      <c r="AQ1215" s="197"/>
      <c r="AR1215" s="197"/>
      <c r="AS1215" s="197"/>
      <c r="AT1215" s="197"/>
      <c r="AU1215" s="197"/>
      <c r="AV1215" s="197"/>
      <c r="AW1215" s="197"/>
    </row>
    <row r="1216" spans="28:49" s="196" customFormat="1">
      <c r="AB1216" s="201"/>
      <c r="AC1216" s="201"/>
      <c r="AD1216" s="197"/>
      <c r="AE1216" s="197"/>
      <c r="AF1216" s="197"/>
      <c r="AG1216" s="197"/>
      <c r="AH1216" s="197"/>
      <c r="AI1216" s="197"/>
      <c r="AJ1216" s="197"/>
      <c r="AK1216" s="197"/>
      <c r="AL1216" s="197"/>
      <c r="AM1216" s="197"/>
      <c r="AN1216" s="197"/>
      <c r="AO1216" s="197"/>
      <c r="AP1216" s="197"/>
      <c r="AQ1216" s="197"/>
      <c r="AR1216" s="197"/>
      <c r="AS1216" s="197"/>
      <c r="AT1216" s="197"/>
      <c r="AU1216" s="197"/>
      <c r="AV1216" s="197"/>
      <c r="AW1216" s="197"/>
    </row>
    <row r="1217" spans="28:49" s="196" customFormat="1">
      <c r="AB1217" s="201"/>
      <c r="AC1217" s="201"/>
      <c r="AD1217" s="197"/>
      <c r="AE1217" s="197"/>
      <c r="AF1217" s="197"/>
      <c r="AG1217" s="197"/>
      <c r="AH1217" s="197"/>
      <c r="AI1217" s="197"/>
      <c r="AJ1217" s="197"/>
      <c r="AK1217" s="197"/>
      <c r="AL1217" s="197"/>
      <c r="AM1217" s="197"/>
      <c r="AN1217" s="197"/>
      <c r="AO1217" s="197"/>
      <c r="AP1217" s="197"/>
      <c r="AQ1217" s="197"/>
      <c r="AR1217" s="197"/>
      <c r="AS1217" s="197"/>
      <c r="AT1217" s="197"/>
      <c r="AU1217" s="197"/>
      <c r="AV1217" s="197"/>
      <c r="AW1217" s="197"/>
    </row>
    <row r="1218" spans="28:49" s="196" customFormat="1">
      <c r="AB1218" s="201"/>
      <c r="AC1218" s="201"/>
      <c r="AD1218" s="197"/>
      <c r="AE1218" s="197"/>
      <c r="AF1218" s="197"/>
      <c r="AG1218" s="197"/>
      <c r="AH1218" s="197"/>
      <c r="AI1218" s="197"/>
      <c r="AJ1218" s="197"/>
      <c r="AK1218" s="197"/>
      <c r="AL1218" s="197"/>
      <c r="AM1218" s="197"/>
      <c r="AN1218" s="197"/>
      <c r="AO1218" s="197"/>
      <c r="AP1218" s="197"/>
      <c r="AQ1218" s="197"/>
      <c r="AR1218" s="197"/>
      <c r="AS1218" s="197"/>
      <c r="AT1218" s="197"/>
      <c r="AU1218" s="197"/>
      <c r="AV1218" s="197"/>
      <c r="AW1218" s="197"/>
    </row>
    <row r="1219" spans="28:49" s="196" customFormat="1">
      <c r="AB1219" s="201"/>
      <c r="AC1219" s="201"/>
      <c r="AD1219" s="197"/>
      <c r="AE1219" s="197"/>
      <c r="AF1219" s="197"/>
      <c r="AG1219" s="197"/>
      <c r="AH1219" s="197"/>
      <c r="AI1219" s="197"/>
      <c r="AJ1219" s="197"/>
      <c r="AK1219" s="197"/>
      <c r="AL1219" s="197"/>
      <c r="AM1219" s="197"/>
      <c r="AN1219" s="197"/>
      <c r="AO1219" s="197"/>
      <c r="AP1219" s="197"/>
      <c r="AQ1219" s="197"/>
      <c r="AR1219" s="197"/>
      <c r="AS1219" s="197"/>
      <c r="AT1219" s="197"/>
      <c r="AU1219" s="197"/>
      <c r="AV1219" s="197"/>
      <c r="AW1219" s="197"/>
    </row>
    <row r="1220" spans="28:49" s="196" customFormat="1">
      <c r="AB1220" s="201"/>
      <c r="AC1220" s="201"/>
      <c r="AD1220" s="197"/>
      <c r="AE1220" s="197"/>
      <c r="AF1220" s="197"/>
      <c r="AG1220" s="197"/>
      <c r="AH1220" s="197"/>
      <c r="AI1220" s="197"/>
      <c r="AJ1220" s="197"/>
      <c r="AK1220" s="197"/>
      <c r="AL1220" s="197"/>
      <c r="AM1220" s="197"/>
      <c r="AN1220" s="197"/>
      <c r="AO1220" s="197"/>
      <c r="AP1220" s="197"/>
      <c r="AQ1220" s="197"/>
      <c r="AR1220" s="197"/>
      <c r="AS1220" s="197"/>
      <c r="AT1220" s="197"/>
      <c r="AU1220" s="197"/>
      <c r="AV1220" s="197"/>
      <c r="AW1220" s="197"/>
    </row>
    <row r="1221" spans="28:49" s="196" customFormat="1">
      <c r="AB1221" s="201"/>
      <c r="AC1221" s="201"/>
      <c r="AD1221" s="197"/>
      <c r="AE1221" s="197"/>
      <c r="AF1221" s="197"/>
      <c r="AG1221" s="197"/>
      <c r="AH1221" s="197"/>
      <c r="AI1221" s="197"/>
      <c r="AJ1221" s="197"/>
      <c r="AK1221" s="197"/>
      <c r="AL1221" s="197"/>
      <c r="AM1221" s="197"/>
      <c r="AN1221" s="197"/>
      <c r="AO1221" s="197"/>
      <c r="AP1221" s="197"/>
      <c r="AQ1221" s="197"/>
      <c r="AR1221" s="197"/>
      <c r="AS1221" s="197"/>
      <c r="AT1221" s="197"/>
      <c r="AU1221" s="197"/>
      <c r="AV1221" s="197"/>
      <c r="AW1221" s="197"/>
    </row>
    <row r="1222" spans="28:49" s="196" customFormat="1">
      <c r="AB1222" s="201"/>
      <c r="AC1222" s="201"/>
      <c r="AD1222" s="197"/>
      <c r="AE1222" s="197"/>
      <c r="AF1222" s="197"/>
      <c r="AG1222" s="197"/>
      <c r="AH1222" s="197"/>
      <c r="AI1222" s="197"/>
      <c r="AJ1222" s="197"/>
      <c r="AK1222" s="197"/>
      <c r="AL1222" s="197"/>
      <c r="AM1222" s="197"/>
      <c r="AN1222" s="197"/>
      <c r="AO1222" s="197"/>
      <c r="AP1222" s="197"/>
      <c r="AQ1222" s="197"/>
      <c r="AR1222" s="197"/>
      <c r="AS1222" s="197"/>
      <c r="AT1222" s="197"/>
      <c r="AU1222" s="197"/>
      <c r="AV1222" s="197"/>
      <c r="AW1222" s="197"/>
    </row>
    <row r="1223" spans="28:49" s="196" customFormat="1">
      <c r="AB1223" s="201"/>
      <c r="AC1223" s="201"/>
      <c r="AD1223" s="197"/>
      <c r="AE1223" s="197"/>
      <c r="AF1223" s="197"/>
      <c r="AG1223" s="197"/>
      <c r="AH1223" s="197"/>
      <c r="AI1223" s="197"/>
      <c r="AJ1223" s="197"/>
      <c r="AK1223" s="197"/>
      <c r="AL1223" s="197"/>
      <c r="AM1223" s="197"/>
      <c r="AN1223" s="197"/>
      <c r="AO1223" s="197"/>
      <c r="AP1223" s="197"/>
      <c r="AQ1223" s="197"/>
      <c r="AR1223" s="197"/>
      <c r="AS1223" s="197"/>
      <c r="AT1223" s="197"/>
      <c r="AU1223" s="197"/>
      <c r="AV1223" s="197"/>
      <c r="AW1223" s="197"/>
    </row>
    <row r="1224" spans="28:49" s="196" customFormat="1">
      <c r="AB1224" s="201"/>
      <c r="AC1224" s="201"/>
      <c r="AD1224" s="197"/>
      <c r="AE1224" s="197"/>
      <c r="AF1224" s="197"/>
      <c r="AG1224" s="197"/>
      <c r="AH1224" s="197"/>
      <c r="AI1224" s="197"/>
      <c r="AJ1224" s="197"/>
      <c r="AK1224" s="197"/>
      <c r="AL1224" s="197"/>
      <c r="AM1224" s="197"/>
      <c r="AN1224" s="197"/>
      <c r="AO1224" s="197"/>
      <c r="AP1224" s="197"/>
      <c r="AQ1224" s="197"/>
      <c r="AR1224" s="197"/>
      <c r="AS1224" s="197"/>
      <c r="AT1224" s="197"/>
      <c r="AU1224" s="197"/>
      <c r="AV1224" s="197"/>
      <c r="AW1224" s="197"/>
    </row>
    <row r="1225" spans="28:49" s="196" customFormat="1">
      <c r="AB1225" s="201"/>
      <c r="AC1225" s="201"/>
      <c r="AD1225" s="197"/>
      <c r="AE1225" s="197"/>
      <c r="AF1225" s="197"/>
      <c r="AG1225" s="197"/>
      <c r="AH1225" s="197"/>
      <c r="AI1225" s="197"/>
      <c r="AJ1225" s="197"/>
      <c r="AK1225" s="197"/>
      <c r="AL1225" s="197"/>
      <c r="AM1225" s="197"/>
      <c r="AN1225" s="197"/>
      <c r="AO1225" s="197"/>
      <c r="AP1225" s="197"/>
      <c r="AQ1225" s="197"/>
      <c r="AR1225" s="197"/>
      <c r="AS1225" s="197"/>
      <c r="AT1225" s="197"/>
      <c r="AU1225" s="197"/>
      <c r="AV1225" s="197"/>
      <c r="AW1225" s="197"/>
    </row>
    <row r="1226" spans="28:49" s="196" customFormat="1">
      <c r="AB1226" s="201"/>
      <c r="AC1226" s="201"/>
      <c r="AD1226" s="197"/>
      <c r="AE1226" s="197"/>
      <c r="AF1226" s="197"/>
      <c r="AG1226" s="197"/>
      <c r="AH1226" s="197"/>
      <c r="AI1226" s="197"/>
      <c r="AJ1226" s="197"/>
      <c r="AK1226" s="197"/>
      <c r="AL1226" s="197"/>
      <c r="AM1226" s="197"/>
      <c r="AN1226" s="197"/>
      <c r="AO1226" s="197"/>
      <c r="AP1226" s="197"/>
      <c r="AQ1226" s="197"/>
      <c r="AR1226" s="197"/>
      <c r="AS1226" s="197"/>
      <c r="AT1226" s="197"/>
      <c r="AU1226" s="197"/>
      <c r="AV1226" s="197"/>
      <c r="AW1226" s="197"/>
    </row>
    <row r="1227" spans="28:49" s="196" customFormat="1">
      <c r="AB1227" s="201"/>
      <c r="AC1227" s="201"/>
      <c r="AD1227" s="197"/>
      <c r="AE1227" s="197"/>
      <c r="AF1227" s="197"/>
      <c r="AG1227" s="197"/>
      <c r="AH1227" s="197"/>
      <c r="AI1227" s="197"/>
      <c r="AJ1227" s="197"/>
      <c r="AK1227" s="197"/>
      <c r="AL1227" s="197"/>
      <c r="AM1227" s="197"/>
      <c r="AN1227" s="197"/>
      <c r="AO1227" s="197"/>
      <c r="AP1227" s="197"/>
      <c r="AQ1227" s="197"/>
      <c r="AR1227" s="197"/>
      <c r="AS1227" s="197"/>
      <c r="AT1227" s="197"/>
      <c r="AU1227" s="197"/>
      <c r="AV1227" s="197"/>
      <c r="AW1227" s="197"/>
    </row>
    <row r="1228" spans="28:49" s="196" customFormat="1">
      <c r="AB1228" s="201"/>
      <c r="AC1228" s="201"/>
      <c r="AD1228" s="197"/>
      <c r="AE1228" s="197"/>
      <c r="AF1228" s="197"/>
      <c r="AG1228" s="197"/>
      <c r="AH1228" s="197"/>
      <c r="AI1228" s="197"/>
      <c r="AJ1228" s="197"/>
      <c r="AK1228" s="197"/>
      <c r="AL1228" s="197"/>
      <c r="AM1228" s="197"/>
      <c r="AN1228" s="197"/>
      <c r="AO1228" s="197"/>
      <c r="AP1228" s="197"/>
      <c r="AQ1228" s="197"/>
      <c r="AR1228" s="197"/>
      <c r="AS1228" s="197"/>
      <c r="AT1228" s="197"/>
      <c r="AU1228" s="197"/>
      <c r="AV1228" s="197"/>
      <c r="AW1228" s="197"/>
    </row>
    <row r="1229" spans="28:49" s="196" customFormat="1">
      <c r="AB1229" s="201"/>
      <c r="AC1229" s="201"/>
      <c r="AD1229" s="197"/>
      <c r="AE1229" s="197"/>
      <c r="AF1229" s="197"/>
      <c r="AG1229" s="197"/>
      <c r="AH1229" s="197"/>
      <c r="AI1229" s="197"/>
      <c r="AJ1229" s="197"/>
      <c r="AK1229" s="197"/>
      <c r="AL1229" s="197"/>
      <c r="AM1229" s="197"/>
      <c r="AN1229" s="197"/>
      <c r="AO1229" s="197"/>
      <c r="AP1229" s="197"/>
      <c r="AQ1229" s="197"/>
      <c r="AR1229" s="197"/>
      <c r="AS1229" s="197"/>
      <c r="AT1229" s="197"/>
      <c r="AU1229" s="197"/>
      <c r="AV1229" s="197"/>
      <c r="AW1229" s="197"/>
    </row>
    <row r="1230" spans="28:49" s="196" customFormat="1">
      <c r="AB1230" s="201"/>
      <c r="AC1230" s="201"/>
      <c r="AD1230" s="197"/>
      <c r="AE1230" s="197"/>
      <c r="AF1230" s="197"/>
      <c r="AG1230" s="197"/>
      <c r="AH1230" s="197"/>
      <c r="AI1230" s="197"/>
      <c r="AJ1230" s="197"/>
      <c r="AK1230" s="197"/>
      <c r="AL1230" s="197"/>
      <c r="AM1230" s="197"/>
      <c r="AN1230" s="197"/>
      <c r="AO1230" s="197"/>
      <c r="AP1230" s="197"/>
      <c r="AQ1230" s="197"/>
      <c r="AR1230" s="197"/>
      <c r="AS1230" s="197"/>
      <c r="AT1230" s="197"/>
      <c r="AU1230" s="197"/>
      <c r="AV1230" s="197"/>
      <c r="AW1230" s="197"/>
    </row>
    <row r="1231" spans="28:49" s="196" customFormat="1">
      <c r="AB1231" s="201"/>
      <c r="AC1231" s="201"/>
      <c r="AD1231" s="197"/>
      <c r="AE1231" s="197"/>
      <c r="AF1231" s="197"/>
      <c r="AG1231" s="197"/>
      <c r="AH1231" s="197"/>
      <c r="AI1231" s="197"/>
      <c r="AJ1231" s="197"/>
      <c r="AK1231" s="197"/>
      <c r="AL1231" s="197"/>
      <c r="AM1231" s="197"/>
      <c r="AN1231" s="197"/>
      <c r="AO1231" s="197"/>
      <c r="AP1231" s="197"/>
      <c r="AQ1231" s="197"/>
      <c r="AR1231" s="197"/>
      <c r="AS1231" s="197"/>
      <c r="AT1231" s="197"/>
      <c r="AU1231" s="197"/>
      <c r="AV1231" s="197"/>
      <c r="AW1231" s="197"/>
    </row>
    <row r="1232" spans="28:49" s="196" customFormat="1">
      <c r="AB1232" s="201"/>
      <c r="AC1232" s="201"/>
      <c r="AD1232" s="197"/>
      <c r="AE1232" s="197"/>
      <c r="AF1232" s="197"/>
      <c r="AG1232" s="197"/>
      <c r="AH1232" s="197"/>
      <c r="AI1232" s="197"/>
      <c r="AJ1232" s="197"/>
      <c r="AK1232" s="197"/>
      <c r="AL1232" s="197"/>
      <c r="AM1232" s="197"/>
      <c r="AN1232" s="197"/>
      <c r="AO1232" s="197"/>
      <c r="AP1232" s="197"/>
      <c r="AQ1232" s="197"/>
      <c r="AR1232" s="197"/>
      <c r="AS1232" s="197"/>
      <c r="AT1232" s="197"/>
      <c r="AU1232" s="197"/>
      <c r="AV1232" s="197"/>
      <c r="AW1232" s="197"/>
    </row>
    <row r="1233" spans="28:49" s="196" customFormat="1">
      <c r="AB1233" s="201"/>
      <c r="AC1233" s="201"/>
      <c r="AD1233" s="197"/>
      <c r="AE1233" s="197"/>
      <c r="AF1233" s="197"/>
      <c r="AG1233" s="197"/>
      <c r="AH1233" s="197"/>
      <c r="AI1233" s="197"/>
      <c r="AJ1233" s="197"/>
      <c r="AK1233" s="197"/>
      <c r="AL1233" s="197"/>
      <c r="AM1233" s="197"/>
      <c r="AN1233" s="197"/>
      <c r="AO1233" s="197"/>
      <c r="AP1233" s="197"/>
      <c r="AQ1233" s="197"/>
      <c r="AR1233" s="197"/>
      <c r="AS1233" s="197"/>
      <c r="AT1233" s="197"/>
      <c r="AU1233" s="197"/>
      <c r="AV1233" s="197"/>
      <c r="AW1233" s="197"/>
    </row>
    <row r="1234" spans="28:49" s="196" customFormat="1">
      <c r="AB1234" s="201"/>
      <c r="AC1234" s="201"/>
      <c r="AD1234" s="197"/>
      <c r="AE1234" s="197"/>
      <c r="AF1234" s="197"/>
      <c r="AG1234" s="197"/>
      <c r="AH1234" s="197"/>
      <c r="AI1234" s="197"/>
      <c r="AJ1234" s="197"/>
      <c r="AK1234" s="197"/>
      <c r="AL1234" s="197"/>
      <c r="AM1234" s="197"/>
      <c r="AN1234" s="197"/>
      <c r="AO1234" s="197"/>
      <c r="AP1234" s="197"/>
      <c r="AQ1234" s="197"/>
      <c r="AR1234" s="197"/>
      <c r="AS1234" s="197"/>
      <c r="AT1234" s="197"/>
      <c r="AU1234" s="197"/>
      <c r="AV1234" s="197"/>
      <c r="AW1234" s="197"/>
    </row>
    <row r="1235" spans="28:49" s="196" customFormat="1">
      <c r="AB1235" s="201"/>
      <c r="AC1235" s="201"/>
      <c r="AD1235" s="197"/>
      <c r="AE1235" s="197"/>
      <c r="AF1235" s="197"/>
      <c r="AG1235" s="197"/>
      <c r="AH1235" s="197"/>
      <c r="AI1235" s="197"/>
      <c r="AJ1235" s="197"/>
      <c r="AK1235" s="197"/>
      <c r="AL1235" s="197"/>
      <c r="AM1235" s="197"/>
      <c r="AN1235" s="197"/>
      <c r="AO1235" s="197"/>
      <c r="AP1235" s="197"/>
      <c r="AQ1235" s="197"/>
      <c r="AR1235" s="197"/>
      <c r="AS1235" s="197"/>
      <c r="AT1235" s="197"/>
      <c r="AU1235" s="197"/>
      <c r="AV1235" s="197"/>
      <c r="AW1235" s="197"/>
    </row>
    <row r="1236" spans="28:49" s="196" customFormat="1">
      <c r="AB1236" s="201"/>
      <c r="AC1236" s="201"/>
      <c r="AD1236" s="197"/>
      <c r="AE1236" s="197"/>
      <c r="AF1236" s="197"/>
      <c r="AG1236" s="197"/>
      <c r="AH1236" s="197"/>
      <c r="AI1236" s="197"/>
      <c r="AJ1236" s="197"/>
      <c r="AK1236" s="197"/>
      <c r="AL1236" s="197"/>
      <c r="AM1236" s="197"/>
      <c r="AN1236" s="197"/>
      <c r="AO1236" s="197"/>
      <c r="AP1236" s="197"/>
      <c r="AQ1236" s="197"/>
      <c r="AR1236" s="197"/>
      <c r="AS1236" s="197"/>
      <c r="AT1236" s="197"/>
      <c r="AU1236" s="197"/>
      <c r="AV1236" s="197"/>
      <c r="AW1236" s="197"/>
    </row>
    <row r="1237" spans="28:49" s="196" customFormat="1">
      <c r="AB1237" s="201"/>
      <c r="AC1237" s="201"/>
      <c r="AD1237" s="197"/>
      <c r="AE1237" s="197"/>
      <c r="AF1237" s="197"/>
      <c r="AG1237" s="197"/>
      <c r="AH1237" s="197"/>
      <c r="AI1237" s="197"/>
      <c r="AJ1237" s="197"/>
      <c r="AK1237" s="197"/>
      <c r="AL1237" s="197"/>
      <c r="AM1237" s="197"/>
      <c r="AN1237" s="197"/>
      <c r="AO1237" s="197"/>
      <c r="AP1237" s="197"/>
      <c r="AQ1237" s="197"/>
      <c r="AR1237" s="197"/>
      <c r="AS1237" s="197"/>
      <c r="AT1237" s="197"/>
      <c r="AU1237" s="197"/>
      <c r="AV1237" s="197"/>
      <c r="AW1237" s="197"/>
    </row>
    <row r="1238" spans="28:49" s="196" customFormat="1">
      <c r="AB1238" s="201"/>
      <c r="AC1238" s="201"/>
      <c r="AD1238" s="197"/>
      <c r="AE1238" s="197"/>
      <c r="AF1238" s="197"/>
      <c r="AG1238" s="197"/>
      <c r="AH1238" s="197"/>
      <c r="AI1238" s="197"/>
      <c r="AJ1238" s="197"/>
      <c r="AK1238" s="197"/>
      <c r="AL1238" s="197"/>
      <c r="AM1238" s="197"/>
      <c r="AN1238" s="197"/>
      <c r="AO1238" s="197"/>
      <c r="AP1238" s="197"/>
      <c r="AQ1238" s="197"/>
      <c r="AR1238" s="197"/>
      <c r="AS1238" s="197"/>
      <c r="AT1238" s="197"/>
      <c r="AU1238" s="197"/>
      <c r="AV1238" s="197"/>
      <c r="AW1238" s="197"/>
    </row>
    <row r="1239" spans="28:49" s="196" customFormat="1">
      <c r="AB1239" s="201"/>
      <c r="AC1239" s="201"/>
      <c r="AD1239" s="197"/>
      <c r="AE1239" s="197"/>
      <c r="AF1239" s="197"/>
      <c r="AG1239" s="197"/>
      <c r="AH1239" s="197"/>
      <c r="AI1239" s="197"/>
      <c r="AJ1239" s="197"/>
      <c r="AK1239" s="197"/>
      <c r="AL1239" s="197"/>
      <c r="AM1239" s="197"/>
      <c r="AN1239" s="197"/>
      <c r="AO1239" s="197"/>
      <c r="AP1239" s="197"/>
      <c r="AQ1239" s="197"/>
      <c r="AR1239" s="197"/>
      <c r="AS1239" s="197"/>
      <c r="AT1239" s="197"/>
      <c r="AU1239" s="197"/>
      <c r="AV1239" s="197"/>
      <c r="AW1239" s="197"/>
    </row>
    <row r="1240" spans="28:49" s="196" customFormat="1">
      <c r="AB1240" s="201"/>
      <c r="AC1240" s="201"/>
      <c r="AD1240" s="197"/>
      <c r="AE1240" s="197"/>
      <c r="AF1240" s="197"/>
      <c r="AG1240" s="197"/>
      <c r="AH1240" s="197"/>
      <c r="AI1240" s="197"/>
      <c r="AJ1240" s="197"/>
      <c r="AK1240" s="197"/>
      <c r="AL1240" s="197"/>
      <c r="AM1240" s="197"/>
      <c r="AN1240" s="197"/>
      <c r="AO1240" s="197"/>
      <c r="AP1240" s="197"/>
      <c r="AQ1240" s="197"/>
      <c r="AR1240" s="197"/>
      <c r="AS1240" s="197"/>
      <c r="AT1240" s="197"/>
      <c r="AU1240" s="197"/>
      <c r="AV1240" s="197"/>
      <c r="AW1240" s="197"/>
    </row>
    <row r="1241" spans="28:49" s="196" customFormat="1">
      <c r="AB1241" s="201"/>
      <c r="AC1241" s="201"/>
      <c r="AD1241" s="197"/>
      <c r="AE1241" s="197"/>
      <c r="AF1241" s="197"/>
      <c r="AG1241" s="197"/>
      <c r="AH1241" s="197"/>
      <c r="AI1241" s="197"/>
      <c r="AJ1241" s="197"/>
      <c r="AK1241" s="197"/>
      <c r="AL1241" s="197"/>
      <c r="AM1241" s="197"/>
      <c r="AN1241" s="197"/>
      <c r="AO1241" s="197"/>
      <c r="AP1241" s="197"/>
      <c r="AQ1241" s="197"/>
      <c r="AR1241" s="197"/>
      <c r="AS1241" s="197"/>
      <c r="AT1241" s="197"/>
      <c r="AU1241" s="197"/>
      <c r="AV1241" s="197"/>
      <c r="AW1241" s="197"/>
    </row>
    <row r="1242" spans="28:49" s="196" customFormat="1">
      <c r="AB1242" s="201"/>
      <c r="AC1242" s="201"/>
      <c r="AD1242" s="197"/>
      <c r="AE1242" s="197"/>
      <c r="AF1242" s="197"/>
      <c r="AG1242" s="197"/>
      <c r="AH1242" s="197"/>
      <c r="AI1242" s="197"/>
      <c r="AJ1242" s="197"/>
      <c r="AK1242" s="197"/>
      <c r="AL1242" s="197"/>
      <c r="AM1242" s="197"/>
      <c r="AN1242" s="197"/>
      <c r="AO1242" s="197"/>
      <c r="AP1242" s="197"/>
      <c r="AQ1242" s="197"/>
      <c r="AR1242" s="197"/>
      <c r="AS1242" s="197"/>
      <c r="AT1242" s="197"/>
      <c r="AU1242" s="197"/>
      <c r="AV1242" s="197"/>
      <c r="AW1242" s="197"/>
    </row>
    <row r="1243" spans="28:49" s="196" customFormat="1">
      <c r="AB1243" s="201"/>
      <c r="AC1243" s="201"/>
      <c r="AD1243" s="197"/>
      <c r="AE1243" s="197"/>
      <c r="AF1243" s="197"/>
      <c r="AG1243" s="197"/>
      <c r="AH1243" s="197"/>
      <c r="AI1243" s="197"/>
      <c r="AJ1243" s="197"/>
      <c r="AK1243" s="197"/>
      <c r="AL1243" s="197"/>
      <c r="AM1243" s="197"/>
      <c r="AN1243" s="197"/>
      <c r="AO1243" s="197"/>
      <c r="AP1243" s="197"/>
      <c r="AQ1243" s="197"/>
      <c r="AR1243" s="197"/>
      <c r="AS1243" s="197"/>
      <c r="AT1243" s="197"/>
      <c r="AU1243" s="197"/>
      <c r="AV1243" s="197"/>
      <c r="AW1243" s="197"/>
    </row>
    <row r="1244" spans="28:49" s="196" customFormat="1">
      <c r="AB1244" s="201"/>
      <c r="AC1244" s="201"/>
      <c r="AD1244" s="197"/>
      <c r="AE1244" s="197"/>
      <c r="AF1244" s="197"/>
      <c r="AG1244" s="197"/>
      <c r="AH1244" s="197"/>
      <c r="AI1244" s="197"/>
      <c r="AJ1244" s="197"/>
      <c r="AK1244" s="197"/>
      <c r="AL1244" s="197"/>
      <c r="AM1244" s="197"/>
      <c r="AN1244" s="197"/>
      <c r="AO1244" s="197"/>
      <c r="AP1244" s="197"/>
      <c r="AQ1244" s="197"/>
      <c r="AR1244" s="197"/>
      <c r="AS1244" s="197"/>
      <c r="AT1244" s="197"/>
      <c r="AU1244" s="197"/>
      <c r="AV1244" s="197"/>
      <c r="AW1244" s="197"/>
    </row>
    <row r="1245" spans="28:49" s="196" customFormat="1">
      <c r="AB1245" s="201"/>
      <c r="AC1245" s="201"/>
      <c r="AD1245" s="197"/>
      <c r="AE1245" s="197"/>
      <c r="AF1245" s="197"/>
      <c r="AG1245" s="197"/>
      <c r="AH1245" s="197"/>
      <c r="AI1245" s="197"/>
      <c r="AJ1245" s="197"/>
      <c r="AK1245" s="197"/>
      <c r="AL1245" s="197"/>
      <c r="AM1245" s="197"/>
      <c r="AN1245" s="197"/>
      <c r="AO1245" s="197"/>
      <c r="AP1245" s="197"/>
      <c r="AQ1245" s="197"/>
      <c r="AR1245" s="197"/>
      <c r="AS1245" s="197"/>
      <c r="AT1245" s="197"/>
      <c r="AU1245" s="197"/>
      <c r="AV1245" s="197"/>
      <c r="AW1245" s="197"/>
    </row>
    <row r="1246" spans="28:49" s="196" customFormat="1">
      <c r="AB1246" s="201"/>
      <c r="AC1246" s="201"/>
      <c r="AD1246" s="197"/>
      <c r="AE1246" s="197"/>
      <c r="AF1246" s="197"/>
      <c r="AG1246" s="197"/>
      <c r="AH1246" s="197"/>
      <c r="AI1246" s="197"/>
      <c r="AJ1246" s="197"/>
      <c r="AK1246" s="197"/>
      <c r="AL1246" s="197"/>
      <c r="AM1246" s="197"/>
      <c r="AN1246" s="197"/>
      <c r="AO1246" s="197"/>
      <c r="AP1246" s="197"/>
      <c r="AQ1246" s="197"/>
      <c r="AR1246" s="197"/>
      <c r="AS1246" s="197"/>
      <c r="AT1246" s="197"/>
      <c r="AU1246" s="197"/>
      <c r="AV1246" s="197"/>
      <c r="AW1246" s="197"/>
    </row>
    <row r="1247" spans="28:49" s="196" customFormat="1">
      <c r="AB1247" s="201"/>
      <c r="AC1247" s="201"/>
      <c r="AD1247" s="197"/>
      <c r="AE1247" s="197"/>
      <c r="AF1247" s="197"/>
      <c r="AG1247" s="197"/>
      <c r="AH1247" s="197"/>
      <c r="AI1247" s="197"/>
      <c r="AJ1247" s="197"/>
      <c r="AK1247" s="197"/>
      <c r="AL1247" s="197"/>
      <c r="AM1247" s="197"/>
      <c r="AN1247" s="197"/>
      <c r="AO1247" s="197"/>
      <c r="AP1247" s="197"/>
      <c r="AQ1247" s="197"/>
      <c r="AR1247" s="197"/>
      <c r="AS1247" s="197"/>
      <c r="AT1247" s="197"/>
      <c r="AU1247" s="197"/>
      <c r="AV1247" s="197"/>
      <c r="AW1247" s="197"/>
    </row>
    <row r="1248" spans="28:49" s="196" customFormat="1">
      <c r="AB1248" s="201"/>
      <c r="AC1248" s="201"/>
      <c r="AD1248" s="197"/>
      <c r="AE1248" s="197"/>
      <c r="AF1248" s="197"/>
      <c r="AG1248" s="197"/>
      <c r="AH1248" s="197"/>
      <c r="AI1248" s="197"/>
      <c r="AJ1248" s="197"/>
      <c r="AK1248" s="197"/>
      <c r="AL1248" s="197"/>
      <c r="AM1248" s="197"/>
      <c r="AN1248" s="197"/>
      <c r="AO1248" s="197"/>
      <c r="AP1248" s="197"/>
      <c r="AQ1248" s="197"/>
      <c r="AR1248" s="197"/>
      <c r="AS1248" s="197"/>
      <c r="AT1248" s="197"/>
      <c r="AU1248" s="197"/>
      <c r="AV1248" s="197"/>
      <c r="AW1248" s="197"/>
    </row>
    <row r="1249" spans="28:49" s="196" customFormat="1">
      <c r="AB1249" s="201"/>
      <c r="AC1249" s="201"/>
      <c r="AD1249" s="197"/>
      <c r="AE1249" s="197"/>
      <c r="AF1249" s="197"/>
      <c r="AG1249" s="197"/>
      <c r="AH1249" s="197"/>
      <c r="AI1249" s="197"/>
      <c r="AJ1249" s="197"/>
      <c r="AK1249" s="197"/>
      <c r="AL1249" s="197"/>
      <c r="AM1249" s="197"/>
      <c r="AN1249" s="197"/>
      <c r="AO1249" s="197"/>
      <c r="AP1249" s="197"/>
      <c r="AQ1249" s="197"/>
      <c r="AR1249" s="197"/>
      <c r="AS1249" s="197"/>
      <c r="AT1249" s="197"/>
      <c r="AU1249" s="197"/>
      <c r="AV1249" s="197"/>
      <c r="AW1249" s="197"/>
    </row>
    <row r="1250" spans="28:49" s="196" customFormat="1">
      <c r="AB1250" s="201"/>
      <c r="AC1250" s="201"/>
      <c r="AD1250" s="197"/>
      <c r="AE1250" s="197"/>
      <c r="AF1250" s="197"/>
      <c r="AG1250" s="197"/>
      <c r="AH1250" s="197"/>
      <c r="AI1250" s="197"/>
      <c r="AJ1250" s="197"/>
      <c r="AK1250" s="197"/>
      <c r="AL1250" s="197"/>
      <c r="AM1250" s="197"/>
      <c r="AN1250" s="197"/>
      <c r="AO1250" s="197"/>
      <c r="AP1250" s="197"/>
      <c r="AQ1250" s="197"/>
      <c r="AR1250" s="197"/>
      <c r="AS1250" s="197"/>
      <c r="AT1250" s="197"/>
      <c r="AU1250" s="197"/>
      <c r="AV1250" s="197"/>
      <c r="AW1250" s="197"/>
    </row>
    <row r="1251" spans="28:49" s="196" customFormat="1">
      <c r="AB1251" s="201"/>
      <c r="AC1251" s="201"/>
      <c r="AD1251" s="197"/>
      <c r="AE1251" s="197"/>
      <c r="AF1251" s="197"/>
      <c r="AG1251" s="197"/>
      <c r="AH1251" s="197"/>
      <c r="AI1251" s="197"/>
      <c r="AJ1251" s="197"/>
      <c r="AK1251" s="197"/>
      <c r="AL1251" s="197"/>
      <c r="AM1251" s="197"/>
      <c r="AN1251" s="197"/>
      <c r="AO1251" s="197"/>
      <c r="AP1251" s="197"/>
      <c r="AQ1251" s="197"/>
      <c r="AR1251" s="197"/>
      <c r="AS1251" s="197"/>
      <c r="AT1251" s="197"/>
      <c r="AU1251" s="197"/>
      <c r="AV1251" s="197"/>
      <c r="AW1251" s="197"/>
    </row>
    <row r="1252" spans="28:49" s="196" customFormat="1">
      <c r="AB1252" s="201"/>
      <c r="AC1252" s="201"/>
      <c r="AD1252" s="197"/>
      <c r="AE1252" s="197"/>
      <c r="AF1252" s="197"/>
      <c r="AG1252" s="197"/>
      <c r="AH1252" s="197"/>
      <c r="AI1252" s="197"/>
      <c r="AJ1252" s="197"/>
      <c r="AK1252" s="197"/>
      <c r="AL1252" s="197"/>
      <c r="AM1252" s="197"/>
      <c r="AN1252" s="197"/>
      <c r="AO1252" s="197"/>
      <c r="AP1252" s="197"/>
      <c r="AQ1252" s="197"/>
      <c r="AR1252" s="197"/>
      <c r="AS1252" s="197"/>
      <c r="AT1252" s="197"/>
      <c r="AU1252" s="197"/>
      <c r="AV1252" s="197"/>
      <c r="AW1252" s="197"/>
    </row>
    <row r="1253" spans="28:49" s="196" customFormat="1">
      <c r="AB1253" s="201"/>
      <c r="AC1253" s="201"/>
      <c r="AD1253" s="197"/>
      <c r="AE1253" s="197"/>
      <c r="AF1253" s="197"/>
      <c r="AG1253" s="197"/>
      <c r="AH1253" s="197"/>
      <c r="AI1253" s="197"/>
      <c r="AJ1253" s="197"/>
      <c r="AK1253" s="197"/>
      <c r="AL1253" s="197"/>
      <c r="AM1253" s="197"/>
      <c r="AN1253" s="197"/>
      <c r="AO1253" s="197"/>
      <c r="AP1253" s="197"/>
      <c r="AQ1253" s="197"/>
      <c r="AR1253" s="197"/>
      <c r="AS1253" s="197"/>
      <c r="AT1253" s="197"/>
      <c r="AU1253" s="197"/>
      <c r="AV1253" s="197"/>
      <c r="AW1253" s="197"/>
    </row>
    <row r="1254" spans="28:49" s="196" customFormat="1">
      <c r="AB1254" s="201"/>
      <c r="AC1254" s="201"/>
      <c r="AD1254" s="197"/>
      <c r="AE1254" s="197"/>
      <c r="AF1254" s="197"/>
      <c r="AG1254" s="197"/>
      <c r="AH1254" s="197"/>
      <c r="AI1254" s="197"/>
      <c r="AJ1254" s="197"/>
      <c r="AK1254" s="197"/>
      <c r="AL1254" s="197"/>
      <c r="AM1254" s="197"/>
      <c r="AN1254" s="197"/>
      <c r="AO1254" s="197"/>
      <c r="AP1254" s="197"/>
      <c r="AQ1254" s="197"/>
      <c r="AR1254" s="197"/>
      <c r="AS1254" s="197"/>
      <c r="AT1254" s="197"/>
      <c r="AU1254" s="197"/>
      <c r="AV1254" s="197"/>
      <c r="AW1254" s="197"/>
    </row>
    <row r="1255" spans="28:49" s="196" customFormat="1">
      <c r="AB1255" s="201"/>
      <c r="AC1255" s="201"/>
      <c r="AD1255" s="197"/>
      <c r="AE1255" s="197"/>
      <c r="AF1255" s="197"/>
      <c r="AG1255" s="197"/>
      <c r="AH1255" s="197"/>
      <c r="AI1255" s="197"/>
      <c r="AJ1255" s="197"/>
      <c r="AK1255" s="197"/>
      <c r="AL1255" s="197"/>
      <c r="AM1255" s="197"/>
      <c r="AN1255" s="197"/>
      <c r="AO1255" s="197"/>
      <c r="AP1255" s="197"/>
      <c r="AQ1255" s="197"/>
      <c r="AR1255" s="197"/>
      <c r="AS1255" s="197"/>
      <c r="AT1255" s="197"/>
      <c r="AU1255" s="197"/>
      <c r="AV1255" s="197"/>
      <c r="AW1255" s="197"/>
    </row>
    <row r="1256" spans="28:49" s="196" customFormat="1">
      <c r="AB1256" s="201"/>
      <c r="AC1256" s="201"/>
      <c r="AD1256" s="197"/>
      <c r="AE1256" s="197"/>
      <c r="AF1256" s="197"/>
      <c r="AG1256" s="197"/>
      <c r="AH1256" s="197"/>
      <c r="AI1256" s="197"/>
      <c r="AJ1256" s="197"/>
      <c r="AK1256" s="197"/>
      <c r="AL1256" s="197"/>
      <c r="AM1256" s="197"/>
      <c r="AN1256" s="197"/>
      <c r="AO1256" s="197"/>
      <c r="AP1256" s="197"/>
      <c r="AQ1256" s="197"/>
      <c r="AR1256" s="197"/>
      <c r="AS1256" s="197"/>
      <c r="AT1256" s="197"/>
      <c r="AU1256" s="197"/>
      <c r="AV1256" s="197"/>
      <c r="AW1256" s="197"/>
    </row>
    <row r="1257" spans="28:49" s="196" customFormat="1">
      <c r="AB1257" s="201"/>
      <c r="AC1257" s="201"/>
      <c r="AD1257" s="197"/>
      <c r="AE1257" s="197"/>
      <c r="AF1257" s="197"/>
      <c r="AG1257" s="197"/>
      <c r="AH1257" s="197"/>
      <c r="AI1257" s="197"/>
      <c r="AJ1257" s="197"/>
      <c r="AK1257" s="197"/>
      <c r="AL1257" s="197"/>
      <c r="AM1257" s="197"/>
      <c r="AN1257" s="197"/>
      <c r="AO1257" s="197"/>
      <c r="AP1257" s="197"/>
      <c r="AQ1257" s="197"/>
      <c r="AR1257" s="197"/>
      <c r="AS1257" s="197"/>
      <c r="AT1257" s="197"/>
      <c r="AU1257" s="197"/>
      <c r="AV1257" s="197"/>
      <c r="AW1257" s="197"/>
    </row>
    <row r="1258" spans="28:49" s="196" customFormat="1">
      <c r="AB1258" s="201"/>
      <c r="AC1258" s="201"/>
      <c r="AD1258" s="197"/>
      <c r="AE1258" s="197"/>
      <c r="AF1258" s="197"/>
      <c r="AG1258" s="197"/>
      <c r="AH1258" s="197"/>
      <c r="AI1258" s="197"/>
      <c r="AJ1258" s="197"/>
      <c r="AK1258" s="197"/>
      <c r="AL1258" s="197"/>
      <c r="AM1258" s="197"/>
      <c r="AN1258" s="197"/>
      <c r="AO1258" s="197"/>
      <c r="AP1258" s="197"/>
      <c r="AQ1258" s="197"/>
      <c r="AR1258" s="197"/>
      <c r="AS1258" s="197"/>
      <c r="AT1258" s="197"/>
      <c r="AU1258" s="197"/>
      <c r="AV1258" s="197"/>
      <c r="AW1258" s="197"/>
    </row>
    <row r="1259" spans="28:49" s="196" customFormat="1">
      <c r="AB1259" s="201"/>
      <c r="AC1259" s="201"/>
      <c r="AD1259" s="197"/>
      <c r="AE1259" s="197"/>
      <c r="AF1259" s="197"/>
      <c r="AG1259" s="197"/>
      <c r="AH1259" s="197"/>
      <c r="AI1259" s="197"/>
      <c r="AJ1259" s="197"/>
      <c r="AK1259" s="197"/>
      <c r="AL1259" s="197"/>
      <c r="AM1259" s="197"/>
      <c r="AN1259" s="197"/>
      <c r="AO1259" s="197"/>
      <c r="AP1259" s="197"/>
      <c r="AQ1259" s="197"/>
      <c r="AR1259" s="197"/>
      <c r="AS1259" s="197"/>
      <c r="AT1259" s="197"/>
      <c r="AU1259" s="197"/>
      <c r="AV1259" s="197"/>
      <c r="AW1259" s="197"/>
    </row>
    <row r="1260" spans="28:49" s="196" customFormat="1">
      <c r="AB1260" s="201"/>
      <c r="AC1260" s="201"/>
      <c r="AD1260" s="197"/>
      <c r="AE1260" s="197"/>
      <c r="AF1260" s="197"/>
      <c r="AG1260" s="197"/>
      <c r="AH1260" s="197"/>
      <c r="AI1260" s="197"/>
      <c r="AJ1260" s="197"/>
      <c r="AK1260" s="197"/>
      <c r="AL1260" s="197"/>
      <c r="AM1260" s="197"/>
      <c r="AN1260" s="197"/>
      <c r="AO1260" s="197"/>
      <c r="AP1260" s="197"/>
      <c r="AQ1260" s="197"/>
      <c r="AR1260" s="197"/>
      <c r="AS1260" s="197"/>
      <c r="AT1260" s="197"/>
      <c r="AU1260" s="197"/>
      <c r="AV1260" s="197"/>
      <c r="AW1260" s="197"/>
    </row>
    <row r="1261" spans="28:49" s="196" customFormat="1">
      <c r="AB1261" s="201"/>
      <c r="AC1261" s="201"/>
      <c r="AD1261" s="197"/>
      <c r="AE1261" s="197"/>
      <c r="AF1261" s="197"/>
      <c r="AG1261" s="197"/>
      <c r="AH1261" s="197"/>
      <c r="AI1261" s="197"/>
      <c r="AJ1261" s="197"/>
      <c r="AK1261" s="197"/>
      <c r="AL1261" s="197"/>
      <c r="AM1261" s="197"/>
      <c r="AN1261" s="197"/>
      <c r="AO1261" s="197"/>
      <c r="AP1261" s="197"/>
      <c r="AQ1261" s="197"/>
      <c r="AR1261" s="197"/>
      <c r="AS1261" s="197"/>
      <c r="AT1261" s="197"/>
      <c r="AU1261" s="197"/>
      <c r="AV1261" s="197"/>
      <c r="AW1261" s="197"/>
    </row>
    <row r="1262" spans="28:49" s="196" customFormat="1">
      <c r="AB1262" s="201"/>
      <c r="AC1262" s="201"/>
      <c r="AD1262" s="197"/>
      <c r="AE1262" s="197"/>
      <c r="AF1262" s="197"/>
      <c r="AG1262" s="197"/>
      <c r="AH1262" s="197"/>
      <c r="AI1262" s="197"/>
      <c r="AJ1262" s="197"/>
      <c r="AK1262" s="197"/>
      <c r="AL1262" s="197"/>
      <c r="AM1262" s="197"/>
      <c r="AN1262" s="197"/>
      <c r="AO1262" s="197"/>
      <c r="AP1262" s="197"/>
      <c r="AQ1262" s="197"/>
      <c r="AR1262" s="197"/>
      <c r="AS1262" s="197"/>
      <c r="AT1262" s="197"/>
      <c r="AU1262" s="197"/>
      <c r="AV1262" s="197"/>
      <c r="AW1262" s="197"/>
    </row>
    <row r="1263" spans="28:49" s="196" customFormat="1">
      <c r="AB1263" s="201"/>
      <c r="AC1263" s="201"/>
      <c r="AD1263" s="197"/>
      <c r="AE1263" s="197"/>
      <c r="AF1263" s="197"/>
      <c r="AG1263" s="197"/>
      <c r="AH1263" s="197"/>
      <c r="AI1263" s="197"/>
      <c r="AJ1263" s="197"/>
      <c r="AK1263" s="197"/>
      <c r="AL1263" s="197"/>
      <c r="AM1263" s="197"/>
      <c r="AN1263" s="197"/>
      <c r="AO1263" s="197"/>
      <c r="AP1263" s="197"/>
      <c r="AQ1263" s="197"/>
      <c r="AR1263" s="197"/>
      <c r="AS1263" s="197"/>
      <c r="AT1263" s="197"/>
      <c r="AU1263" s="197"/>
      <c r="AV1263" s="197"/>
      <c r="AW1263" s="197"/>
    </row>
    <row r="1264" spans="28:49" s="196" customFormat="1">
      <c r="AB1264" s="201"/>
      <c r="AC1264" s="201"/>
      <c r="AD1264" s="197"/>
      <c r="AE1264" s="197"/>
      <c r="AF1264" s="197"/>
      <c r="AG1264" s="197"/>
      <c r="AH1264" s="197"/>
      <c r="AI1264" s="197"/>
      <c r="AJ1264" s="197"/>
      <c r="AK1264" s="197"/>
      <c r="AL1264" s="197"/>
      <c r="AM1264" s="197"/>
      <c r="AN1264" s="197"/>
      <c r="AO1264" s="197"/>
      <c r="AP1264" s="197"/>
      <c r="AQ1264" s="197"/>
      <c r="AR1264" s="197"/>
      <c r="AS1264" s="197"/>
      <c r="AT1264" s="197"/>
      <c r="AU1264" s="197"/>
      <c r="AV1264" s="197"/>
      <c r="AW1264" s="197"/>
    </row>
    <row r="1265" spans="28:49" s="196" customFormat="1">
      <c r="AB1265" s="201"/>
      <c r="AC1265" s="201"/>
      <c r="AD1265" s="197"/>
      <c r="AE1265" s="197"/>
      <c r="AF1265" s="197"/>
      <c r="AG1265" s="197"/>
      <c r="AH1265" s="197"/>
      <c r="AI1265" s="197"/>
      <c r="AJ1265" s="197"/>
      <c r="AK1265" s="197"/>
      <c r="AL1265" s="197"/>
      <c r="AM1265" s="197"/>
      <c r="AN1265" s="197"/>
      <c r="AO1265" s="197"/>
      <c r="AP1265" s="197"/>
      <c r="AQ1265" s="197"/>
      <c r="AR1265" s="197"/>
      <c r="AS1265" s="197"/>
      <c r="AT1265" s="197"/>
      <c r="AU1265" s="197"/>
      <c r="AV1265" s="197"/>
      <c r="AW1265" s="197"/>
    </row>
    <row r="1266" spans="28:49" s="196" customFormat="1">
      <c r="AB1266" s="201"/>
      <c r="AC1266" s="201"/>
      <c r="AD1266" s="197"/>
      <c r="AE1266" s="197"/>
      <c r="AF1266" s="197"/>
      <c r="AG1266" s="197"/>
      <c r="AH1266" s="197"/>
      <c r="AI1266" s="197"/>
      <c r="AJ1266" s="197"/>
      <c r="AK1266" s="197"/>
      <c r="AL1266" s="197"/>
      <c r="AM1266" s="197"/>
      <c r="AN1266" s="197"/>
      <c r="AO1266" s="197"/>
      <c r="AP1266" s="197"/>
      <c r="AQ1266" s="197"/>
      <c r="AR1266" s="197"/>
      <c r="AS1266" s="197"/>
      <c r="AT1266" s="197"/>
      <c r="AU1266" s="197"/>
      <c r="AV1266" s="197"/>
      <c r="AW1266" s="197"/>
    </row>
    <row r="1267" spans="28:49" s="196" customFormat="1">
      <c r="AB1267" s="201"/>
      <c r="AC1267" s="201"/>
      <c r="AD1267" s="197"/>
      <c r="AE1267" s="197"/>
      <c r="AF1267" s="197"/>
      <c r="AG1267" s="197"/>
      <c r="AH1267" s="197"/>
      <c r="AI1267" s="197"/>
      <c r="AJ1267" s="197"/>
      <c r="AK1267" s="197"/>
      <c r="AL1267" s="197"/>
      <c r="AM1267" s="197"/>
      <c r="AN1267" s="197"/>
      <c r="AO1267" s="197"/>
      <c r="AP1267" s="197"/>
      <c r="AQ1267" s="197"/>
      <c r="AR1267" s="197"/>
      <c r="AS1267" s="197"/>
      <c r="AT1267" s="197"/>
      <c r="AU1267" s="197"/>
      <c r="AV1267" s="197"/>
      <c r="AW1267" s="197"/>
    </row>
    <row r="1268" spans="28:49" s="196" customFormat="1">
      <c r="AB1268" s="201"/>
      <c r="AC1268" s="201"/>
      <c r="AD1268" s="197"/>
      <c r="AE1268" s="197"/>
      <c r="AF1268" s="197"/>
      <c r="AG1268" s="197"/>
      <c r="AH1268" s="197"/>
      <c r="AI1268" s="197"/>
      <c r="AJ1268" s="197"/>
      <c r="AK1268" s="197"/>
      <c r="AL1268" s="197"/>
      <c r="AM1268" s="197"/>
      <c r="AN1268" s="197"/>
      <c r="AO1268" s="197"/>
      <c r="AP1268" s="197"/>
      <c r="AQ1268" s="197"/>
      <c r="AR1268" s="197"/>
      <c r="AS1268" s="197"/>
      <c r="AT1268" s="197"/>
      <c r="AU1268" s="197"/>
      <c r="AV1268" s="197"/>
      <c r="AW1268" s="197"/>
    </row>
    <row r="1269" spans="28:49" s="196" customFormat="1">
      <c r="AB1269" s="201"/>
      <c r="AC1269" s="201"/>
      <c r="AD1269" s="197"/>
      <c r="AE1269" s="197"/>
      <c r="AF1269" s="197"/>
      <c r="AG1269" s="197"/>
      <c r="AH1269" s="197"/>
      <c r="AI1269" s="197"/>
      <c r="AJ1269" s="197"/>
      <c r="AK1269" s="197"/>
      <c r="AL1269" s="197"/>
      <c r="AM1269" s="197"/>
      <c r="AN1269" s="197"/>
      <c r="AO1269" s="197"/>
      <c r="AP1269" s="197"/>
      <c r="AQ1269" s="197"/>
      <c r="AR1269" s="197"/>
      <c r="AS1269" s="197"/>
      <c r="AT1269" s="197"/>
      <c r="AU1269" s="197"/>
      <c r="AV1269" s="197"/>
      <c r="AW1269" s="197"/>
    </row>
    <row r="1270" spans="28:49" s="196" customFormat="1">
      <c r="AB1270" s="201"/>
      <c r="AC1270" s="201"/>
      <c r="AD1270" s="197"/>
      <c r="AE1270" s="197"/>
      <c r="AF1270" s="197"/>
      <c r="AG1270" s="197"/>
      <c r="AH1270" s="197"/>
      <c r="AI1270" s="197"/>
      <c r="AJ1270" s="197"/>
      <c r="AK1270" s="197"/>
      <c r="AL1270" s="197"/>
      <c r="AM1270" s="197"/>
      <c r="AN1270" s="197"/>
      <c r="AO1270" s="197"/>
      <c r="AP1270" s="197"/>
      <c r="AQ1270" s="197"/>
      <c r="AR1270" s="197"/>
      <c r="AS1270" s="197"/>
      <c r="AT1270" s="197"/>
      <c r="AU1270" s="197"/>
      <c r="AV1270" s="197"/>
      <c r="AW1270" s="197"/>
    </row>
    <row r="1271" spans="28:49" s="196" customFormat="1">
      <c r="AB1271" s="201"/>
      <c r="AC1271" s="201"/>
      <c r="AD1271" s="197"/>
      <c r="AE1271" s="197"/>
      <c r="AF1271" s="197"/>
      <c r="AG1271" s="197"/>
      <c r="AH1271" s="197"/>
      <c r="AI1271" s="197"/>
      <c r="AJ1271" s="197"/>
      <c r="AK1271" s="197"/>
      <c r="AL1271" s="197"/>
      <c r="AM1271" s="197"/>
      <c r="AN1271" s="197"/>
      <c r="AO1271" s="197"/>
      <c r="AP1271" s="197"/>
      <c r="AQ1271" s="197"/>
      <c r="AR1271" s="197"/>
      <c r="AS1271" s="197"/>
      <c r="AT1271" s="197"/>
      <c r="AU1271" s="197"/>
      <c r="AV1271" s="197"/>
      <c r="AW1271" s="197"/>
    </row>
    <row r="1272" spans="28:49" s="196" customFormat="1">
      <c r="AB1272" s="201"/>
      <c r="AC1272" s="201"/>
      <c r="AD1272" s="197"/>
      <c r="AE1272" s="197"/>
      <c r="AF1272" s="197"/>
      <c r="AG1272" s="197"/>
      <c r="AH1272" s="197"/>
      <c r="AI1272" s="197"/>
      <c r="AJ1272" s="197"/>
      <c r="AK1272" s="197"/>
      <c r="AL1272" s="197"/>
      <c r="AM1272" s="197"/>
      <c r="AN1272" s="197"/>
      <c r="AO1272" s="197"/>
      <c r="AP1272" s="197"/>
      <c r="AQ1272" s="197"/>
      <c r="AR1272" s="197"/>
      <c r="AS1272" s="197"/>
      <c r="AT1272" s="197"/>
      <c r="AU1272" s="197"/>
      <c r="AV1272" s="197"/>
      <c r="AW1272" s="197"/>
    </row>
    <row r="1273" spans="28:49" s="196" customFormat="1">
      <c r="AB1273" s="201"/>
      <c r="AC1273" s="201"/>
      <c r="AD1273" s="197"/>
      <c r="AE1273" s="197"/>
      <c r="AF1273" s="197"/>
      <c r="AG1273" s="197"/>
      <c r="AH1273" s="197"/>
      <c r="AI1273" s="197"/>
      <c r="AJ1273" s="197"/>
      <c r="AK1273" s="197"/>
      <c r="AL1273" s="197"/>
      <c r="AM1273" s="197"/>
      <c r="AN1273" s="197"/>
      <c r="AO1273" s="197"/>
      <c r="AP1273" s="197"/>
      <c r="AQ1273" s="197"/>
      <c r="AR1273" s="197"/>
      <c r="AS1273" s="197"/>
      <c r="AT1273" s="197"/>
      <c r="AU1273" s="197"/>
      <c r="AV1273" s="197"/>
      <c r="AW1273" s="197"/>
    </row>
    <row r="1274" spans="28:49" s="196" customFormat="1">
      <c r="AB1274" s="201"/>
      <c r="AC1274" s="201"/>
      <c r="AD1274" s="197"/>
      <c r="AE1274" s="197"/>
      <c r="AF1274" s="197"/>
      <c r="AG1274" s="197"/>
      <c r="AH1274" s="197"/>
      <c r="AI1274" s="197"/>
      <c r="AJ1274" s="197"/>
      <c r="AK1274" s="197"/>
      <c r="AL1274" s="197"/>
      <c r="AM1274" s="197"/>
      <c r="AN1274" s="197"/>
      <c r="AO1274" s="197"/>
      <c r="AP1274" s="197"/>
      <c r="AQ1274" s="197"/>
      <c r="AR1274" s="197"/>
      <c r="AS1274" s="197"/>
      <c r="AT1274" s="197"/>
      <c r="AU1274" s="197"/>
      <c r="AV1274" s="197"/>
      <c r="AW1274" s="197"/>
    </row>
    <row r="1275" spans="28:49" s="196" customFormat="1">
      <c r="AB1275" s="201"/>
      <c r="AC1275" s="201"/>
      <c r="AD1275" s="197"/>
      <c r="AE1275" s="197"/>
      <c r="AF1275" s="197"/>
      <c r="AG1275" s="197"/>
      <c r="AH1275" s="197"/>
      <c r="AI1275" s="197"/>
      <c r="AJ1275" s="197"/>
      <c r="AK1275" s="197"/>
      <c r="AL1275" s="197"/>
      <c r="AM1275" s="197"/>
      <c r="AN1275" s="197"/>
      <c r="AO1275" s="197"/>
      <c r="AP1275" s="197"/>
      <c r="AQ1275" s="197"/>
      <c r="AR1275" s="197"/>
      <c r="AS1275" s="197"/>
      <c r="AT1275" s="197"/>
      <c r="AU1275" s="197"/>
      <c r="AV1275" s="197"/>
      <c r="AW1275" s="197"/>
    </row>
    <row r="1276" spans="28:49" s="196" customFormat="1">
      <c r="AB1276" s="201"/>
      <c r="AC1276" s="201"/>
      <c r="AD1276" s="197"/>
      <c r="AE1276" s="197"/>
      <c r="AF1276" s="197"/>
      <c r="AG1276" s="197"/>
      <c r="AH1276" s="197"/>
      <c r="AI1276" s="197"/>
      <c r="AJ1276" s="197"/>
      <c r="AK1276" s="197"/>
      <c r="AL1276" s="197"/>
      <c r="AM1276" s="197"/>
      <c r="AN1276" s="197"/>
      <c r="AO1276" s="197"/>
      <c r="AP1276" s="197"/>
      <c r="AQ1276" s="197"/>
      <c r="AR1276" s="197"/>
      <c r="AS1276" s="197"/>
      <c r="AT1276" s="197"/>
      <c r="AU1276" s="197"/>
      <c r="AV1276" s="197"/>
      <c r="AW1276" s="197"/>
    </row>
    <row r="1277" spans="28:49" s="196" customFormat="1">
      <c r="AB1277" s="201"/>
      <c r="AC1277" s="201"/>
      <c r="AD1277" s="197"/>
      <c r="AE1277" s="197"/>
      <c r="AF1277" s="197"/>
      <c r="AG1277" s="197"/>
      <c r="AH1277" s="197"/>
      <c r="AI1277" s="197"/>
      <c r="AJ1277" s="197"/>
      <c r="AK1277" s="197"/>
      <c r="AL1277" s="197"/>
      <c r="AM1277" s="197"/>
      <c r="AN1277" s="197"/>
      <c r="AO1277" s="197"/>
      <c r="AP1277" s="197"/>
      <c r="AQ1277" s="197"/>
      <c r="AR1277" s="197"/>
      <c r="AS1277" s="197"/>
      <c r="AT1277" s="197"/>
      <c r="AU1277" s="197"/>
      <c r="AV1277" s="197"/>
      <c r="AW1277" s="197"/>
    </row>
    <row r="1278" spans="28:49" s="196" customFormat="1">
      <c r="AB1278" s="201"/>
      <c r="AC1278" s="201"/>
      <c r="AD1278" s="197"/>
      <c r="AE1278" s="197"/>
      <c r="AF1278" s="197"/>
      <c r="AG1278" s="197"/>
      <c r="AH1278" s="197"/>
      <c r="AI1278" s="197"/>
      <c r="AJ1278" s="197"/>
      <c r="AK1278" s="197"/>
      <c r="AL1278" s="197"/>
      <c r="AM1278" s="197"/>
      <c r="AN1278" s="197"/>
      <c r="AO1278" s="197"/>
      <c r="AP1278" s="197"/>
      <c r="AQ1278" s="197"/>
      <c r="AR1278" s="197"/>
      <c r="AS1278" s="197"/>
      <c r="AT1278" s="197"/>
      <c r="AU1278" s="197"/>
      <c r="AV1278" s="197"/>
      <c r="AW1278" s="197"/>
    </row>
    <row r="1279" spans="28:49" s="196" customFormat="1">
      <c r="AB1279" s="201"/>
      <c r="AC1279" s="201"/>
      <c r="AD1279" s="197"/>
      <c r="AE1279" s="197"/>
      <c r="AF1279" s="197"/>
      <c r="AG1279" s="197"/>
      <c r="AH1279" s="197"/>
      <c r="AI1279" s="197"/>
      <c r="AJ1279" s="197"/>
      <c r="AK1279" s="197"/>
      <c r="AL1279" s="197"/>
      <c r="AM1279" s="197"/>
      <c r="AN1279" s="197"/>
      <c r="AO1279" s="197"/>
      <c r="AP1279" s="197"/>
      <c r="AQ1279" s="197"/>
      <c r="AR1279" s="197"/>
      <c r="AS1279" s="197"/>
      <c r="AT1279" s="197"/>
      <c r="AU1279" s="197"/>
      <c r="AV1279" s="197"/>
      <c r="AW1279" s="197"/>
    </row>
    <row r="1280" spans="28:49" s="196" customFormat="1">
      <c r="AB1280" s="201"/>
      <c r="AC1280" s="201"/>
      <c r="AD1280" s="197"/>
      <c r="AE1280" s="197"/>
      <c r="AF1280" s="197"/>
      <c r="AG1280" s="197"/>
      <c r="AH1280" s="197"/>
      <c r="AI1280" s="197"/>
      <c r="AJ1280" s="197"/>
      <c r="AK1280" s="197"/>
      <c r="AL1280" s="197"/>
      <c r="AM1280" s="197"/>
      <c r="AN1280" s="197"/>
      <c r="AO1280" s="197"/>
      <c r="AP1280" s="197"/>
      <c r="AQ1280" s="197"/>
      <c r="AR1280" s="197"/>
      <c r="AS1280" s="197"/>
      <c r="AT1280" s="197"/>
      <c r="AU1280" s="197"/>
      <c r="AV1280" s="197"/>
      <c r="AW1280" s="197"/>
    </row>
    <row r="1281" spans="28:49" s="196" customFormat="1">
      <c r="AB1281" s="201"/>
      <c r="AC1281" s="201"/>
      <c r="AD1281" s="197"/>
      <c r="AE1281" s="197"/>
      <c r="AF1281" s="197"/>
      <c r="AG1281" s="197"/>
      <c r="AH1281" s="197"/>
      <c r="AI1281" s="197"/>
      <c r="AJ1281" s="197"/>
      <c r="AK1281" s="197"/>
      <c r="AL1281" s="197"/>
      <c r="AM1281" s="197"/>
      <c r="AN1281" s="197"/>
      <c r="AO1281" s="197"/>
      <c r="AP1281" s="197"/>
      <c r="AQ1281" s="197"/>
      <c r="AR1281" s="197"/>
      <c r="AS1281" s="197"/>
      <c r="AT1281" s="197"/>
      <c r="AU1281" s="197"/>
      <c r="AV1281" s="197"/>
      <c r="AW1281" s="197"/>
    </row>
    <row r="1282" spans="28:49" s="196" customFormat="1">
      <c r="AB1282" s="201"/>
      <c r="AC1282" s="201"/>
      <c r="AD1282" s="197"/>
      <c r="AE1282" s="197"/>
      <c r="AF1282" s="197"/>
      <c r="AG1282" s="197"/>
      <c r="AH1282" s="197"/>
      <c r="AI1282" s="197"/>
      <c r="AJ1282" s="197"/>
      <c r="AK1282" s="197"/>
      <c r="AL1282" s="197"/>
      <c r="AM1282" s="197"/>
      <c r="AN1282" s="197"/>
      <c r="AO1282" s="197"/>
      <c r="AP1282" s="197"/>
      <c r="AQ1282" s="197"/>
      <c r="AR1282" s="197"/>
      <c r="AS1282" s="197"/>
      <c r="AT1282" s="197"/>
      <c r="AU1282" s="197"/>
      <c r="AV1282" s="197"/>
      <c r="AW1282" s="197"/>
    </row>
    <row r="1283" spans="28:49" s="196" customFormat="1">
      <c r="AB1283" s="201"/>
      <c r="AC1283" s="201"/>
      <c r="AD1283" s="197"/>
      <c r="AE1283" s="197"/>
      <c r="AF1283" s="197"/>
      <c r="AG1283" s="197"/>
      <c r="AH1283" s="197"/>
      <c r="AI1283" s="197"/>
      <c r="AJ1283" s="197"/>
      <c r="AK1283" s="197"/>
      <c r="AL1283" s="197"/>
      <c r="AM1283" s="197"/>
      <c r="AN1283" s="197"/>
      <c r="AO1283" s="197"/>
      <c r="AP1283" s="197"/>
      <c r="AQ1283" s="197"/>
      <c r="AR1283" s="197"/>
      <c r="AS1283" s="197"/>
      <c r="AT1283" s="197"/>
      <c r="AU1283" s="197"/>
      <c r="AV1283" s="197"/>
      <c r="AW1283" s="197"/>
    </row>
    <row r="1284" spans="28:49" s="196" customFormat="1">
      <c r="AB1284" s="201"/>
      <c r="AC1284" s="201"/>
      <c r="AD1284" s="197"/>
      <c r="AE1284" s="197"/>
      <c r="AF1284" s="197"/>
      <c r="AG1284" s="197"/>
      <c r="AH1284" s="197"/>
      <c r="AI1284" s="197"/>
      <c r="AJ1284" s="197"/>
      <c r="AK1284" s="197"/>
      <c r="AL1284" s="197"/>
      <c r="AM1284" s="197"/>
      <c r="AN1284" s="197"/>
      <c r="AO1284" s="197"/>
      <c r="AP1284" s="197"/>
      <c r="AQ1284" s="197"/>
      <c r="AR1284" s="197"/>
      <c r="AS1284" s="197"/>
      <c r="AT1284" s="197"/>
      <c r="AU1284" s="197"/>
      <c r="AV1284" s="197"/>
      <c r="AW1284" s="197"/>
    </row>
    <row r="1285" spans="28:49" s="196" customFormat="1">
      <c r="AB1285" s="201"/>
      <c r="AC1285" s="201"/>
      <c r="AD1285" s="197"/>
      <c r="AE1285" s="197"/>
      <c r="AF1285" s="197"/>
      <c r="AG1285" s="197"/>
      <c r="AH1285" s="197"/>
      <c r="AI1285" s="197"/>
      <c r="AJ1285" s="197"/>
      <c r="AK1285" s="197"/>
      <c r="AL1285" s="197"/>
      <c r="AM1285" s="197"/>
      <c r="AN1285" s="197"/>
      <c r="AO1285" s="197"/>
      <c r="AP1285" s="197"/>
      <c r="AQ1285" s="197"/>
      <c r="AR1285" s="197"/>
      <c r="AS1285" s="197"/>
      <c r="AT1285" s="197"/>
      <c r="AU1285" s="197"/>
      <c r="AV1285" s="197"/>
      <c r="AW1285" s="197"/>
    </row>
    <row r="1286" spans="28:49" s="196" customFormat="1">
      <c r="AB1286" s="201"/>
      <c r="AC1286" s="201"/>
      <c r="AD1286" s="197"/>
      <c r="AE1286" s="197"/>
      <c r="AF1286" s="197"/>
      <c r="AG1286" s="197"/>
      <c r="AH1286" s="197"/>
      <c r="AI1286" s="197"/>
      <c r="AJ1286" s="197"/>
      <c r="AK1286" s="197"/>
      <c r="AL1286" s="197"/>
      <c r="AM1286" s="197"/>
      <c r="AN1286" s="197"/>
      <c r="AO1286" s="197"/>
      <c r="AP1286" s="197"/>
      <c r="AQ1286" s="197"/>
      <c r="AR1286" s="197"/>
      <c r="AS1286" s="197"/>
      <c r="AT1286" s="197"/>
      <c r="AU1286" s="197"/>
      <c r="AV1286" s="197"/>
      <c r="AW1286" s="197"/>
    </row>
    <row r="1287" spans="28:49" s="196" customFormat="1">
      <c r="AB1287" s="201"/>
      <c r="AC1287" s="201"/>
      <c r="AD1287" s="197"/>
      <c r="AE1287" s="197"/>
      <c r="AF1287" s="197"/>
      <c r="AG1287" s="197"/>
      <c r="AH1287" s="197"/>
      <c r="AI1287" s="197"/>
      <c r="AJ1287" s="197"/>
      <c r="AK1287" s="197"/>
      <c r="AL1287" s="197"/>
      <c r="AM1287" s="197"/>
      <c r="AN1287" s="197"/>
      <c r="AO1287" s="197"/>
      <c r="AP1287" s="197"/>
      <c r="AQ1287" s="197"/>
      <c r="AR1287" s="197"/>
      <c r="AS1287" s="197"/>
      <c r="AT1287" s="197"/>
      <c r="AU1287" s="197"/>
      <c r="AV1287" s="197"/>
      <c r="AW1287" s="197"/>
    </row>
    <row r="1288" spans="28:49" s="196" customFormat="1">
      <c r="AB1288" s="201"/>
      <c r="AC1288" s="201"/>
      <c r="AD1288" s="197"/>
      <c r="AE1288" s="197"/>
      <c r="AF1288" s="197"/>
      <c r="AG1288" s="197"/>
      <c r="AH1288" s="197"/>
      <c r="AI1288" s="197"/>
      <c r="AJ1288" s="197"/>
      <c r="AK1288" s="197"/>
      <c r="AL1288" s="197"/>
      <c r="AM1288" s="197"/>
      <c r="AN1288" s="197"/>
      <c r="AO1288" s="197"/>
      <c r="AP1288" s="197"/>
      <c r="AQ1288" s="197"/>
      <c r="AR1288" s="197"/>
      <c r="AS1288" s="197"/>
      <c r="AT1288" s="197"/>
      <c r="AU1288" s="197"/>
      <c r="AV1288" s="197"/>
      <c r="AW1288" s="197"/>
    </row>
    <row r="1289" spans="28:49" s="196" customFormat="1">
      <c r="AB1289" s="201"/>
      <c r="AC1289" s="201"/>
      <c r="AD1289" s="197"/>
      <c r="AE1289" s="197"/>
      <c r="AF1289" s="197"/>
      <c r="AG1289" s="197"/>
      <c r="AH1289" s="197"/>
      <c r="AI1289" s="197"/>
      <c r="AJ1289" s="197"/>
      <c r="AK1289" s="197"/>
      <c r="AL1289" s="197"/>
      <c r="AM1289" s="197"/>
      <c r="AN1289" s="197"/>
      <c r="AO1289" s="197"/>
      <c r="AP1289" s="197"/>
      <c r="AQ1289" s="197"/>
      <c r="AR1289" s="197"/>
      <c r="AS1289" s="197"/>
      <c r="AT1289" s="197"/>
      <c r="AU1289" s="197"/>
      <c r="AV1289" s="197"/>
      <c r="AW1289" s="197"/>
    </row>
    <row r="1290" spans="28:49" s="196" customFormat="1">
      <c r="AB1290" s="201"/>
      <c r="AC1290" s="201"/>
      <c r="AD1290" s="197"/>
      <c r="AE1290" s="197"/>
      <c r="AF1290" s="197"/>
      <c r="AG1290" s="197"/>
      <c r="AH1290" s="197"/>
      <c r="AI1290" s="197"/>
      <c r="AJ1290" s="197"/>
      <c r="AK1290" s="197"/>
      <c r="AL1290" s="197"/>
      <c r="AM1290" s="197"/>
      <c r="AN1290" s="197"/>
      <c r="AO1290" s="197"/>
      <c r="AP1290" s="197"/>
      <c r="AQ1290" s="197"/>
      <c r="AR1290" s="197"/>
      <c r="AS1290" s="197"/>
      <c r="AT1290" s="197"/>
      <c r="AU1290" s="197"/>
      <c r="AV1290" s="197"/>
      <c r="AW1290" s="197"/>
    </row>
    <row r="1291" spans="28:49" s="196" customFormat="1">
      <c r="AB1291" s="201"/>
      <c r="AC1291" s="201"/>
      <c r="AD1291" s="197"/>
      <c r="AE1291" s="197"/>
      <c r="AF1291" s="197"/>
      <c r="AG1291" s="197"/>
      <c r="AH1291" s="197"/>
      <c r="AI1291" s="197"/>
      <c r="AJ1291" s="197"/>
      <c r="AK1291" s="197"/>
      <c r="AL1291" s="197"/>
      <c r="AM1291" s="197"/>
      <c r="AN1291" s="197"/>
      <c r="AO1291" s="197"/>
      <c r="AP1291" s="197"/>
      <c r="AQ1291" s="197"/>
      <c r="AR1291" s="197"/>
      <c r="AS1291" s="197"/>
      <c r="AT1291" s="197"/>
      <c r="AU1291" s="197"/>
      <c r="AV1291" s="197"/>
      <c r="AW1291" s="197"/>
    </row>
    <row r="1292" spans="28:49" s="196" customFormat="1">
      <c r="AB1292" s="201"/>
      <c r="AC1292" s="201"/>
      <c r="AD1292" s="197"/>
      <c r="AE1292" s="197"/>
      <c r="AF1292" s="197"/>
      <c r="AG1292" s="197"/>
      <c r="AH1292" s="197"/>
      <c r="AI1292" s="197"/>
      <c r="AJ1292" s="197"/>
      <c r="AK1292" s="197"/>
      <c r="AL1292" s="197"/>
      <c r="AM1292" s="197"/>
      <c r="AN1292" s="197"/>
      <c r="AO1292" s="197"/>
      <c r="AP1292" s="197"/>
      <c r="AQ1292" s="197"/>
      <c r="AR1292" s="197"/>
      <c r="AS1292" s="197"/>
      <c r="AT1292" s="197"/>
      <c r="AU1292" s="197"/>
      <c r="AV1292" s="197"/>
      <c r="AW1292" s="197"/>
    </row>
    <row r="1293" spans="28:49" s="196" customFormat="1">
      <c r="AB1293" s="201"/>
      <c r="AC1293" s="201"/>
      <c r="AD1293" s="197"/>
      <c r="AE1293" s="197"/>
      <c r="AF1293" s="197"/>
      <c r="AG1293" s="197"/>
      <c r="AH1293" s="197"/>
      <c r="AI1293" s="197"/>
      <c r="AJ1293" s="197"/>
      <c r="AK1293" s="197"/>
      <c r="AL1293" s="197"/>
      <c r="AM1293" s="197"/>
      <c r="AN1293" s="197"/>
      <c r="AO1293" s="197"/>
      <c r="AP1293" s="197"/>
      <c r="AQ1293" s="197"/>
      <c r="AR1293" s="197"/>
      <c r="AS1293" s="197"/>
      <c r="AT1293" s="197"/>
      <c r="AU1293" s="197"/>
      <c r="AV1293" s="197"/>
      <c r="AW1293" s="197"/>
    </row>
    <row r="1294" spans="28:49" s="196" customFormat="1">
      <c r="AB1294" s="201"/>
      <c r="AC1294" s="201"/>
      <c r="AD1294" s="197"/>
      <c r="AE1294" s="197"/>
      <c r="AF1294" s="197"/>
      <c r="AG1294" s="197"/>
      <c r="AH1294" s="197"/>
      <c r="AI1294" s="197"/>
      <c r="AJ1294" s="197"/>
      <c r="AK1294" s="197"/>
      <c r="AL1294" s="197"/>
      <c r="AM1294" s="197"/>
      <c r="AN1294" s="197"/>
      <c r="AO1294" s="197"/>
      <c r="AP1294" s="197"/>
      <c r="AQ1294" s="197"/>
      <c r="AR1294" s="197"/>
      <c r="AS1294" s="197"/>
      <c r="AT1294" s="197"/>
      <c r="AU1294" s="197"/>
      <c r="AV1294" s="197"/>
      <c r="AW1294" s="197"/>
    </row>
    <row r="1295" spans="28:49" s="196" customFormat="1">
      <c r="AB1295" s="201"/>
      <c r="AC1295" s="201"/>
      <c r="AD1295" s="197"/>
      <c r="AE1295" s="197"/>
      <c r="AF1295" s="197"/>
      <c r="AG1295" s="197"/>
      <c r="AH1295" s="197"/>
      <c r="AI1295" s="197"/>
      <c r="AJ1295" s="197"/>
      <c r="AK1295" s="197"/>
      <c r="AL1295" s="197"/>
      <c r="AM1295" s="197"/>
      <c r="AN1295" s="197"/>
      <c r="AO1295" s="197"/>
      <c r="AP1295" s="197"/>
      <c r="AQ1295" s="197"/>
      <c r="AR1295" s="197"/>
      <c r="AS1295" s="197"/>
      <c r="AT1295" s="197"/>
      <c r="AU1295" s="197"/>
      <c r="AV1295" s="197"/>
      <c r="AW1295" s="197"/>
    </row>
    <row r="1296" spans="28:49" s="196" customFormat="1">
      <c r="AB1296" s="201"/>
      <c r="AC1296" s="201"/>
      <c r="AD1296" s="197"/>
      <c r="AE1296" s="197"/>
      <c r="AF1296" s="197"/>
      <c r="AG1296" s="197"/>
      <c r="AH1296" s="197"/>
      <c r="AI1296" s="197"/>
      <c r="AJ1296" s="197"/>
      <c r="AK1296" s="197"/>
      <c r="AL1296" s="197"/>
      <c r="AM1296" s="197"/>
      <c r="AN1296" s="197"/>
      <c r="AO1296" s="197"/>
      <c r="AP1296" s="197"/>
      <c r="AQ1296" s="197"/>
      <c r="AR1296" s="197"/>
      <c r="AS1296" s="197"/>
      <c r="AT1296" s="197"/>
      <c r="AU1296" s="197"/>
      <c r="AV1296" s="197"/>
      <c r="AW1296" s="197"/>
    </row>
    <row r="1297" spans="28:49" s="196" customFormat="1">
      <c r="AB1297" s="201"/>
      <c r="AC1297" s="201"/>
      <c r="AD1297" s="197"/>
      <c r="AE1297" s="197"/>
      <c r="AF1297" s="197"/>
      <c r="AG1297" s="197"/>
      <c r="AH1297" s="197"/>
      <c r="AI1297" s="197"/>
      <c r="AJ1297" s="197"/>
      <c r="AK1297" s="197"/>
      <c r="AL1297" s="197"/>
      <c r="AM1297" s="197"/>
      <c r="AN1297" s="197"/>
      <c r="AO1297" s="197"/>
      <c r="AP1297" s="197"/>
      <c r="AQ1297" s="197"/>
      <c r="AR1297" s="197"/>
      <c r="AS1297" s="197"/>
      <c r="AT1297" s="197"/>
      <c r="AU1297" s="197"/>
      <c r="AV1297" s="197"/>
      <c r="AW1297" s="197"/>
    </row>
    <row r="1298" spans="28:49" s="196" customFormat="1">
      <c r="AB1298" s="201"/>
      <c r="AC1298" s="201"/>
      <c r="AD1298" s="197"/>
      <c r="AE1298" s="197"/>
      <c r="AF1298" s="197"/>
      <c r="AG1298" s="197"/>
      <c r="AH1298" s="197"/>
      <c r="AI1298" s="197"/>
      <c r="AJ1298" s="197"/>
      <c r="AK1298" s="197"/>
      <c r="AL1298" s="197"/>
      <c r="AM1298" s="197"/>
      <c r="AN1298" s="197"/>
      <c r="AO1298" s="197"/>
      <c r="AP1298" s="197"/>
      <c r="AQ1298" s="197"/>
      <c r="AR1298" s="197"/>
      <c r="AS1298" s="197"/>
      <c r="AT1298" s="197"/>
      <c r="AU1298" s="197"/>
      <c r="AV1298" s="197"/>
      <c r="AW1298" s="197"/>
    </row>
    <row r="1299" spans="28:49" s="196" customFormat="1">
      <c r="AB1299" s="201"/>
      <c r="AC1299" s="201"/>
      <c r="AD1299" s="197"/>
      <c r="AE1299" s="197"/>
      <c r="AF1299" s="197"/>
      <c r="AG1299" s="197"/>
      <c r="AH1299" s="197"/>
      <c r="AI1299" s="197"/>
      <c r="AJ1299" s="197"/>
      <c r="AK1299" s="197"/>
      <c r="AL1299" s="197"/>
      <c r="AM1299" s="197"/>
      <c r="AN1299" s="197"/>
      <c r="AO1299" s="197"/>
      <c r="AP1299" s="197"/>
      <c r="AQ1299" s="197"/>
      <c r="AR1299" s="197"/>
      <c r="AS1299" s="197"/>
      <c r="AT1299" s="197"/>
      <c r="AU1299" s="197"/>
      <c r="AV1299" s="197"/>
      <c r="AW1299" s="197"/>
    </row>
    <row r="1300" spans="28:49" s="196" customFormat="1">
      <c r="AB1300" s="201"/>
      <c r="AC1300" s="201"/>
      <c r="AD1300" s="197"/>
      <c r="AE1300" s="197"/>
      <c r="AF1300" s="197"/>
      <c r="AG1300" s="197"/>
      <c r="AH1300" s="197"/>
      <c r="AI1300" s="197"/>
      <c r="AJ1300" s="197"/>
      <c r="AK1300" s="197"/>
      <c r="AL1300" s="197"/>
      <c r="AM1300" s="197"/>
      <c r="AN1300" s="197"/>
      <c r="AO1300" s="197"/>
      <c r="AP1300" s="197"/>
      <c r="AQ1300" s="197"/>
      <c r="AR1300" s="197"/>
      <c r="AS1300" s="197"/>
      <c r="AT1300" s="197"/>
      <c r="AU1300" s="197"/>
      <c r="AV1300" s="197"/>
      <c r="AW1300" s="197"/>
    </row>
    <row r="1301" spans="28:49" s="196" customFormat="1">
      <c r="AB1301" s="201"/>
      <c r="AC1301" s="201"/>
      <c r="AD1301" s="197"/>
      <c r="AE1301" s="197"/>
      <c r="AF1301" s="197"/>
      <c r="AG1301" s="197"/>
      <c r="AH1301" s="197"/>
      <c r="AI1301" s="197"/>
      <c r="AJ1301" s="197"/>
      <c r="AK1301" s="197"/>
      <c r="AL1301" s="197"/>
      <c r="AM1301" s="197"/>
      <c r="AN1301" s="197"/>
      <c r="AO1301" s="197"/>
      <c r="AP1301" s="197"/>
      <c r="AQ1301" s="197"/>
      <c r="AR1301" s="197"/>
      <c r="AS1301" s="197"/>
      <c r="AT1301" s="197"/>
      <c r="AU1301" s="197"/>
      <c r="AV1301" s="197"/>
      <c r="AW1301" s="197"/>
    </row>
    <row r="1302" spans="28:49" s="196" customFormat="1">
      <c r="AB1302" s="201"/>
      <c r="AC1302" s="201"/>
      <c r="AD1302" s="197"/>
      <c r="AE1302" s="197"/>
      <c r="AF1302" s="197"/>
      <c r="AG1302" s="197"/>
      <c r="AH1302" s="197"/>
      <c r="AI1302" s="197"/>
      <c r="AJ1302" s="197"/>
      <c r="AK1302" s="197"/>
      <c r="AL1302" s="197"/>
      <c r="AM1302" s="197"/>
      <c r="AN1302" s="197"/>
      <c r="AO1302" s="197"/>
      <c r="AP1302" s="197"/>
      <c r="AQ1302" s="197"/>
      <c r="AR1302" s="197"/>
      <c r="AS1302" s="197"/>
      <c r="AT1302" s="197"/>
      <c r="AU1302" s="197"/>
      <c r="AV1302" s="197"/>
      <c r="AW1302" s="197"/>
    </row>
    <row r="1303" spans="28:49" s="196" customFormat="1">
      <c r="AB1303" s="201"/>
      <c r="AC1303" s="201"/>
      <c r="AD1303" s="197"/>
      <c r="AE1303" s="197"/>
      <c r="AF1303" s="197"/>
      <c r="AG1303" s="197"/>
      <c r="AH1303" s="197"/>
      <c r="AI1303" s="197"/>
      <c r="AJ1303" s="197"/>
      <c r="AK1303" s="197"/>
      <c r="AL1303" s="197"/>
      <c r="AM1303" s="197"/>
      <c r="AN1303" s="197"/>
      <c r="AO1303" s="197"/>
      <c r="AP1303" s="197"/>
      <c r="AQ1303" s="197"/>
      <c r="AR1303" s="197"/>
      <c r="AS1303" s="197"/>
      <c r="AT1303" s="197"/>
      <c r="AU1303" s="197"/>
      <c r="AV1303" s="197"/>
      <c r="AW1303" s="197"/>
    </row>
    <row r="1304" spans="28:49" s="196" customFormat="1">
      <c r="AB1304" s="201"/>
      <c r="AC1304" s="201"/>
      <c r="AD1304" s="197"/>
      <c r="AE1304" s="197"/>
      <c r="AF1304" s="197"/>
      <c r="AG1304" s="197"/>
      <c r="AH1304" s="197"/>
      <c r="AI1304" s="197"/>
      <c r="AJ1304" s="197"/>
      <c r="AK1304" s="197"/>
      <c r="AL1304" s="197"/>
      <c r="AM1304" s="197"/>
      <c r="AN1304" s="197"/>
      <c r="AO1304" s="197"/>
      <c r="AP1304" s="197"/>
      <c r="AQ1304" s="197"/>
      <c r="AR1304" s="197"/>
      <c r="AS1304" s="197"/>
      <c r="AT1304" s="197"/>
      <c r="AU1304" s="197"/>
      <c r="AV1304" s="197"/>
      <c r="AW1304" s="197"/>
    </row>
    <row r="1305" spans="28:49" s="196" customFormat="1">
      <c r="AB1305" s="201"/>
      <c r="AC1305" s="201"/>
      <c r="AD1305" s="197"/>
      <c r="AE1305" s="197"/>
      <c r="AF1305" s="197"/>
      <c r="AG1305" s="197"/>
      <c r="AH1305" s="197"/>
      <c r="AI1305" s="197"/>
      <c r="AJ1305" s="197"/>
      <c r="AK1305" s="197"/>
      <c r="AL1305" s="197"/>
      <c r="AM1305" s="197"/>
      <c r="AN1305" s="197"/>
      <c r="AO1305" s="197"/>
      <c r="AP1305" s="197"/>
      <c r="AQ1305" s="197"/>
      <c r="AR1305" s="197"/>
      <c r="AS1305" s="197"/>
      <c r="AT1305" s="197"/>
      <c r="AU1305" s="197"/>
      <c r="AV1305" s="197"/>
      <c r="AW1305" s="197"/>
    </row>
    <row r="1306" spans="28:49" s="196" customFormat="1">
      <c r="AB1306" s="201"/>
      <c r="AC1306" s="201"/>
      <c r="AD1306" s="197"/>
      <c r="AE1306" s="197"/>
      <c r="AF1306" s="197"/>
      <c r="AG1306" s="197"/>
      <c r="AH1306" s="197"/>
      <c r="AI1306" s="197"/>
      <c r="AJ1306" s="197"/>
      <c r="AK1306" s="197"/>
      <c r="AL1306" s="197"/>
      <c r="AM1306" s="197"/>
      <c r="AN1306" s="197"/>
      <c r="AO1306" s="197"/>
      <c r="AP1306" s="197"/>
      <c r="AQ1306" s="197"/>
      <c r="AR1306" s="197"/>
      <c r="AS1306" s="197"/>
      <c r="AT1306" s="197"/>
      <c r="AU1306" s="197"/>
      <c r="AV1306" s="197"/>
      <c r="AW1306" s="197"/>
    </row>
    <row r="1307" spans="28:49" s="196" customFormat="1">
      <c r="AB1307" s="201"/>
      <c r="AC1307" s="201"/>
      <c r="AD1307" s="197"/>
      <c r="AE1307" s="197"/>
      <c r="AF1307" s="197"/>
      <c r="AG1307" s="197"/>
      <c r="AH1307" s="197"/>
      <c r="AI1307" s="197"/>
      <c r="AJ1307" s="197"/>
      <c r="AK1307" s="197"/>
      <c r="AL1307" s="197"/>
      <c r="AM1307" s="197"/>
      <c r="AN1307" s="197"/>
      <c r="AO1307" s="197"/>
      <c r="AP1307" s="197"/>
      <c r="AQ1307" s="197"/>
      <c r="AR1307" s="197"/>
      <c r="AS1307" s="197"/>
      <c r="AT1307" s="197"/>
      <c r="AU1307" s="197"/>
      <c r="AV1307" s="197"/>
      <c r="AW1307" s="197"/>
    </row>
    <row r="1308" spans="28:49" s="196" customFormat="1">
      <c r="AB1308" s="201"/>
      <c r="AC1308" s="201"/>
      <c r="AD1308" s="197"/>
      <c r="AE1308" s="197"/>
      <c r="AF1308" s="197"/>
      <c r="AG1308" s="197"/>
      <c r="AH1308" s="197"/>
      <c r="AI1308" s="197"/>
      <c r="AJ1308" s="197"/>
      <c r="AK1308" s="197"/>
      <c r="AL1308" s="197"/>
      <c r="AM1308" s="197"/>
      <c r="AN1308" s="197"/>
      <c r="AO1308" s="197"/>
      <c r="AP1308" s="197"/>
      <c r="AQ1308" s="197"/>
      <c r="AR1308" s="197"/>
      <c r="AS1308" s="197"/>
      <c r="AT1308" s="197"/>
      <c r="AU1308" s="197"/>
      <c r="AV1308" s="197"/>
      <c r="AW1308" s="197"/>
    </row>
    <row r="1309" spans="28:49" s="196" customFormat="1">
      <c r="AB1309" s="201"/>
      <c r="AC1309" s="201"/>
      <c r="AD1309" s="197"/>
      <c r="AE1309" s="197"/>
      <c r="AF1309" s="197"/>
      <c r="AG1309" s="197"/>
      <c r="AH1309" s="197"/>
      <c r="AI1309" s="197"/>
      <c r="AJ1309" s="197"/>
      <c r="AK1309" s="197"/>
      <c r="AL1309" s="197"/>
      <c r="AM1309" s="197"/>
      <c r="AN1309" s="197"/>
      <c r="AO1309" s="197"/>
      <c r="AP1309" s="197"/>
      <c r="AQ1309" s="197"/>
      <c r="AR1309" s="197"/>
      <c r="AS1309" s="197"/>
      <c r="AT1309" s="197"/>
      <c r="AU1309" s="197"/>
      <c r="AV1309" s="197"/>
      <c r="AW1309" s="197"/>
    </row>
    <row r="1310" spans="28:49" s="196" customFormat="1">
      <c r="AB1310" s="201"/>
      <c r="AC1310" s="201"/>
      <c r="AD1310" s="197"/>
      <c r="AE1310" s="197"/>
      <c r="AF1310" s="197"/>
      <c r="AG1310" s="197"/>
      <c r="AH1310" s="197"/>
      <c r="AI1310" s="197"/>
      <c r="AJ1310" s="197"/>
      <c r="AK1310" s="197"/>
      <c r="AL1310" s="197"/>
      <c r="AM1310" s="197"/>
      <c r="AN1310" s="197"/>
      <c r="AO1310" s="197"/>
      <c r="AP1310" s="197"/>
      <c r="AQ1310" s="197"/>
      <c r="AR1310" s="197"/>
      <c r="AS1310" s="197"/>
      <c r="AT1310" s="197"/>
      <c r="AU1310" s="197"/>
      <c r="AV1310" s="197"/>
      <c r="AW1310" s="197"/>
    </row>
    <row r="1311" spans="28:49" s="196" customFormat="1">
      <c r="AB1311" s="201"/>
      <c r="AC1311" s="201"/>
      <c r="AD1311" s="197"/>
      <c r="AE1311" s="197"/>
      <c r="AF1311" s="197"/>
      <c r="AG1311" s="197"/>
      <c r="AH1311" s="197"/>
      <c r="AI1311" s="197"/>
      <c r="AJ1311" s="197"/>
      <c r="AK1311" s="197"/>
      <c r="AL1311" s="197"/>
      <c r="AM1311" s="197"/>
      <c r="AN1311" s="197"/>
      <c r="AO1311" s="197"/>
      <c r="AP1311" s="197"/>
      <c r="AQ1311" s="197"/>
      <c r="AR1311" s="197"/>
      <c r="AS1311" s="197"/>
      <c r="AT1311" s="197"/>
      <c r="AU1311" s="197"/>
      <c r="AV1311" s="197"/>
      <c r="AW1311" s="197"/>
    </row>
    <row r="1312" spans="28:49" s="196" customFormat="1">
      <c r="AB1312" s="201"/>
      <c r="AC1312" s="201"/>
      <c r="AD1312" s="197"/>
      <c r="AE1312" s="197"/>
      <c r="AF1312" s="197"/>
      <c r="AG1312" s="197"/>
      <c r="AH1312" s="197"/>
      <c r="AI1312" s="197"/>
      <c r="AJ1312" s="197"/>
      <c r="AK1312" s="197"/>
      <c r="AL1312" s="197"/>
      <c r="AM1312" s="197"/>
      <c r="AN1312" s="197"/>
      <c r="AO1312" s="197"/>
      <c r="AP1312" s="197"/>
      <c r="AQ1312" s="197"/>
      <c r="AR1312" s="197"/>
      <c r="AS1312" s="197"/>
      <c r="AT1312" s="197"/>
      <c r="AU1312" s="197"/>
      <c r="AV1312" s="197"/>
      <c r="AW1312" s="197"/>
    </row>
    <row r="1313" spans="28:49" s="196" customFormat="1">
      <c r="AB1313" s="201"/>
      <c r="AC1313" s="201"/>
      <c r="AD1313" s="197"/>
      <c r="AE1313" s="197"/>
      <c r="AF1313" s="197"/>
      <c r="AG1313" s="197"/>
      <c r="AH1313" s="197"/>
      <c r="AI1313" s="197"/>
      <c r="AJ1313" s="197"/>
      <c r="AK1313" s="197"/>
      <c r="AL1313" s="197"/>
      <c r="AM1313" s="197"/>
      <c r="AN1313" s="197"/>
      <c r="AO1313" s="197"/>
      <c r="AP1313" s="197"/>
      <c r="AQ1313" s="197"/>
      <c r="AR1313" s="197"/>
      <c r="AS1313" s="197"/>
      <c r="AT1313" s="197"/>
      <c r="AU1313" s="197"/>
      <c r="AV1313" s="197"/>
      <c r="AW1313" s="197"/>
    </row>
    <row r="1314" spans="28:49" s="196" customFormat="1">
      <c r="AB1314" s="201"/>
      <c r="AC1314" s="201"/>
      <c r="AD1314" s="197"/>
      <c r="AE1314" s="197"/>
      <c r="AF1314" s="197"/>
      <c r="AG1314" s="197"/>
      <c r="AH1314" s="197"/>
      <c r="AI1314" s="197"/>
      <c r="AJ1314" s="197"/>
      <c r="AK1314" s="197"/>
      <c r="AL1314" s="197"/>
      <c r="AM1314" s="197"/>
      <c r="AN1314" s="197"/>
      <c r="AO1314" s="197"/>
      <c r="AP1314" s="197"/>
      <c r="AQ1314" s="197"/>
      <c r="AR1314" s="197"/>
      <c r="AS1314" s="197"/>
      <c r="AT1314" s="197"/>
      <c r="AU1314" s="197"/>
      <c r="AV1314" s="197"/>
      <c r="AW1314" s="197"/>
    </row>
    <row r="1315" spans="28:49" s="196" customFormat="1">
      <c r="AB1315" s="201"/>
      <c r="AC1315" s="201"/>
      <c r="AD1315" s="197"/>
      <c r="AE1315" s="197"/>
      <c r="AF1315" s="197"/>
      <c r="AG1315" s="197"/>
      <c r="AH1315" s="197"/>
      <c r="AI1315" s="197"/>
      <c r="AJ1315" s="197"/>
      <c r="AK1315" s="197"/>
      <c r="AL1315" s="197"/>
      <c r="AM1315" s="197"/>
      <c r="AN1315" s="197"/>
      <c r="AO1315" s="197"/>
      <c r="AP1315" s="197"/>
      <c r="AQ1315" s="197"/>
      <c r="AR1315" s="197"/>
      <c r="AS1315" s="197"/>
      <c r="AT1315" s="197"/>
      <c r="AU1315" s="197"/>
      <c r="AV1315" s="197"/>
      <c r="AW1315" s="197"/>
    </row>
    <row r="1316" spans="28:49" s="196" customFormat="1">
      <c r="AB1316" s="201"/>
      <c r="AC1316" s="201"/>
      <c r="AD1316" s="197"/>
      <c r="AE1316" s="197"/>
      <c r="AF1316" s="197"/>
      <c r="AG1316" s="197"/>
      <c r="AH1316" s="197"/>
      <c r="AI1316" s="197"/>
      <c r="AJ1316" s="197"/>
      <c r="AK1316" s="197"/>
      <c r="AL1316" s="197"/>
      <c r="AM1316" s="197"/>
      <c r="AN1316" s="197"/>
      <c r="AO1316" s="197"/>
      <c r="AP1316" s="197"/>
      <c r="AQ1316" s="197"/>
      <c r="AR1316" s="197"/>
      <c r="AS1316" s="197"/>
      <c r="AT1316" s="197"/>
      <c r="AU1316" s="197"/>
      <c r="AV1316" s="197"/>
      <c r="AW1316" s="197"/>
    </row>
    <row r="1317" spans="28:49" s="196" customFormat="1">
      <c r="AB1317" s="201"/>
      <c r="AC1317" s="201"/>
      <c r="AD1317" s="197"/>
      <c r="AE1317" s="197"/>
      <c r="AF1317" s="197"/>
      <c r="AG1317" s="197"/>
      <c r="AH1317" s="197"/>
      <c r="AI1317" s="197"/>
      <c r="AJ1317" s="197"/>
      <c r="AK1317" s="197"/>
      <c r="AL1317" s="197"/>
      <c r="AM1317" s="197"/>
      <c r="AN1317" s="197"/>
      <c r="AO1317" s="197"/>
      <c r="AP1317" s="197"/>
      <c r="AQ1317" s="197"/>
      <c r="AR1317" s="197"/>
      <c r="AS1317" s="197"/>
      <c r="AT1317" s="197"/>
      <c r="AU1317" s="197"/>
      <c r="AV1317" s="197"/>
      <c r="AW1317" s="197"/>
    </row>
    <row r="1318" spans="28:49" s="196" customFormat="1">
      <c r="AB1318" s="201"/>
      <c r="AC1318" s="201"/>
      <c r="AD1318" s="197"/>
      <c r="AE1318" s="197"/>
      <c r="AF1318" s="197"/>
      <c r="AG1318" s="197"/>
      <c r="AH1318" s="197"/>
      <c r="AI1318" s="197"/>
      <c r="AJ1318" s="197"/>
      <c r="AK1318" s="197"/>
      <c r="AL1318" s="197"/>
      <c r="AM1318" s="197"/>
      <c r="AN1318" s="197"/>
      <c r="AO1318" s="197"/>
      <c r="AP1318" s="197"/>
      <c r="AQ1318" s="197"/>
      <c r="AR1318" s="197"/>
      <c r="AS1318" s="197"/>
      <c r="AT1318" s="197"/>
      <c r="AU1318" s="197"/>
      <c r="AV1318" s="197"/>
      <c r="AW1318" s="197"/>
    </row>
    <row r="1319" spans="28:49" s="196" customFormat="1">
      <c r="AB1319" s="201"/>
      <c r="AC1319" s="201"/>
      <c r="AD1319" s="197"/>
      <c r="AE1319" s="197"/>
      <c r="AF1319" s="197"/>
      <c r="AG1319" s="197"/>
      <c r="AH1319" s="197"/>
      <c r="AI1319" s="197"/>
      <c r="AJ1319" s="197"/>
      <c r="AK1319" s="197"/>
      <c r="AL1319" s="197"/>
      <c r="AM1319" s="197"/>
      <c r="AN1319" s="197"/>
      <c r="AO1319" s="197"/>
      <c r="AP1319" s="197"/>
      <c r="AQ1319" s="197"/>
      <c r="AR1319" s="197"/>
      <c r="AS1319" s="197"/>
      <c r="AT1319" s="197"/>
      <c r="AU1319" s="197"/>
      <c r="AV1319" s="197"/>
      <c r="AW1319" s="197"/>
    </row>
    <row r="1320" spans="28:49" s="196" customFormat="1">
      <c r="AB1320" s="201"/>
      <c r="AC1320" s="201"/>
      <c r="AD1320" s="197"/>
      <c r="AE1320" s="197"/>
      <c r="AF1320" s="197"/>
      <c r="AG1320" s="197"/>
      <c r="AH1320" s="197"/>
      <c r="AI1320" s="197"/>
      <c r="AJ1320" s="197"/>
      <c r="AK1320" s="197"/>
      <c r="AL1320" s="197"/>
      <c r="AM1320" s="197"/>
      <c r="AN1320" s="197"/>
      <c r="AO1320" s="197"/>
      <c r="AP1320" s="197"/>
      <c r="AQ1320" s="197"/>
      <c r="AR1320" s="197"/>
      <c r="AS1320" s="197"/>
      <c r="AT1320" s="197"/>
      <c r="AU1320" s="197"/>
      <c r="AV1320" s="197"/>
      <c r="AW1320" s="197"/>
    </row>
    <row r="1321" spans="28:49" s="196" customFormat="1">
      <c r="AB1321" s="201"/>
      <c r="AC1321" s="201"/>
      <c r="AD1321" s="197"/>
      <c r="AE1321" s="197"/>
      <c r="AF1321" s="197"/>
      <c r="AG1321" s="197"/>
      <c r="AH1321" s="197"/>
      <c r="AI1321" s="197"/>
      <c r="AJ1321" s="197"/>
      <c r="AK1321" s="197"/>
      <c r="AL1321" s="197"/>
      <c r="AM1321" s="197"/>
      <c r="AN1321" s="197"/>
      <c r="AO1321" s="197"/>
      <c r="AP1321" s="197"/>
      <c r="AQ1321" s="197"/>
      <c r="AR1321" s="197"/>
      <c r="AS1321" s="197"/>
      <c r="AT1321" s="197"/>
      <c r="AU1321" s="197"/>
      <c r="AV1321" s="197"/>
      <c r="AW1321" s="197"/>
    </row>
    <row r="1322" spans="28:49" s="196" customFormat="1">
      <c r="AB1322" s="201"/>
      <c r="AC1322" s="201"/>
      <c r="AD1322" s="197"/>
      <c r="AE1322" s="197"/>
      <c r="AF1322" s="197"/>
      <c r="AG1322" s="197"/>
      <c r="AH1322" s="197"/>
      <c r="AI1322" s="197"/>
      <c r="AJ1322" s="197"/>
      <c r="AK1322" s="197"/>
      <c r="AL1322" s="197"/>
      <c r="AM1322" s="197"/>
      <c r="AN1322" s="197"/>
      <c r="AO1322" s="197"/>
      <c r="AP1322" s="197"/>
      <c r="AQ1322" s="197"/>
      <c r="AR1322" s="197"/>
      <c r="AS1322" s="197"/>
      <c r="AT1322" s="197"/>
      <c r="AU1322" s="197"/>
      <c r="AV1322" s="197"/>
      <c r="AW1322" s="197"/>
    </row>
    <row r="1323" spans="28:49" s="196" customFormat="1">
      <c r="AB1323" s="201"/>
      <c r="AC1323" s="201"/>
      <c r="AD1323" s="197"/>
      <c r="AE1323" s="197"/>
      <c r="AF1323" s="197"/>
      <c r="AG1323" s="197"/>
      <c r="AH1323" s="197"/>
      <c r="AI1323" s="197"/>
      <c r="AJ1323" s="197"/>
      <c r="AK1323" s="197"/>
      <c r="AL1323" s="197"/>
      <c r="AM1323" s="197"/>
      <c r="AN1323" s="197"/>
      <c r="AO1323" s="197"/>
      <c r="AP1323" s="197"/>
      <c r="AQ1323" s="197"/>
      <c r="AR1323" s="197"/>
      <c r="AS1323" s="197"/>
      <c r="AT1323" s="197"/>
      <c r="AU1323" s="197"/>
      <c r="AV1323" s="197"/>
      <c r="AW1323" s="197"/>
    </row>
    <row r="1324" spans="28:49" s="196" customFormat="1">
      <c r="AB1324" s="201"/>
      <c r="AC1324" s="201"/>
      <c r="AD1324" s="197"/>
      <c r="AE1324" s="197"/>
      <c r="AF1324" s="197"/>
      <c r="AG1324" s="197"/>
      <c r="AH1324" s="197"/>
      <c r="AI1324" s="197"/>
      <c r="AJ1324" s="197"/>
      <c r="AK1324" s="197"/>
      <c r="AL1324" s="197"/>
      <c r="AM1324" s="197"/>
      <c r="AN1324" s="197"/>
      <c r="AO1324" s="197"/>
      <c r="AP1324" s="197"/>
      <c r="AQ1324" s="197"/>
      <c r="AR1324" s="197"/>
      <c r="AS1324" s="197"/>
      <c r="AT1324" s="197"/>
      <c r="AU1324" s="197"/>
      <c r="AV1324" s="197"/>
      <c r="AW1324" s="197"/>
    </row>
    <row r="1325" spans="28:49" s="196" customFormat="1">
      <c r="AB1325" s="201"/>
      <c r="AC1325" s="201"/>
      <c r="AD1325" s="197"/>
      <c r="AE1325" s="197"/>
      <c r="AF1325" s="197"/>
      <c r="AG1325" s="197"/>
      <c r="AH1325" s="197"/>
      <c r="AI1325" s="197"/>
      <c r="AJ1325" s="197"/>
      <c r="AK1325" s="197"/>
      <c r="AL1325" s="197"/>
      <c r="AM1325" s="197"/>
      <c r="AN1325" s="197"/>
      <c r="AO1325" s="197"/>
      <c r="AP1325" s="197"/>
      <c r="AQ1325" s="197"/>
      <c r="AR1325" s="197"/>
      <c r="AS1325" s="197"/>
      <c r="AT1325" s="197"/>
      <c r="AU1325" s="197"/>
      <c r="AV1325" s="197"/>
      <c r="AW1325" s="197"/>
    </row>
    <row r="1326" spans="28:49" s="196" customFormat="1">
      <c r="AB1326" s="201"/>
      <c r="AC1326" s="201"/>
      <c r="AD1326" s="197"/>
      <c r="AE1326" s="197"/>
      <c r="AF1326" s="197"/>
      <c r="AG1326" s="197"/>
      <c r="AH1326" s="197"/>
      <c r="AI1326" s="197"/>
      <c r="AJ1326" s="197"/>
      <c r="AK1326" s="197"/>
      <c r="AL1326" s="197"/>
      <c r="AM1326" s="197"/>
      <c r="AN1326" s="197"/>
      <c r="AO1326" s="197"/>
      <c r="AP1326" s="197"/>
      <c r="AQ1326" s="197"/>
      <c r="AR1326" s="197"/>
      <c r="AS1326" s="197"/>
      <c r="AT1326" s="197"/>
      <c r="AU1326" s="197"/>
      <c r="AV1326" s="197"/>
      <c r="AW1326" s="197"/>
    </row>
    <row r="1327" spans="28:49" s="196" customFormat="1">
      <c r="AB1327" s="201"/>
      <c r="AC1327" s="201"/>
      <c r="AD1327" s="197"/>
      <c r="AE1327" s="197"/>
      <c r="AF1327" s="197"/>
      <c r="AG1327" s="197"/>
      <c r="AH1327" s="197"/>
      <c r="AI1327" s="197"/>
      <c r="AJ1327" s="197"/>
      <c r="AK1327" s="197"/>
      <c r="AL1327" s="197"/>
      <c r="AM1327" s="197"/>
      <c r="AN1327" s="197"/>
      <c r="AO1327" s="197"/>
      <c r="AP1327" s="197"/>
      <c r="AQ1327" s="197"/>
      <c r="AR1327" s="197"/>
      <c r="AS1327" s="197"/>
      <c r="AT1327" s="197"/>
      <c r="AU1327" s="197"/>
      <c r="AV1327" s="197"/>
      <c r="AW1327" s="197"/>
    </row>
    <row r="1328" spans="28:49" s="196" customFormat="1">
      <c r="AB1328" s="201"/>
      <c r="AC1328" s="201"/>
      <c r="AD1328" s="197"/>
      <c r="AE1328" s="197"/>
      <c r="AF1328" s="197"/>
      <c r="AG1328" s="197"/>
      <c r="AH1328" s="197"/>
      <c r="AI1328" s="197"/>
      <c r="AJ1328" s="197"/>
      <c r="AK1328" s="197"/>
      <c r="AL1328" s="197"/>
      <c r="AM1328" s="197"/>
      <c r="AN1328" s="197"/>
      <c r="AO1328" s="197"/>
      <c r="AP1328" s="197"/>
      <c r="AQ1328" s="197"/>
      <c r="AR1328" s="197"/>
      <c r="AS1328" s="197"/>
      <c r="AT1328" s="197"/>
      <c r="AU1328" s="197"/>
      <c r="AV1328" s="197"/>
      <c r="AW1328" s="197"/>
    </row>
    <row r="1329" spans="28:49" s="196" customFormat="1">
      <c r="AB1329" s="201"/>
      <c r="AC1329" s="201"/>
      <c r="AD1329" s="197"/>
      <c r="AE1329" s="197"/>
      <c r="AF1329" s="197"/>
      <c r="AG1329" s="197"/>
      <c r="AH1329" s="197"/>
      <c r="AI1329" s="197"/>
      <c r="AJ1329" s="197"/>
      <c r="AK1329" s="197"/>
      <c r="AL1329" s="197"/>
      <c r="AM1329" s="197"/>
      <c r="AN1329" s="197"/>
      <c r="AO1329" s="197"/>
      <c r="AP1329" s="197"/>
      <c r="AQ1329" s="197"/>
      <c r="AR1329" s="197"/>
      <c r="AS1329" s="197"/>
      <c r="AT1329" s="197"/>
      <c r="AU1329" s="197"/>
      <c r="AV1329" s="197"/>
      <c r="AW1329" s="197"/>
    </row>
    <row r="1330" spans="28:49" s="196" customFormat="1">
      <c r="AB1330" s="201"/>
      <c r="AC1330" s="201"/>
      <c r="AD1330" s="197"/>
      <c r="AE1330" s="197"/>
      <c r="AF1330" s="197"/>
      <c r="AG1330" s="197"/>
      <c r="AH1330" s="197"/>
      <c r="AI1330" s="197"/>
      <c r="AJ1330" s="197"/>
      <c r="AK1330" s="197"/>
      <c r="AL1330" s="197"/>
      <c r="AM1330" s="197"/>
      <c r="AN1330" s="197"/>
      <c r="AO1330" s="197"/>
      <c r="AP1330" s="197"/>
      <c r="AQ1330" s="197"/>
      <c r="AR1330" s="197"/>
      <c r="AS1330" s="197"/>
      <c r="AT1330" s="197"/>
      <c r="AU1330" s="197"/>
      <c r="AV1330" s="197"/>
      <c r="AW1330" s="197"/>
    </row>
    <row r="1331" spans="28:49" s="196" customFormat="1">
      <c r="AB1331" s="201"/>
      <c r="AC1331" s="201"/>
      <c r="AD1331" s="197"/>
      <c r="AE1331" s="197"/>
      <c r="AF1331" s="197"/>
      <c r="AG1331" s="197"/>
      <c r="AH1331" s="197"/>
      <c r="AI1331" s="197"/>
      <c r="AJ1331" s="197"/>
      <c r="AK1331" s="197"/>
      <c r="AL1331" s="197"/>
      <c r="AM1331" s="197"/>
      <c r="AN1331" s="197"/>
      <c r="AO1331" s="197"/>
      <c r="AP1331" s="197"/>
      <c r="AQ1331" s="197"/>
      <c r="AR1331" s="197"/>
      <c r="AS1331" s="197"/>
      <c r="AT1331" s="197"/>
      <c r="AU1331" s="197"/>
      <c r="AV1331" s="197"/>
      <c r="AW1331" s="197"/>
    </row>
    <row r="1332" spans="28:49" s="196" customFormat="1">
      <c r="AB1332" s="201"/>
      <c r="AC1332" s="201"/>
      <c r="AD1332" s="197"/>
      <c r="AE1332" s="197"/>
      <c r="AF1332" s="197"/>
      <c r="AG1332" s="197"/>
      <c r="AH1332" s="197"/>
      <c r="AI1332" s="197"/>
      <c r="AJ1332" s="197"/>
      <c r="AK1332" s="197"/>
      <c r="AL1332" s="197"/>
      <c r="AM1332" s="197"/>
      <c r="AN1332" s="197"/>
      <c r="AO1332" s="197"/>
      <c r="AP1332" s="197"/>
      <c r="AQ1332" s="197"/>
      <c r="AR1332" s="197"/>
      <c r="AS1332" s="197"/>
      <c r="AT1332" s="197"/>
      <c r="AU1332" s="197"/>
      <c r="AV1332" s="197"/>
      <c r="AW1332" s="197"/>
    </row>
    <row r="1333" spans="28:49" s="196" customFormat="1">
      <c r="AB1333" s="201"/>
      <c r="AC1333" s="201"/>
      <c r="AD1333" s="197"/>
      <c r="AE1333" s="197"/>
      <c r="AF1333" s="197"/>
      <c r="AG1333" s="197"/>
      <c r="AH1333" s="197"/>
      <c r="AI1333" s="197"/>
      <c r="AJ1333" s="197"/>
      <c r="AK1333" s="197"/>
      <c r="AL1333" s="197"/>
      <c r="AM1333" s="197"/>
      <c r="AN1333" s="197"/>
      <c r="AO1333" s="197"/>
      <c r="AP1333" s="197"/>
      <c r="AQ1333" s="197"/>
      <c r="AR1333" s="197"/>
      <c r="AS1333" s="197"/>
      <c r="AT1333" s="197"/>
      <c r="AU1333" s="197"/>
      <c r="AV1333" s="197"/>
      <c r="AW1333" s="197"/>
    </row>
    <row r="1334" spans="28:49" s="196" customFormat="1">
      <c r="AB1334" s="201"/>
      <c r="AC1334" s="201"/>
      <c r="AD1334" s="197"/>
      <c r="AE1334" s="197"/>
      <c r="AF1334" s="197"/>
      <c r="AG1334" s="197"/>
      <c r="AH1334" s="197"/>
      <c r="AI1334" s="197"/>
      <c r="AJ1334" s="197"/>
      <c r="AK1334" s="197"/>
      <c r="AL1334" s="197"/>
      <c r="AM1334" s="197"/>
      <c r="AN1334" s="197"/>
      <c r="AO1334" s="197"/>
      <c r="AP1334" s="197"/>
      <c r="AQ1334" s="197"/>
      <c r="AR1334" s="197"/>
      <c r="AS1334" s="197"/>
      <c r="AT1334" s="197"/>
      <c r="AU1334" s="197"/>
      <c r="AV1334" s="197"/>
      <c r="AW1334" s="197"/>
    </row>
    <row r="1335" spans="28:49" s="196" customFormat="1">
      <c r="AB1335" s="201"/>
      <c r="AC1335" s="201"/>
      <c r="AD1335" s="197"/>
      <c r="AE1335" s="197"/>
      <c r="AF1335" s="197"/>
      <c r="AG1335" s="197"/>
      <c r="AH1335" s="197"/>
      <c r="AI1335" s="197"/>
      <c r="AJ1335" s="197"/>
      <c r="AK1335" s="197"/>
      <c r="AL1335" s="197"/>
      <c r="AM1335" s="197"/>
      <c r="AN1335" s="197"/>
      <c r="AO1335" s="197"/>
      <c r="AP1335" s="197"/>
      <c r="AQ1335" s="197"/>
      <c r="AR1335" s="197"/>
      <c r="AS1335" s="197"/>
      <c r="AT1335" s="197"/>
      <c r="AU1335" s="197"/>
      <c r="AV1335" s="197"/>
      <c r="AW1335" s="197"/>
    </row>
    <row r="1336" spans="28:49" s="196" customFormat="1">
      <c r="AB1336" s="201"/>
      <c r="AC1336" s="201"/>
      <c r="AD1336" s="197"/>
      <c r="AE1336" s="197"/>
      <c r="AF1336" s="197"/>
      <c r="AG1336" s="197"/>
      <c r="AH1336" s="197"/>
      <c r="AI1336" s="197"/>
      <c r="AJ1336" s="197"/>
      <c r="AK1336" s="197"/>
      <c r="AL1336" s="197"/>
      <c r="AM1336" s="197"/>
      <c r="AN1336" s="197"/>
      <c r="AO1336" s="197"/>
      <c r="AP1336" s="197"/>
      <c r="AQ1336" s="197"/>
      <c r="AR1336" s="197"/>
      <c r="AS1336" s="197"/>
      <c r="AT1336" s="197"/>
      <c r="AU1336" s="197"/>
      <c r="AV1336" s="197"/>
      <c r="AW1336" s="197"/>
    </row>
    <row r="1337" spans="28:49" s="196" customFormat="1">
      <c r="AB1337" s="201"/>
      <c r="AC1337" s="201"/>
      <c r="AD1337" s="197"/>
      <c r="AE1337" s="197"/>
      <c r="AF1337" s="197"/>
      <c r="AG1337" s="197"/>
      <c r="AH1337" s="197"/>
      <c r="AI1337" s="197"/>
      <c r="AJ1337" s="197"/>
      <c r="AK1337" s="197"/>
      <c r="AL1337" s="197"/>
      <c r="AM1337" s="197"/>
      <c r="AN1337" s="197"/>
      <c r="AO1337" s="197"/>
      <c r="AP1337" s="197"/>
      <c r="AQ1337" s="197"/>
      <c r="AR1337" s="197"/>
      <c r="AS1337" s="197"/>
      <c r="AT1337" s="197"/>
      <c r="AU1337" s="197"/>
      <c r="AV1337" s="197"/>
      <c r="AW1337" s="197"/>
    </row>
    <row r="1338" spans="28:49" s="196" customFormat="1">
      <c r="AB1338" s="201"/>
      <c r="AC1338" s="201"/>
      <c r="AD1338" s="197"/>
      <c r="AE1338" s="197"/>
      <c r="AF1338" s="197"/>
      <c r="AG1338" s="197"/>
      <c r="AH1338" s="197"/>
      <c r="AI1338" s="197"/>
      <c r="AJ1338" s="197"/>
      <c r="AK1338" s="197"/>
      <c r="AL1338" s="197"/>
      <c r="AM1338" s="197"/>
      <c r="AN1338" s="197"/>
      <c r="AO1338" s="197"/>
      <c r="AP1338" s="197"/>
      <c r="AQ1338" s="197"/>
      <c r="AR1338" s="197"/>
      <c r="AS1338" s="197"/>
      <c r="AT1338" s="197"/>
      <c r="AU1338" s="197"/>
      <c r="AV1338" s="197"/>
      <c r="AW1338" s="197"/>
    </row>
    <row r="1339" spans="28:49" s="196" customFormat="1">
      <c r="AB1339" s="201"/>
      <c r="AC1339" s="201"/>
      <c r="AD1339" s="197"/>
      <c r="AE1339" s="197"/>
      <c r="AF1339" s="197"/>
      <c r="AG1339" s="197"/>
      <c r="AH1339" s="197"/>
      <c r="AI1339" s="197"/>
      <c r="AJ1339" s="197"/>
      <c r="AK1339" s="197"/>
      <c r="AL1339" s="197"/>
      <c r="AM1339" s="197"/>
      <c r="AN1339" s="197"/>
      <c r="AO1339" s="197"/>
      <c r="AP1339" s="197"/>
      <c r="AQ1339" s="197"/>
      <c r="AR1339" s="197"/>
      <c r="AS1339" s="197"/>
      <c r="AT1339" s="197"/>
      <c r="AU1339" s="197"/>
      <c r="AV1339" s="197"/>
      <c r="AW1339" s="197"/>
    </row>
    <row r="1340" spans="28:49" s="196" customFormat="1">
      <c r="AB1340" s="201"/>
      <c r="AC1340" s="201"/>
      <c r="AD1340" s="197"/>
      <c r="AE1340" s="197"/>
      <c r="AF1340" s="197"/>
      <c r="AG1340" s="197"/>
      <c r="AH1340" s="197"/>
      <c r="AI1340" s="197"/>
      <c r="AJ1340" s="197"/>
      <c r="AK1340" s="197"/>
      <c r="AL1340" s="197"/>
      <c r="AM1340" s="197"/>
      <c r="AN1340" s="197"/>
      <c r="AO1340" s="197"/>
      <c r="AP1340" s="197"/>
      <c r="AQ1340" s="197"/>
      <c r="AR1340" s="197"/>
      <c r="AS1340" s="197"/>
      <c r="AT1340" s="197"/>
      <c r="AU1340" s="197"/>
      <c r="AV1340" s="197"/>
      <c r="AW1340" s="197"/>
    </row>
    <row r="1341" spans="28:49" s="196" customFormat="1">
      <c r="AB1341" s="201"/>
      <c r="AC1341" s="201"/>
      <c r="AD1341" s="197"/>
      <c r="AE1341" s="197"/>
      <c r="AF1341" s="197"/>
      <c r="AG1341" s="197"/>
      <c r="AH1341" s="197"/>
      <c r="AI1341" s="197"/>
      <c r="AJ1341" s="197"/>
      <c r="AK1341" s="197"/>
      <c r="AL1341" s="197"/>
      <c r="AM1341" s="197"/>
      <c r="AN1341" s="197"/>
      <c r="AO1341" s="197"/>
      <c r="AP1341" s="197"/>
      <c r="AQ1341" s="197"/>
      <c r="AR1341" s="197"/>
      <c r="AS1341" s="197"/>
      <c r="AT1341" s="197"/>
      <c r="AU1341" s="197"/>
      <c r="AV1341" s="197"/>
      <c r="AW1341" s="197"/>
    </row>
    <row r="1342" spans="28:49" s="196" customFormat="1">
      <c r="AB1342" s="201"/>
      <c r="AC1342" s="201"/>
      <c r="AD1342" s="197"/>
      <c r="AE1342" s="197"/>
      <c r="AF1342" s="197"/>
      <c r="AG1342" s="197"/>
      <c r="AH1342" s="197"/>
      <c r="AI1342" s="197"/>
      <c r="AJ1342" s="197"/>
      <c r="AK1342" s="197"/>
      <c r="AL1342" s="197"/>
      <c r="AM1342" s="197"/>
      <c r="AN1342" s="197"/>
      <c r="AO1342" s="197"/>
      <c r="AP1342" s="197"/>
      <c r="AQ1342" s="197"/>
      <c r="AR1342" s="197"/>
      <c r="AS1342" s="197"/>
      <c r="AT1342" s="197"/>
      <c r="AU1342" s="197"/>
      <c r="AV1342" s="197"/>
      <c r="AW1342" s="197"/>
    </row>
    <row r="1343" spans="28:49" s="196" customFormat="1">
      <c r="AB1343" s="201"/>
      <c r="AC1343" s="201"/>
      <c r="AD1343" s="197"/>
      <c r="AE1343" s="197"/>
      <c r="AF1343" s="197"/>
      <c r="AG1343" s="197"/>
      <c r="AH1343" s="197"/>
      <c r="AI1343" s="197"/>
      <c r="AJ1343" s="197"/>
      <c r="AK1343" s="197"/>
      <c r="AL1343" s="197"/>
      <c r="AM1343" s="197"/>
      <c r="AN1343" s="197"/>
      <c r="AO1343" s="197"/>
      <c r="AP1343" s="197"/>
      <c r="AQ1343" s="197"/>
      <c r="AR1343" s="197"/>
      <c r="AS1343" s="197"/>
      <c r="AT1343" s="197"/>
      <c r="AU1343" s="197"/>
      <c r="AV1343" s="197"/>
      <c r="AW1343" s="197"/>
    </row>
    <row r="1344" spans="28:49" s="196" customFormat="1">
      <c r="AB1344" s="201"/>
      <c r="AC1344" s="201"/>
      <c r="AD1344" s="197"/>
      <c r="AE1344" s="197"/>
      <c r="AF1344" s="197"/>
      <c r="AG1344" s="197"/>
      <c r="AH1344" s="197"/>
      <c r="AI1344" s="197"/>
      <c r="AJ1344" s="197"/>
      <c r="AK1344" s="197"/>
      <c r="AL1344" s="197"/>
      <c r="AM1344" s="197"/>
      <c r="AN1344" s="197"/>
      <c r="AO1344" s="197"/>
      <c r="AP1344" s="197"/>
      <c r="AQ1344" s="197"/>
      <c r="AR1344" s="197"/>
      <c r="AS1344" s="197"/>
      <c r="AT1344" s="197"/>
      <c r="AU1344" s="197"/>
      <c r="AV1344" s="197"/>
      <c r="AW1344" s="197"/>
    </row>
    <row r="1345" spans="28:49" s="196" customFormat="1">
      <c r="AB1345" s="201"/>
      <c r="AC1345" s="201"/>
      <c r="AD1345" s="197"/>
      <c r="AE1345" s="197"/>
      <c r="AF1345" s="197"/>
      <c r="AG1345" s="197"/>
      <c r="AH1345" s="197"/>
      <c r="AI1345" s="197"/>
      <c r="AJ1345" s="197"/>
      <c r="AK1345" s="197"/>
      <c r="AL1345" s="197"/>
      <c r="AM1345" s="197"/>
      <c r="AN1345" s="197"/>
      <c r="AO1345" s="197"/>
      <c r="AP1345" s="197"/>
      <c r="AQ1345" s="197"/>
      <c r="AR1345" s="197"/>
      <c r="AS1345" s="197"/>
      <c r="AT1345" s="197"/>
      <c r="AU1345" s="197"/>
      <c r="AV1345" s="197"/>
      <c r="AW1345" s="197"/>
    </row>
    <row r="1346" spans="28:49" s="196" customFormat="1">
      <c r="AB1346" s="201"/>
      <c r="AC1346" s="201"/>
      <c r="AD1346" s="197"/>
      <c r="AE1346" s="197"/>
      <c r="AF1346" s="197"/>
      <c r="AG1346" s="197"/>
      <c r="AH1346" s="197"/>
      <c r="AI1346" s="197"/>
      <c r="AJ1346" s="197"/>
      <c r="AK1346" s="197"/>
      <c r="AL1346" s="197"/>
      <c r="AM1346" s="197"/>
      <c r="AN1346" s="197"/>
      <c r="AO1346" s="197"/>
      <c r="AP1346" s="197"/>
      <c r="AQ1346" s="197"/>
      <c r="AR1346" s="197"/>
      <c r="AS1346" s="197"/>
      <c r="AT1346" s="197"/>
      <c r="AU1346" s="197"/>
      <c r="AV1346" s="197"/>
      <c r="AW1346" s="197"/>
    </row>
    <row r="1347" spans="28:49" s="196" customFormat="1">
      <c r="AB1347" s="201"/>
      <c r="AC1347" s="201"/>
      <c r="AD1347" s="197"/>
      <c r="AE1347" s="197"/>
      <c r="AF1347" s="197"/>
      <c r="AG1347" s="197"/>
      <c r="AH1347" s="197"/>
      <c r="AI1347" s="197"/>
      <c r="AJ1347" s="197"/>
      <c r="AK1347" s="197"/>
      <c r="AL1347" s="197"/>
      <c r="AM1347" s="197"/>
      <c r="AN1347" s="197"/>
      <c r="AO1347" s="197"/>
      <c r="AP1347" s="197"/>
      <c r="AQ1347" s="197"/>
      <c r="AR1347" s="197"/>
      <c r="AS1347" s="197"/>
      <c r="AT1347" s="197"/>
      <c r="AU1347" s="197"/>
      <c r="AV1347" s="197"/>
      <c r="AW1347" s="197"/>
    </row>
    <row r="1348" spans="28:49" s="196" customFormat="1">
      <c r="AB1348" s="201"/>
      <c r="AC1348" s="201"/>
      <c r="AD1348" s="197"/>
      <c r="AE1348" s="197"/>
      <c r="AF1348" s="197"/>
      <c r="AG1348" s="197"/>
      <c r="AH1348" s="197"/>
      <c r="AI1348" s="197"/>
      <c r="AJ1348" s="197"/>
      <c r="AK1348" s="197"/>
      <c r="AL1348" s="197"/>
      <c r="AM1348" s="197"/>
      <c r="AN1348" s="197"/>
      <c r="AO1348" s="197"/>
      <c r="AP1348" s="197"/>
      <c r="AQ1348" s="197"/>
      <c r="AR1348" s="197"/>
      <c r="AS1348" s="197"/>
      <c r="AT1348" s="197"/>
      <c r="AU1348" s="197"/>
      <c r="AV1348" s="197"/>
      <c r="AW1348" s="197"/>
    </row>
    <row r="1349" spans="28:49" s="196" customFormat="1">
      <c r="AB1349" s="201"/>
      <c r="AC1349" s="201"/>
      <c r="AD1349" s="197"/>
      <c r="AE1349" s="197"/>
      <c r="AF1349" s="197"/>
      <c r="AG1349" s="197"/>
      <c r="AH1349" s="197"/>
      <c r="AI1349" s="197"/>
      <c r="AJ1349" s="197"/>
      <c r="AK1349" s="197"/>
      <c r="AL1349" s="197"/>
      <c r="AM1349" s="197"/>
      <c r="AN1349" s="197"/>
      <c r="AO1349" s="197"/>
      <c r="AP1349" s="197"/>
      <c r="AQ1349" s="197"/>
      <c r="AR1349" s="197"/>
      <c r="AS1349" s="197"/>
      <c r="AT1349" s="197"/>
      <c r="AU1349" s="197"/>
      <c r="AV1349" s="197"/>
      <c r="AW1349" s="197"/>
    </row>
    <row r="1350" spans="28:49" s="196" customFormat="1">
      <c r="AB1350" s="201"/>
      <c r="AC1350" s="201"/>
      <c r="AD1350" s="197"/>
      <c r="AE1350" s="197"/>
      <c r="AF1350" s="197"/>
      <c r="AG1350" s="197"/>
      <c r="AH1350" s="197"/>
      <c r="AI1350" s="197"/>
      <c r="AJ1350" s="197"/>
      <c r="AK1350" s="197"/>
      <c r="AL1350" s="197"/>
      <c r="AM1350" s="197"/>
      <c r="AN1350" s="197"/>
      <c r="AO1350" s="197"/>
      <c r="AP1350" s="197"/>
      <c r="AQ1350" s="197"/>
      <c r="AR1350" s="197"/>
      <c r="AS1350" s="197"/>
      <c r="AT1350" s="197"/>
      <c r="AU1350" s="197"/>
      <c r="AV1350" s="197"/>
      <c r="AW1350" s="197"/>
    </row>
    <row r="1351" spans="28:49" s="196" customFormat="1">
      <c r="AB1351" s="201"/>
      <c r="AC1351" s="201"/>
      <c r="AD1351" s="197"/>
      <c r="AE1351" s="197"/>
      <c r="AF1351" s="197"/>
      <c r="AG1351" s="197"/>
      <c r="AH1351" s="197"/>
      <c r="AI1351" s="197"/>
      <c r="AJ1351" s="197"/>
      <c r="AK1351" s="197"/>
      <c r="AL1351" s="197"/>
      <c r="AM1351" s="197"/>
      <c r="AN1351" s="197"/>
      <c r="AO1351" s="197"/>
      <c r="AP1351" s="197"/>
      <c r="AQ1351" s="197"/>
      <c r="AR1351" s="197"/>
      <c r="AS1351" s="197"/>
      <c r="AT1351" s="197"/>
      <c r="AU1351" s="197"/>
      <c r="AV1351" s="197"/>
      <c r="AW1351" s="197"/>
    </row>
    <row r="1352" spans="28:49" s="196" customFormat="1">
      <c r="AB1352" s="201"/>
      <c r="AC1352" s="201"/>
      <c r="AD1352" s="197"/>
      <c r="AE1352" s="197"/>
      <c r="AF1352" s="197"/>
      <c r="AG1352" s="197"/>
      <c r="AH1352" s="197"/>
      <c r="AI1352" s="197"/>
      <c r="AJ1352" s="197"/>
      <c r="AK1352" s="197"/>
      <c r="AL1352" s="197"/>
      <c r="AM1352" s="197"/>
      <c r="AN1352" s="197"/>
      <c r="AO1352" s="197"/>
      <c r="AP1352" s="197"/>
      <c r="AQ1352" s="197"/>
      <c r="AR1352" s="197"/>
      <c r="AS1352" s="197"/>
      <c r="AT1352" s="197"/>
      <c r="AU1352" s="197"/>
      <c r="AV1352" s="197"/>
      <c r="AW1352" s="197"/>
    </row>
    <row r="1353" spans="28:49" s="196" customFormat="1">
      <c r="AB1353" s="201"/>
      <c r="AC1353" s="201"/>
      <c r="AD1353" s="197"/>
      <c r="AE1353" s="197"/>
      <c r="AF1353" s="197"/>
      <c r="AG1353" s="197"/>
      <c r="AH1353" s="197"/>
      <c r="AI1353" s="197"/>
      <c r="AJ1353" s="197"/>
      <c r="AK1353" s="197"/>
      <c r="AL1353" s="197"/>
      <c r="AM1353" s="197"/>
      <c r="AN1353" s="197"/>
      <c r="AO1353" s="197"/>
      <c r="AP1353" s="197"/>
      <c r="AQ1353" s="197"/>
      <c r="AR1353" s="197"/>
      <c r="AS1353" s="197"/>
      <c r="AT1353" s="197"/>
      <c r="AU1353" s="197"/>
      <c r="AV1353" s="197"/>
      <c r="AW1353" s="197"/>
    </row>
    <row r="1354" spans="28:49" s="196" customFormat="1">
      <c r="AB1354" s="201"/>
      <c r="AC1354" s="201"/>
      <c r="AD1354" s="197"/>
      <c r="AE1354" s="197"/>
      <c r="AF1354" s="197"/>
      <c r="AG1354" s="197"/>
      <c r="AH1354" s="197"/>
      <c r="AI1354" s="197"/>
      <c r="AJ1354" s="197"/>
      <c r="AK1354" s="197"/>
      <c r="AL1354" s="197"/>
      <c r="AM1354" s="197"/>
      <c r="AN1354" s="197"/>
      <c r="AO1354" s="197"/>
      <c r="AP1354" s="197"/>
      <c r="AQ1354" s="197"/>
      <c r="AR1354" s="197"/>
      <c r="AS1354" s="197"/>
      <c r="AT1354" s="197"/>
      <c r="AU1354" s="197"/>
      <c r="AV1354" s="197"/>
      <c r="AW1354" s="197"/>
    </row>
    <row r="1355" spans="28:49" s="196" customFormat="1">
      <c r="AB1355" s="201"/>
      <c r="AC1355" s="201"/>
      <c r="AD1355" s="197"/>
      <c r="AE1355" s="197"/>
      <c r="AF1355" s="197"/>
      <c r="AG1355" s="197"/>
      <c r="AH1355" s="197"/>
      <c r="AI1355" s="197"/>
      <c r="AJ1355" s="197"/>
      <c r="AK1355" s="197"/>
      <c r="AL1355" s="197"/>
      <c r="AM1355" s="197"/>
      <c r="AN1355" s="197"/>
      <c r="AO1355" s="197"/>
      <c r="AP1355" s="197"/>
      <c r="AQ1355" s="197"/>
      <c r="AR1355" s="197"/>
      <c r="AS1355" s="197"/>
      <c r="AT1355" s="197"/>
      <c r="AU1355" s="197"/>
      <c r="AV1355" s="197"/>
      <c r="AW1355" s="197"/>
    </row>
    <row r="1356" spans="28:49" s="196" customFormat="1">
      <c r="AB1356" s="201"/>
      <c r="AC1356" s="201"/>
      <c r="AD1356" s="197"/>
      <c r="AE1356" s="197"/>
      <c r="AF1356" s="197"/>
      <c r="AG1356" s="197"/>
      <c r="AH1356" s="197"/>
      <c r="AI1356" s="197"/>
      <c r="AJ1356" s="197"/>
      <c r="AK1356" s="197"/>
      <c r="AL1356" s="197"/>
      <c r="AM1356" s="197"/>
      <c r="AN1356" s="197"/>
      <c r="AO1356" s="197"/>
      <c r="AP1356" s="197"/>
      <c r="AQ1356" s="197"/>
      <c r="AR1356" s="197"/>
      <c r="AS1356" s="197"/>
      <c r="AT1356" s="197"/>
      <c r="AU1356" s="197"/>
      <c r="AV1356" s="197"/>
      <c r="AW1356" s="197"/>
    </row>
    <row r="1357" spans="28:49" s="196" customFormat="1">
      <c r="AB1357" s="201"/>
      <c r="AC1357" s="201"/>
      <c r="AD1357" s="197"/>
      <c r="AE1357" s="197"/>
      <c r="AF1357" s="197"/>
      <c r="AG1357" s="197"/>
      <c r="AH1357" s="197"/>
      <c r="AI1357" s="197"/>
      <c r="AJ1357" s="197"/>
      <c r="AK1357" s="197"/>
      <c r="AL1357" s="197"/>
      <c r="AM1357" s="197"/>
      <c r="AN1357" s="197"/>
      <c r="AO1357" s="197"/>
      <c r="AP1357" s="197"/>
      <c r="AQ1357" s="197"/>
      <c r="AR1357" s="197"/>
      <c r="AS1357" s="197"/>
      <c r="AT1357" s="197"/>
      <c r="AU1357" s="197"/>
      <c r="AV1357" s="197"/>
      <c r="AW1357" s="197"/>
    </row>
    <row r="1358" spans="28:49" s="196" customFormat="1">
      <c r="AB1358" s="201"/>
      <c r="AC1358" s="201"/>
      <c r="AD1358" s="197"/>
      <c r="AE1358" s="197"/>
      <c r="AF1358" s="197"/>
      <c r="AG1358" s="197"/>
      <c r="AH1358" s="197"/>
      <c r="AI1358" s="197"/>
      <c r="AJ1358" s="197"/>
      <c r="AK1358" s="197"/>
      <c r="AL1358" s="197"/>
      <c r="AM1358" s="197"/>
      <c r="AN1358" s="197"/>
      <c r="AO1358" s="197"/>
      <c r="AP1358" s="197"/>
      <c r="AQ1358" s="197"/>
      <c r="AR1358" s="197"/>
      <c r="AS1358" s="197"/>
      <c r="AT1358" s="197"/>
      <c r="AU1358" s="197"/>
      <c r="AV1358" s="197"/>
      <c r="AW1358" s="197"/>
    </row>
    <row r="1359" spans="28:49" s="196" customFormat="1">
      <c r="AB1359" s="201"/>
      <c r="AC1359" s="201"/>
      <c r="AD1359" s="197"/>
      <c r="AE1359" s="197"/>
      <c r="AF1359" s="197"/>
      <c r="AG1359" s="197"/>
      <c r="AH1359" s="197"/>
      <c r="AI1359" s="197"/>
      <c r="AJ1359" s="197"/>
      <c r="AK1359" s="197"/>
      <c r="AL1359" s="197"/>
      <c r="AM1359" s="197"/>
      <c r="AN1359" s="197"/>
      <c r="AO1359" s="197"/>
      <c r="AP1359" s="197"/>
      <c r="AQ1359" s="197"/>
      <c r="AR1359" s="197"/>
      <c r="AS1359" s="197"/>
      <c r="AT1359" s="197"/>
      <c r="AU1359" s="197"/>
      <c r="AV1359" s="197"/>
      <c r="AW1359" s="197"/>
    </row>
    <row r="1360" spans="28:49" s="196" customFormat="1">
      <c r="AB1360" s="201"/>
      <c r="AC1360" s="201"/>
      <c r="AD1360" s="197"/>
      <c r="AE1360" s="197"/>
      <c r="AF1360" s="197"/>
      <c r="AG1360" s="197"/>
      <c r="AH1360" s="197"/>
      <c r="AI1360" s="197"/>
      <c r="AJ1360" s="197"/>
      <c r="AK1360" s="197"/>
      <c r="AL1360" s="197"/>
      <c r="AM1360" s="197"/>
      <c r="AN1360" s="197"/>
      <c r="AO1360" s="197"/>
      <c r="AP1360" s="197"/>
      <c r="AQ1360" s="197"/>
      <c r="AR1360" s="197"/>
      <c r="AS1360" s="197"/>
      <c r="AT1360" s="197"/>
      <c r="AU1360" s="197"/>
      <c r="AV1360" s="197"/>
      <c r="AW1360" s="197"/>
    </row>
    <row r="1361" spans="28:49" s="196" customFormat="1">
      <c r="AB1361" s="201"/>
      <c r="AC1361" s="201"/>
      <c r="AD1361" s="197"/>
      <c r="AE1361" s="197"/>
      <c r="AF1361" s="197"/>
      <c r="AG1361" s="197"/>
      <c r="AH1361" s="197"/>
      <c r="AI1361" s="197"/>
      <c r="AJ1361" s="197"/>
      <c r="AK1361" s="197"/>
      <c r="AL1361" s="197"/>
      <c r="AM1361" s="197"/>
      <c r="AN1361" s="197"/>
      <c r="AO1361" s="197"/>
      <c r="AP1361" s="197"/>
      <c r="AQ1361" s="197"/>
      <c r="AR1361" s="197"/>
      <c r="AS1361" s="197"/>
      <c r="AT1361" s="197"/>
      <c r="AU1361" s="197"/>
      <c r="AV1361" s="197"/>
      <c r="AW1361" s="197"/>
    </row>
    <row r="1362" spans="28:49" s="196" customFormat="1">
      <c r="AB1362" s="201"/>
      <c r="AC1362" s="201"/>
      <c r="AD1362" s="197"/>
      <c r="AE1362" s="197"/>
      <c r="AF1362" s="197"/>
      <c r="AG1362" s="197"/>
      <c r="AH1362" s="197"/>
      <c r="AI1362" s="197"/>
      <c r="AJ1362" s="197"/>
      <c r="AK1362" s="197"/>
      <c r="AL1362" s="197"/>
      <c r="AM1362" s="197"/>
      <c r="AN1362" s="197"/>
      <c r="AO1362" s="197"/>
      <c r="AP1362" s="197"/>
      <c r="AQ1362" s="197"/>
      <c r="AR1362" s="197"/>
      <c r="AS1362" s="197"/>
      <c r="AT1362" s="197"/>
      <c r="AU1362" s="197"/>
      <c r="AV1362" s="197"/>
      <c r="AW1362" s="197"/>
    </row>
    <row r="1363" spans="28:49" s="196" customFormat="1">
      <c r="AB1363" s="201"/>
      <c r="AC1363" s="201"/>
      <c r="AD1363" s="197"/>
      <c r="AE1363" s="197"/>
      <c r="AF1363" s="197"/>
      <c r="AG1363" s="197"/>
      <c r="AH1363" s="197"/>
      <c r="AI1363" s="197"/>
      <c r="AJ1363" s="197"/>
      <c r="AK1363" s="197"/>
      <c r="AL1363" s="197"/>
      <c r="AM1363" s="197"/>
      <c r="AN1363" s="197"/>
      <c r="AO1363" s="197"/>
      <c r="AP1363" s="197"/>
      <c r="AQ1363" s="197"/>
      <c r="AR1363" s="197"/>
      <c r="AS1363" s="197"/>
      <c r="AT1363" s="197"/>
      <c r="AU1363" s="197"/>
      <c r="AV1363" s="197"/>
      <c r="AW1363" s="197"/>
    </row>
    <row r="1364" spans="28:49" s="196" customFormat="1">
      <c r="AB1364" s="201"/>
      <c r="AC1364" s="201"/>
      <c r="AD1364" s="197"/>
      <c r="AE1364" s="197"/>
      <c r="AF1364" s="197"/>
      <c r="AG1364" s="197"/>
      <c r="AH1364" s="197"/>
      <c r="AI1364" s="197"/>
      <c r="AJ1364" s="197"/>
      <c r="AK1364" s="197"/>
      <c r="AL1364" s="197"/>
      <c r="AM1364" s="197"/>
      <c r="AN1364" s="197"/>
      <c r="AO1364" s="197"/>
      <c r="AP1364" s="197"/>
      <c r="AQ1364" s="197"/>
      <c r="AR1364" s="197"/>
      <c r="AS1364" s="197"/>
      <c r="AT1364" s="197"/>
      <c r="AU1364" s="197"/>
      <c r="AV1364" s="197"/>
      <c r="AW1364" s="197"/>
    </row>
    <row r="1365" spans="28:49" s="196" customFormat="1">
      <c r="AB1365" s="201"/>
      <c r="AC1365" s="201"/>
      <c r="AD1365" s="197"/>
      <c r="AE1365" s="197"/>
      <c r="AF1365" s="197"/>
      <c r="AG1365" s="197"/>
      <c r="AH1365" s="197"/>
      <c r="AI1365" s="197"/>
      <c r="AJ1365" s="197"/>
      <c r="AK1365" s="197"/>
      <c r="AL1365" s="197"/>
      <c r="AM1365" s="197"/>
      <c r="AN1365" s="197"/>
      <c r="AO1365" s="197"/>
      <c r="AP1365" s="197"/>
      <c r="AQ1365" s="197"/>
      <c r="AR1365" s="197"/>
      <c r="AS1365" s="197"/>
      <c r="AT1365" s="197"/>
      <c r="AU1365" s="197"/>
      <c r="AV1365" s="197"/>
      <c r="AW1365" s="197"/>
    </row>
    <row r="1366" spans="28:49" s="196" customFormat="1">
      <c r="AB1366" s="201"/>
      <c r="AC1366" s="201"/>
      <c r="AD1366" s="197"/>
      <c r="AE1366" s="197"/>
      <c r="AF1366" s="197"/>
      <c r="AG1366" s="197"/>
      <c r="AH1366" s="197"/>
      <c r="AI1366" s="197"/>
      <c r="AJ1366" s="197"/>
      <c r="AK1366" s="197"/>
      <c r="AL1366" s="197"/>
      <c r="AM1366" s="197"/>
      <c r="AN1366" s="197"/>
      <c r="AO1366" s="197"/>
      <c r="AP1366" s="197"/>
      <c r="AQ1366" s="197"/>
      <c r="AR1366" s="197"/>
      <c r="AS1366" s="197"/>
      <c r="AT1366" s="197"/>
      <c r="AU1366" s="197"/>
      <c r="AV1366" s="197"/>
      <c r="AW1366" s="197"/>
    </row>
    <row r="1367" spans="28:49" s="196" customFormat="1">
      <c r="AB1367" s="201"/>
      <c r="AC1367" s="201"/>
      <c r="AD1367" s="197"/>
      <c r="AE1367" s="197"/>
      <c r="AF1367" s="197"/>
      <c r="AG1367" s="197"/>
      <c r="AH1367" s="197"/>
      <c r="AI1367" s="197"/>
      <c r="AJ1367" s="197"/>
      <c r="AK1367" s="197"/>
      <c r="AL1367" s="197"/>
      <c r="AM1367" s="197"/>
      <c r="AN1367" s="197"/>
      <c r="AO1367" s="197"/>
      <c r="AP1367" s="197"/>
      <c r="AQ1367" s="197"/>
      <c r="AR1367" s="197"/>
      <c r="AS1367" s="197"/>
      <c r="AT1367" s="197"/>
      <c r="AU1367" s="197"/>
      <c r="AV1367" s="197"/>
      <c r="AW1367" s="197"/>
    </row>
    <row r="1368" spans="28:49" s="196" customFormat="1">
      <c r="AB1368" s="201"/>
      <c r="AC1368" s="201"/>
      <c r="AD1368" s="197"/>
      <c r="AE1368" s="197"/>
      <c r="AF1368" s="197"/>
      <c r="AG1368" s="197"/>
      <c r="AH1368" s="197"/>
      <c r="AI1368" s="197"/>
      <c r="AJ1368" s="197"/>
      <c r="AK1368" s="197"/>
      <c r="AL1368" s="197"/>
      <c r="AM1368" s="197"/>
      <c r="AN1368" s="197"/>
      <c r="AO1368" s="197"/>
      <c r="AP1368" s="197"/>
      <c r="AQ1368" s="197"/>
      <c r="AR1368" s="197"/>
      <c r="AS1368" s="197"/>
      <c r="AT1368" s="197"/>
      <c r="AU1368" s="197"/>
      <c r="AV1368" s="197"/>
      <c r="AW1368" s="197"/>
    </row>
    <row r="1369" spans="28:49" s="196" customFormat="1">
      <c r="AB1369" s="201"/>
      <c r="AC1369" s="201"/>
      <c r="AD1369" s="197"/>
      <c r="AE1369" s="197"/>
      <c r="AF1369" s="197"/>
      <c r="AG1369" s="197"/>
      <c r="AH1369" s="197"/>
      <c r="AI1369" s="197"/>
      <c r="AJ1369" s="197"/>
      <c r="AK1369" s="197"/>
      <c r="AL1369" s="197"/>
      <c r="AM1369" s="197"/>
      <c r="AN1369" s="197"/>
      <c r="AO1369" s="197"/>
      <c r="AP1369" s="197"/>
      <c r="AQ1369" s="197"/>
      <c r="AR1369" s="197"/>
      <c r="AS1369" s="197"/>
      <c r="AT1369" s="197"/>
      <c r="AU1369" s="197"/>
      <c r="AV1369" s="197"/>
      <c r="AW1369" s="197"/>
    </row>
    <row r="1370" spans="28:49" s="196" customFormat="1">
      <c r="AB1370" s="201"/>
      <c r="AC1370" s="201"/>
      <c r="AD1370" s="197"/>
      <c r="AE1370" s="197"/>
      <c r="AF1370" s="197"/>
      <c r="AG1370" s="197"/>
      <c r="AH1370" s="197"/>
      <c r="AI1370" s="197"/>
      <c r="AJ1370" s="197"/>
      <c r="AK1370" s="197"/>
      <c r="AL1370" s="197"/>
      <c r="AM1370" s="197"/>
      <c r="AN1370" s="197"/>
      <c r="AO1370" s="197"/>
      <c r="AP1370" s="197"/>
      <c r="AQ1370" s="197"/>
      <c r="AR1370" s="197"/>
      <c r="AS1370" s="197"/>
      <c r="AT1370" s="197"/>
      <c r="AU1370" s="197"/>
      <c r="AV1370" s="197"/>
      <c r="AW1370" s="197"/>
    </row>
    <row r="1371" spans="28:49" s="196" customFormat="1">
      <c r="AB1371" s="201"/>
      <c r="AC1371" s="201"/>
      <c r="AD1371" s="197"/>
      <c r="AE1371" s="197"/>
      <c r="AF1371" s="197"/>
      <c r="AG1371" s="197"/>
      <c r="AH1371" s="197"/>
      <c r="AI1371" s="197"/>
      <c r="AJ1371" s="197"/>
      <c r="AK1371" s="197"/>
      <c r="AL1371" s="197"/>
      <c r="AM1371" s="197"/>
      <c r="AN1371" s="197"/>
      <c r="AO1371" s="197"/>
      <c r="AP1371" s="197"/>
      <c r="AQ1371" s="197"/>
      <c r="AR1371" s="197"/>
      <c r="AS1371" s="197"/>
      <c r="AT1371" s="197"/>
      <c r="AU1371" s="197"/>
      <c r="AV1371" s="197"/>
      <c r="AW1371" s="197"/>
    </row>
    <row r="1372" spans="28:49" s="196" customFormat="1">
      <c r="AB1372" s="201"/>
      <c r="AC1372" s="201"/>
      <c r="AD1372" s="197"/>
      <c r="AE1372" s="197"/>
      <c r="AF1372" s="197"/>
      <c r="AG1372" s="197"/>
      <c r="AH1372" s="197"/>
      <c r="AI1372" s="197"/>
      <c r="AJ1372" s="197"/>
      <c r="AK1372" s="197"/>
      <c r="AL1372" s="197"/>
      <c r="AM1372" s="197"/>
      <c r="AN1372" s="197"/>
      <c r="AO1372" s="197"/>
      <c r="AP1372" s="197"/>
      <c r="AQ1372" s="197"/>
      <c r="AR1372" s="197"/>
      <c r="AS1372" s="197"/>
      <c r="AT1372" s="197"/>
      <c r="AU1372" s="197"/>
      <c r="AV1372" s="197"/>
      <c r="AW1372" s="197"/>
    </row>
    <row r="1373" spans="28:49" s="196" customFormat="1">
      <c r="AB1373" s="201"/>
      <c r="AC1373" s="201"/>
      <c r="AD1373" s="197"/>
      <c r="AE1373" s="197"/>
      <c r="AF1373" s="197"/>
      <c r="AG1373" s="197"/>
      <c r="AH1373" s="197"/>
      <c r="AI1373" s="197"/>
      <c r="AJ1373" s="197"/>
      <c r="AK1373" s="197"/>
      <c r="AL1373" s="197"/>
      <c r="AM1373" s="197"/>
      <c r="AN1373" s="197"/>
      <c r="AO1373" s="197"/>
      <c r="AP1373" s="197"/>
      <c r="AQ1373" s="197"/>
      <c r="AR1373" s="197"/>
      <c r="AS1373" s="197"/>
      <c r="AT1373" s="197"/>
      <c r="AU1373" s="197"/>
      <c r="AV1373" s="197"/>
      <c r="AW1373" s="197"/>
    </row>
    <row r="1374" spans="28:49" s="196" customFormat="1">
      <c r="AB1374" s="201"/>
      <c r="AC1374" s="201"/>
      <c r="AD1374" s="197"/>
      <c r="AE1374" s="197"/>
      <c r="AF1374" s="197"/>
      <c r="AG1374" s="197"/>
      <c r="AH1374" s="197"/>
      <c r="AI1374" s="197"/>
      <c r="AJ1374" s="197"/>
      <c r="AK1374" s="197"/>
      <c r="AL1374" s="197"/>
      <c r="AM1374" s="197"/>
      <c r="AN1374" s="197"/>
      <c r="AO1374" s="197"/>
      <c r="AP1374" s="197"/>
      <c r="AQ1374" s="197"/>
      <c r="AR1374" s="197"/>
      <c r="AS1374" s="197"/>
      <c r="AT1374" s="197"/>
      <c r="AU1374" s="197"/>
      <c r="AV1374" s="197"/>
      <c r="AW1374" s="197"/>
    </row>
    <row r="1375" spans="28:49" s="196" customFormat="1">
      <c r="AB1375" s="201"/>
      <c r="AC1375" s="201"/>
      <c r="AD1375" s="197"/>
      <c r="AE1375" s="197"/>
      <c r="AF1375" s="197"/>
      <c r="AG1375" s="197"/>
      <c r="AH1375" s="197"/>
      <c r="AI1375" s="197"/>
      <c r="AJ1375" s="197"/>
      <c r="AK1375" s="197"/>
      <c r="AL1375" s="197"/>
      <c r="AM1375" s="197"/>
      <c r="AN1375" s="197"/>
      <c r="AO1375" s="197"/>
      <c r="AP1375" s="197"/>
      <c r="AQ1375" s="197"/>
      <c r="AR1375" s="197"/>
      <c r="AS1375" s="197"/>
      <c r="AT1375" s="197"/>
      <c r="AU1375" s="197"/>
      <c r="AV1375" s="197"/>
      <c r="AW1375" s="197"/>
    </row>
    <row r="1376" spans="28:49" s="196" customFormat="1">
      <c r="AB1376" s="201"/>
      <c r="AC1376" s="201"/>
      <c r="AD1376" s="197"/>
      <c r="AE1376" s="197"/>
      <c r="AF1376" s="197"/>
      <c r="AG1376" s="197"/>
      <c r="AH1376" s="197"/>
      <c r="AI1376" s="197"/>
      <c r="AJ1376" s="197"/>
      <c r="AK1376" s="197"/>
      <c r="AL1376" s="197"/>
      <c r="AM1376" s="197"/>
      <c r="AN1376" s="197"/>
      <c r="AO1376" s="197"/>
      <c r="AP1376" s="197"/>
      <c r="AQ1376" s="197"/>
      <c r="AR1376" s="197"/>
      <c r="AS1376" s="197"/>
      <c r="AT1376" s="197"/>
      <c r="AU1376" s="197"/>
      <c r="AV1376" s="197"/>
      <c r="AW1376" s="197"/>
    </row>
    <row r="1377" spans="28:49" s="196" customFormat="1">
      <c r="AB1377" s="201"/>
      <c r="AC1377" s="201"/>
      <c r="AD1377" s="197"/>
      <c r="AE1377" s="197"/>
      <c r="AF1377" s="197"/>
      <c r="AG1377" s="197"/>
      <c r="AH1377" s="197"/>
      <c r="AI1377" s="197"/>
      <c r="AJ1377" s="197"/>
      <c r="AK1377" s="197"/>
      <c r="AL1377" s="197"/>
      <c r="AM1377" s="197"/>
      <c r="AN1377" s="197"/>
      <c r="AO1377" s="197"/>
      <c r="AP1377" s="197"/>
      <c r="AQ1377" s="197"/>
      <c r="AR1377" s="197"/>
      <c r="AS1377" s="197"/>
      <c r="AT1377" s="197"/>
      <c r="AU1377" s="197"/>
      <c r="AV1377" s="197"/>
      <c r="AW1377" s="197"/>
    </row>
    <row r="1378" spans="28:49" s="196" customFormat="1">
      <c r="AB1378" s="201"/>
      <c r="AC1378" s="201"/>
      <c r="AD1378" s="197"/>
      <c r="AE1378" s="197"/>
      <c r="AF1378" s="197"/>
      <c r="AG1378" s="197"/>
      <c r="AH1378" s="197"/>
      <c r="AI1378" s="197"/>
      <c r="AJ1378" s="197"/>
      <c r="AK1378" s="197"/>
      <c r="AL1378" s="197"/>
      <c r="AM1378" s="197"/>
      <c r="AN1378" s="197"/>
      <c r="AO1378" s="197"/>
      <c r="AP1378" s="197"/>
      <c r="AQ1378" s="197"/>
      <c r="AR1378" s="197"/>
      <c r="AS1378" s="197"/>
      <c r="AT1378" s="197"/>
      <c r="AU1378" s="197"/>
      <c r="AV1378" s="197"/>
      <c r="AW1378" s="197"/>
    </row>
    <row r="1379" spans="28:49" s="196" customFormat="1">
      <c r="AB1379" s="201"/>
      <c r="AC1379" s="201"/>
      <c r="AD1379" s="197"/>
      <c r="AE1379" s="197"/>
      <c r="AF1379" s="197"/>
      <c r="AG1379" s="197"/>
      <c r="AH1379" s="197"/>
      <c r="AI1379" s="197"/>
      <c r="AJ1379" s="197"/>
      <c r="AK1379" s="197"/>
      <c r="AL1379" s="197"/>
      <c r="AM1379" s="197"/>
      <c r="AN1379" s="197"/>
      <c r="AO1379" s="197"/>
      <c r="AP1379" s="197"/>
      <c r="AQ1379" s="197"/>
      <c r="AR1379" s="197"/>
      <c r="AS1379" s="197"/>
      <c r="AT1379" s="197"/>
      <c r="AU1379" s="197"/>
      <c r="AV1379" s="197"/>
      <c r="AW1379" s="197"/>
    </row>
    <row r="1380" spans="28:49" s="196" customFormat="1">
      <c r="AB1380" s="201"/>
      <c r="AC1380" s="201"/>
      <c r="AD1380" s="197"/>
      <c r="AE1380" s="197"/>
      <c r="AF1380" s="197"/>
      <c r="AG1380" s="197"/>
      <c r="AH1380" s="197"/>
      <c r="AI1380" s="197"/>
      <c r="AJ1380" s="197"/>
      <c r="AK1380" s="197"/>
      <c r="AL1380" s="197"/>
      <c r="AM1380" s="197"/>
      <c r="AN1380" s="197"/>
      <c r="AO1380" s="197"/>
      <c r="AP1380" s="197"/>
      <c r="AQ1380" s="197"/>
      <c r="AR1380" s="197"/>
      <c r="AS1380" s="197"/>
      <c r="AT1380" s="197"/>
      <c r="AU1380" s="197"/>
      <c r="AV1380" s="197"/>
      <c r="AW1380" s="197"/>
    </row>
    <row r="1381" spans="28:49" s="196" customFormat="1">
      <c r="AB1381" s="201"/>
      <c r="AC1381" s="201"/>
      <c r="AD1381" s="197"/>
      <c r="AE1381" s="197"/>
      <c r="AF1381" s="197"/>
      <c r="AG1381" s="197"/>
      <c r="AH1381" s="197"/>
      <c r="AI1381" s="197"/>
      <c r="AJ1381" s="197"/>
      <c r="AK1381" s="197"/>
      <c r="AL1381" s="197"/>
      <c r="AM1381" s="197"/>
      <c r="AN1381" s="197"/>
      <c r="AO1381" s="197"/>
      <c r="AP1381" s="197"/>
      <c r="AQ1381" s="197"/>
      <c r="AR1381" s="197"/>
      <c r="AS1381" s="197"/>
      <c r="AT1381" s="197"/>
      <c r="AU1381" s="197"/>
      <c r="AV1381" s="197"/>
      <c r="AW1381" s="197"/>
    </row>
    <row r="1382" spans="28:49" s="196" customFormat="1">
      <c r="AB1382" s="201"/>
      <c r="AC1382" s="201"/>
      <c r="AD1382" s="197"/>
      <c r="AE1382" s="197"/>
      <c r="AF1382" s="197"/>
      <c r="AG1382" s="197"/>
      <c r="AH1382" s="197"/>
      <c r="AI1382" s="197"/>
      <c r="AJ1382" s="197"/>
      <c r="AK1382" s="197"/>
      <c r="AL1382" s="197"/>
      <c r="AM1382" s="197"/>
      <c r="AN1382" s="197"/>
      <c r="AO1382" s="197"/>
      <c r="AP1382" s="197"/>
      <c r="AQ1382" s="197"/>
      <c r="AR1382" s="197"/>
      <c r="AS1382" s="197"/>
      <c r="AT1382" s="197"/>
      <c r="AU1382" s="197"/>
      <c r="AV1382" s="197"/>
      <c r="AW1382" s="197"/>
    </row>
    <row r="1383" spans="28:49" s="196" customFormat="1">
      <c r="AB1383" s="201"/>
      <c r="AC1383" s="201"/>
      <c r="AD1383" s="197"/>
      <c r="AE1383" s="197"/>
      <c r="AF1383" s="197"/>
      <c r="AG1383" s="197"/>
      <c r="AH1383" s="197"/>
      <c r="AI1383" s="197"/>
      <c r="AJ1383" s="197"/>
      <c r="AK1383" s="197"/>
      <c r="AL1383" s="197"/>
      <c r="AM1383" s="197"/>
      <c r="AN1383" s="197"/>
      <c r="AO1383" s="197"/>
      <c r="AP1383" s="197"/>
      <c r="AQ1383" s="197"/>
      <c r="AR1383" s="197"/>
      <c r="AS1383" s="197"/>
      <c r="AT1383" s="197"/>
      <c r="AU1383" s="197"/>
      <c r="AV1383" s="197"/>
      <c r="AW1383" s="197"/>
    </row>
    <row r="1384" spans="28:49" s="196" customFormat="1">
      <c r="AB1384" s="201"/>
      <c r="AC1384" s="201"/>
      <c r="AD1384" s="197"/>
      <c r="AE1384" s="197"/>
      <c r="AF1384" s="197"/>
      <c r="AG1384" s="197"/>
      <c r="AH1384" s="197"/>
      <c r="AI1384" s="197"/>
      <c r="AJ1384" s="197"/>
      <c r="AK1384" s="197"/>
      <c r="AL1384" s="197"/>
      <c r="AM1384" s="197"/>
      <c r="AN1384" s="197"/>
      <c r="AO1384" s="197"/>
      <c r="AP1384" s="197"/>
      <c r="AQ1384" s="197"/>
      <c r="AR1384" s="197"/>
      <c r="AS1384" s="197"/>
      <c r="AT1384" s="197"/>
      <c r="AU1384" s="197"/>
      <c r="AV1384" s="197"/>
      <c r="AW1384" s="197"/>
    </row>
    <row r="1385" spans="28:49" s="196" customFormat="1">
      <c r="AB1385" s="201"/>
      <c r="AC1385" s="201"/>
      <c r="AD1385" s="197"/>
      <c r="AE1385" s="197"/>
      <c r="AF1385" s="197"/>
      <c r="AG1385" s="197"/>
      <c r="AH1385" s="197"/>
      <c r="AI1385" s="197"/>
      <c r="AJ1385" s="197"/>
      <c r="AK1385" s="197"/>
      <c r="AL1385" s="197"/>
      <c r="AM1385" s="197"/>
      <c r="AN1385" s="197"/>
      <c r="AO1385" s="197"/>
      <c r="AP1385" s="197"/>
      <c r="AQ1385" s="197"/>
      <c r="AR1385" s="197"/>
      <c r="AS1385" s="197"/>
      <c r="AT1385" s="197"/>
      <c r="AU1385" s="197"/>
      <c r="AV1385" s="197"/>
      <c r="AW1385" s="197"/>
    </row>
    <row r="1386" spans="28:49" s="196" customFormat="1">
      <c r="AB1386" s="201"/>
      <c r="AC1386" s="201"/>
      <c r="AD1386" s="197"/>
      <c r="AE1386" s="197"/>
      <c r="AF1386" s="197"/>
      <c r="AG1386" s="197"/>
      <c r="AH1386" s="197"/>
      <c r="AI1386" s="197"/>
      <c r="AJ1386" s="197"/>
      <c r="AK1386" s="197"/>
      <c r="AL1386" s="197"/>
      <c r="AM1386" s="197"/>
      <c r="AN1386" s="197"/>
      <c r="AO1386" s="197"/>
      <c r="AP1386" s="197"/>
      <c r="AQ1386" s="197"/>
      <c r="AR1386" s="197"/>
      <c r="AS1386" s="197"/>
      <c r="AT1386" s="197"/>
      <c r="AU1386" s="197"/>
      <c r="AV1386" s="197"/>
      <c r="AW1386" s="197"/>
    </row>
    <row r="1387" spans="28:49" s="196" customFormat="1">
      <c r="AB1387" s="201"/>
      <c r="AC1387" s="201"/>
      <c r="AD1387" s="197"/>
      <c r="AE1387" s="197"/>
      <c r="AF1387" s="197"/>
      <c r="AG1387" s="197"/>
      <c r="AH1387" s="197"/>
      <c r="AI1387" s="197"/>
      <c r="AJ1387" s="197"/>
      <c r="AK1387" s="197"/>
      <c r="AL1387" s="197"/>
      <c r="AM1387" s="197"/>
      <c r="AN1387" s="197"/>
      <c r="AO1387" s="197"/>
      <c r="AP1387" s="197"/>
      <c r="AQ1387" s="197"/>
      <c r="AR1387" s="197"/>
      <c r="AS1387" s="197"/>
      <c r="AT1387" s="197"/>
      <c r="AU1387" s="197"/>
      <c r="AV1387" s="197"/>
      <c r="AW1387" s="197"/>
    </row>
    <row r="1388" spans="28:49" s="196" customFormat="1">
      <c r="AB1388" s="201"/>
      <c r="AC1388" s="201"/>
      <c r="AD1388" s="197"/>
      <c r="AE1388" s="197"/>
      <c r="AF1388" s="197"/>
      <c r="AG1388" s="197"/>
      <c r="AH1388" s="197"/>
      <c r="AI1388" s="197"/>
      <c r="AJ1388" s="197"/>
      <c r="AK1388" s="197"/>
      <c r="AL1388" s="197"/>
      <c r="AM1388" s="197"/>
      <c r="AN1388" s="197"/>
      <c r="AO1388" s="197"/>
      <c r="AP1388" s="197"/>
      <c r="AQ1388" s="197"/>
      <c r="AR1388" s="197"/>
      <c r="AS1388" s="197"/>
      <c r="AT1388" s="197"/>
      <c r="AU1388" s="197"/>
      <c r="AV1388" s="197"/>
      <c r="AW1388" s="197"/>
    </row>
    <row r="1389" spans="28:49" s="196" customFormat="1">
      <c r="AB1389" s="201"/>
      <c r="AC1389" s="201"/>
      <c r="AD1389" s="197"/>
      <c r="AE1389" s="197"/>
      <c r="AF1389" s="197"/>
      <c r="AG1389" s="197"/>
      <c r="AH1389" s="197"/>
      <c r="AI1389" s="197"/>
      <c r="AJ1389" s="197"/>
      <c r="AK1389" s="197"/>
      <c r="AL1389" s="197"/>
      <c r="AM1389" s="197"/>
      <c r="AN1389" s="197"/>
      <c r="AO1389" s="197"/>
      <c r="AP1389" s="197"/>
      <c r="AQ1389" s="197"/>
      <c r="AR1389" s="197"/>
      <c r="AS1389" s="197"/>
      <c r="AT1389" s="197"/>
      <c r="AU1389" s="197"/>
      <c r="AV1389" s="197"/>
      <c r="AW1389" s="197"/>
    </row>
    <row r="1390" spans="28:49" s="196" customFormat="1">
      <c r="AB1390" s="201"/>
      <c r="AC1390" s="201"/>
      <c r="AD1390" s="197"/>
      <c r="AE1390" s="197"/>
      <c r="AF1390" s="197"/>
      <c r="AG1390" s="197"/>
      <c r="AH1390" s="197"/>
      <c r="AI1390" s="197"/>
      <c r="AJ1390" s="197"/>
      <c r="AK1390" s="197"/>
      <c r="AL1390" s="197"/>
      <c r="AM1390" s="197"/>
      <c r="AN1390" s="197"/>
      <c r="AO1390" s="197"/>
      <c r="AP1390" s="197"/>
      <c r="AQ1390" s="197"/>
      <c r="AR1390" s="197"/>
      <c r="AS1390" s="197"/>
      <c r="AT1390" s="197"/>
      <c r="AU1390" s="197"/>
      <c r="AV1390" s="197"/>
      <c r="AW1390" s="197"/>
    </row>
    <row r="1391" spans="28:49" s="196" customFormat="1">
      <c r="AB1391" s="201"/>
      <c r="AC1391" s="201"/>
      <c r="AD1391" s="197"/>
      <c r="AE1391" s="197"/>
      <c r="AF1391" s="197"/>
      <c r="AG1391" s="197"/>
      <c r="AH1391" s="197"/>
      <c r="AI1391" s="197"/>
      <c r="AJ1391" s="197"/>
      <c r="AK1391" s="197"/>
      <c r="AL1391" s="197"/>
      <c r="AM1391" s="197"/>
      <c r="AN1391" s="197"/>
      <c r="AO1391" s="197"/>
      <c r="AP1391" s="197"/>
      <c r="AQ1391" s="197"/>
      <c r="AR1391" s="197"/>
      <c r="AS1391" s="197"/>
      <c r="AT1391" s="197"/>
      <c r="AU1391" s="197"/>
      <c r="AV1391" s="197"/>
      <c r="AW1391" s="197"/>
    </row>
    <row r="1392" spans="28:49" s="196" customFormat="1">
      <c r="AB1392" s="201"/>
      <c r="AC1392" s="201"/>
      <c r="AD1392" s="197"/>
      <c r="AE1392" s="197"/>
      <c r="AF1392" s="197"/>
      <c r="AG1392" s="197"/>
      <c r="AH1392" s="197"/>
      <c r="AI1392" s="197"/>
      <c r="AJ1392" s="197"/>
      <c r="AK1392" s="197"/>
      <c r="AL1392" s="197"/>
      <c r="AM1392" s="197"/>
      <c r="AN1392" s="197"/>
      <c r="AO1392" s="197"/>
      <c r="AP1392" s="197"/>
      <c r="AQ1392" s="197"/>
      <c r="AR1392" s="197"/>
      <c r="AS1392" s="197"/>
      <c r="AT1392" s="197"/>
      <c r="AU1392" s="197"/>
      <c r="AV1392" s="197"/>
      <c r="AW1392" s="197"/>
    </row>
    <row r="1393" spans="28:49" s="196" customFormat="1">
      <c r="AB1393" s="201"/>
      <c r="AC1393" s="201"/>
      <c r="AD1393" s="197"/>
      <c r="AE1393" s="197"/>
      <c r="AF1393" s="197"/>
      <c r="AG1393" s="197"/>
      <c r="AH1393" s="197"/>
      <c r="AI1393" s="197"/>
      <c r="AJ1393" s="197"/>
      <c r="AK1393" s="197"/>
      <c r="AL1393" s="197"/>
      <c r="AM1393" s="197"/>
      <c r="AN1393" s="197"/>
      <c r="AO1393" s="197"/>
      <c r="AP1393" s="197"/>
      <c r="AQ1393" s="197"/>
      <c r="AR1393" s="197"/>
      <c r="AS1393" s="197"/>
      <c r="AT1393" s="197"/>
      <c r="AU1393" s="197"/>
      <c r="AV1393" s="197"/>
      <c r="AW1393" s="197"/>
    </row>
    <row r="1394" spans="28:49" s="196" customFormat="1">
      <c r="AB1394" s="201"/>
      <c r="AC1394" s="201"/>
      <c r="AD1394" s="197"/>
      <c r="AE1394" s="197"/>
      <c r="AF1394" s="197"/>
      <c r="AG1394" s="197"/>
      <c r="AH1394" s="197"/>
      <c r="AI1394" s="197"/>
      <c r="AJ1394" s="197"/>
      <c r="AK1394" s="197"/>
      <c r="AL1394" s="197"/>
      <c r="AM1394" s="197"/>
      <c r="AN1394" s="197"/>
      <c r="AO1394" s="197"/>
      <c r="AP1394" s="197"/>
      <c r="AQ1394" s="197"/>
      <c r="AR1394" s="197"/>
      <c r="AS1394" s="197"/>
      <c r="AT1394" s="197"/>
      <c r="AU1394" s="197"/>
      <c r="AV1394" s="197"/>
      <c r="AW1394" s="197"/>
    </row>
    <row r="1395" spans="28:49" s="196" customFormat="1">
      <c r="AB1395" s="201"/>
      <c r="AC1395" s="201"/>
      <c r="AD1395" s="197"/>
      <c r="AE1395" s="197"/>
      <c r="AF1395" s="197"/>
      <c r="AG1395" s="197"/>
      <c r="AH1395" s="197"/>
      <c r="AI1395" s="197"/>
      <c r="AJ1395" s="197"/>
      <c r="AK1395" s="197"/>
      <c r="AL1395" s="197"/>
      <c r="AM1395" s="197"/>
      <c r="AN1395" s="197"/>
      <c r="AO1395" s="197"/>
      <c r="AP1395" s="197"/>
      <c r="AQ1395" s="197"/>
      <c r="AR1395" s="197"/>
      <c r="AS1395" s="197"/>
      <c r="AT1395" s="197"/>
      <c r="AU1395" s="197"/>
      <c r="AV1395" s="197"/>
      <c r="AW1395" s="197"/>
    </row>
    <row r="1396" spans="28:49" s="196" customFormat="1">
      <c r="AB1396" s="201"/>
      <c r="AC1396" s="201"/>
      <c r="AD1396" s="197"/>
      <c r="AE1396" s="197"/>
      <c r="AF1396" s="197"/>
      <c r="AG1396" s="197"/>
      <c r="AH1396" s="197"/>
      <c r="AI1396" s="197"/>
      <c r="AJ1396" s="197"/>
      <c r="AK1396" s="197"/>
      <c r="AL1396" s="197"/>
      <c r="AM1396" s="197"/>
      <c r="AN1396" s="197"/>
      <c r="AO1396" s="197"/>
      <c r="AP1396" s="197"/>
      <c r="AQ1396" s="197"/>
      <c r="AR1396" s="197"/>
      <c r="AS1396" s="197"/>
      <c r="AT1396" s="197"/>
      <c r="AU1396" s="197"/>
      <c r="AV1396" s="197"/>
      <c r="AW1396" s="197"/>
    </row>
    <row r="1397" spans="28:49" s="196" customFormat="1">
      <c r="AB1397" s="201"/>
      <c r="AC1397" s="201"/>
      <c r="AD1397" s="197"/>
      <c r="AE1397" s="197"/>
      <c r="AF1397" s="197"/>
      <c r="AG1397" s="197"/>
      <c r="AH1397" s="197"/>
      <c r="AI1397" s="197"/>
      <c r="AJ1397" s="197"/>
      <c r="AK1397" s="197"/>
      <c r="AL1397" s="197"/>
      <c r="AM1397" s="197"/>
      <c r="AN1397" s="197"/>
      <c r="AO1397" s="197"/>
      <c r="AP1397" s="197"/>
      <c r="AQ1397" s="197"/>
      <c r="AR1397" s="197"/>
      <c r="AS1397" s="197"/>
      <c r="AT1397" s="197"/>
      <c r="AU1397" s="197"/>
      <c r="AV1397" s="197"/>
      <c r="AW1397" s="197"/>
    </row>
    <row r="1398" spans="28:49" s="196" customFormat="1">
      <c r="AB1398" s="201"/>
      <c r="AC1398" s="201"/>
      <c r="AD1398" s="197"/>
      <c r="AE1398" s="197"/>
      <c r="AF1398" s="197"/>
      <c r="AG1398" s="197"/>
      <c r="AH1398" s="197"/>
      <c r="AI1398" s="197"/>
      <c r="AJ1398" s="197"/>
      <c r="AK1398" s="197"/>
      <c r="AL1398" s="197"/>
      <c r="AM1398" s="197"/>
      <c r="AN1398" s="197"/>
      <c r="AO1398" s="197"/>
      <c r="AP1398" s="197"/>
      <c r="AQ1398" s="197"/>
      <c r="AR1398" s="197"/>
      <c r="AS1398" s="197"/>
      <c r="AT1398" s="197"/>
      <c r="AU1398" s="197"/>
      <c r="AV1398" s="197"/>
      <c r="AW1398" s="197"/>
    </row>
    <row r="1399" spans="28:49" s="196" customFormat="1">
      <c r="AB1399" s="201"/>
      <c r="AC1399" s="201"/>
      <c r="AD1399" s="197"/>
      <c r="AE1399" s="197"/>
      <c r="AF1399" s="197"/>
      <c r="AG1399" s="197"/>
      <c r="AH1399" s="197"/>
      <c r="AI1399" s="197"/>
      <c r="AJ1399" s="197"/>
      <c r="AK1399" s="197"/>
      <c r="AL1399" s="197"/>
      <c r="AM1399" s="197"/>
      <c r="AN1399" s="197"/>
      <c r="AO1399" s="197"/>
      <c r="AP1399" s="197"/>
      <c r="AQ1399" s="197"/>
      <c r="AR1399" s="197"/>
      <c r="AS1399" s="197"/>
      <c r="AT1399" s="197"/>
      <c r="AU1399" s="197"/>
      <c r="AV1399" s="197"/>
      <c r="AW1399" s="197"/>
    </row>
    <row r="1400" spans="28:49" s="196" customFormat="1">
      <c r="AB1400" s="201"/>
      <c r="AC1400" s="201"/>
      <c r="AD1400" s="197"/>
      <c r="AE1400" s="197"/>
      <c r="AF1400" s="197"/>
      <c r="AG1400" s="197"/>
      <c r="AH1400" s="197"/>
      <c r="AI1400" s="197"/>
      <c r="AJ1400" s="197"/>
      <c r="AK1400" s="197"/>
      <c r="AL1400" s="197"/>
      <c r="AM1400" s="197"/>
      <c r="AN1400" s="197"/>
      <c r="AO1400" s="197"/>
      <c r="AP1400" s="197"/>
      <c r="AQ1400" s="197"/>
      <c r="AR1400" s="197"/>
      <c r="AS1400" s="197"/>
      <c r="AT1400" s="197"/>
      <c r="AU1400" s="197"/>
      <c r="AV1400" s="197"/>
      <c r="AW1400" s="197"/>
    </row>
    <row r="1401" spans="28:49" s="196" customFormat="1">
      <c r="AB1401" s="201"/>
      <c r="AC1401" s="201"/>
      <c r="AD1401" s="197"/>
      <c r="AE1401" s="197"/>
      <c r="AF1401" s="197"/>
      <c r="AG1401" s="197"/>
      <c r="AH1401" s="197"/>
      <c r="AI1401" s="197"/>
      <c r="AJ1401" s="197"/>
      <c r="AK1401" s="197"/>
      <c r="AL1401" s="197"/>
      <c r="AM1401" s="197"/>
      <c r="AN1401" s="197"/>
      <c r="AO1401" s="197"/>
      <c r="AP1401" s="197"/>
      <c r="AQ1401" s="197"/>
      <c r="AR1401" s="197"/>
      <c r="AS1401" s="197"/>
      <c r="AT1401" s="197"/>
      <c r="AU1401" s="197"/>
      <c r="AV1401" s="197"/>
      <c r="AW1401" s="197"/>
    </row>
    <row r="1402" spans="28:49" s="196" customFormat="1">
      <c r="AB1402" s="201"/>
      <c r="AC1402" s="201"/>
      <c r="AD1402" s="197"/>
      <c r="AE1402" s="197"/>
      <c r="AF1402" s="197"/>
      <c r="AG1402" s="197"/>
      <c r="AH1402" s="197"/>
      <c r="AI1402" s="197"/>
      <c r="AJ1402" s="197"/>
      <c r="AK1402" s="197"/>
      <c r="AL1402" s="197"/>
      <c r="AM1402" s="197"/>
      <c r="AN1402" s="197"/>
      <c r="AO1402" s="197"/>
      <c r="AP1402" s="197"/>
      <c r="AQ1402" s="197"/>
      <c r="AR1402" s="197"/>
      <c r="AS1402" s="197"/>
      <c r="AT1402" s="197"/>
      <c r="AU1402" s="197"/>
      <c r="AV1402" s="197"/>
      <c r="AW1402" s="197"/>
    </row>
    <row r="1403" spans="28:49" s="196" customFormat="1">
      <c r="AB1403" s="201"/>
      <c r="AC1403" s="201"/>
      <c r="AD1403" s="197"/>
      <c r="AE1403" s="197"/>
      <c r="AF1403" s="197"/>
      <c r="AG1403" s="197"/>
      <c r="AH1403" s="197"/>
      <c r="AI1403" s="197"/>
      <c r="AJ1403" s="197"/>
      <c r="AK1403" s="197"/>
      <c r="AL1403" s="197"/>
      <c r="AM1403" s="197"/>
      <c r="AN1403" s="197"/>
      <c r="AO1403" s="197"/>
      <c r="AP1403" s="197"/>
      <c r="AQ1403" s="197"/>
      <c r="AR1403" s="197"/>
      <c r="AS1403" s="197"/>
      <c r="AT1403" s="197"/>
      <c r="AU1403" s="197"/>
      <c r="AV1403" s="197"/>
      <c r="AW1403" s="197"/>
    </row>
    <row r="1404" spans="28:49" s="196" customFormat="1">
      <c r="AB1404" s="201"/>
      <c r="AC1404" s="201"/>
      <c r="AD1404" s="197"/>
      <c r="AE1404" s="197"/>
      <c r="AF1404" s="197"/>
      <c r="AG1404" s="197"/>
      <c r="AH1404" s="197"/>
      <c r="AI1404" s="197"/>
      <c r="AJ1404" s="197"/>
      <c r="AK1404" s="197"/>
      <c r="AL1404" s="197"/>
      <c r="AM1404" s="197"/>
      <c r="AN1404" s="197"/>
      <c r="AO1404" s="197"/>
      <c r="AP1404" s="197"/>
      <c r="AQ1404" s="197"/>
      <c r="AR1404" s="197"/>
      <c r="AS1404" s="197"/>
      <c r="AT1404" s="197"/>
      <c r="AU1404" s="197"/>
      <c r="AV1404" s="197"/>
      <c r="AW1404" s="197"/>
    </row>
    <row r="1405" spans="28:49" s="196" customFormat="1">
      <c r="AB1405" s="201"/>
      <c r="AC1405" s="201"/>
      <c r="AD1405" s="197"/>
      <c r="AE1405" s="197"/>
      <c r="AF1405" s="197"/>
      <c r="AG1405" s="197"/>
      <c r="AH1405" s="197"/>
      <c r="AI1405" s="197"/>
      <c r="AJ1405" s="197"/>
      <c r="AK1405" s="197"/>
      <c r="AL1405" s="197"/>
      <c r="AM1405" s="197"/>
      <c r="AN1405" s="197"/>
      <c r="AO1405" s="197"/>
      <c r="AP1405" s="197"/>
      <c r="AQ1405" s="197"/>
      <c r="AR1405" s="197"/>
      <c r="AS1405" s="197"/>
      <c r="AT1405" s="197"/>
      <c r="AU1405" s="197"/>
      <c r="AV1405" s="197"/>
      <c r="AW1405" s="197"/>
    </row>
    <row r="1406" spans="28:49" s="196" customFormat="1">
      <c r="AB1406" s="201"/>
      <c r="AC1406" s="201"/>
      <c r="AD1406" s="197"/>
      <c r="AE1406" s="197"/>
      <c r="AF1406" s="197"/>
      <c r="AG1406" s="197"/>
      <c r="AH1406" s="197"/>
      <c r="AI1406" s="197"/>
      <c r="AJ1406" s="197"/>
      <c r="AK1406" s="197"/>
      <c r="AL1406" s="197"/>
      <c r="AM1406" s="197"/>
      <c r="AN1406" s="197"/>
      <c r="AO1406" s="197"/>
      <c r="AP1406" s="197"/>
      <c r="AQ1406" s="197"/>
      <c r="AR1406" s="197"/>
      <c r="AS1406" s="197"/>
      <c r="AT1406" s="197"/>
      <c r="AU1406" s="197"/>
      <c r="AV1406" s="197"/>
      <c r="AW1406" s="197"/>
    </row>
    <row r="1407" spans="28:49" s="196" customFormat="1">
      <c r="AB1407" s="201"/>
      <c r="AC1407" s="201"/>
      <c r="AD1407" s="197"/>
      <c r="AE1407" s="197"/>
      <c r="AF1407" s="197"/>
      <c r="AG1407" s="197"/>
      <c r="AH1407" s="197"/>
      <c r="AI1407" s="197"/>
      <c r="AJ1407" s="197"/>
      <c r="AK1407" s="197"/>
      <c r="AL1407" s="197"/>
      <c r="AM1407" s="197"/>
      <c r="AN1407" s="197"/>
      <c r="AO1407" s="197"/>
      <c r="AP1407" s="197"/>
      <c r="AQ1407" s="197"/>
      <c r="AR1407" s="197"/>
      <c r="AS1407" s="197"/>
      <c r="AT1407" s="197"/>
      <c r="AU1407" s="197"/>
      <c r="AV1407" s="197"/>
      <c r="AW1407" s="197"/>
    </row>
    <row r="1408" spans="28:49" s="196" customFormat="1">
      <c r="AB1408" s="201"/>
      <c r="AC1408" s="201"/>
      <c r="AD1408" s="197"/>
      <c r="AE1408" s="197"/>
      <c r="AF1408" s="197"/>
      <c r="AG1408" s="197"/>
      <c r="AH1408" s="197"/>
      <c r="AI1408" s="197"/>
      <c r="AJ1408" s="197"/>
      <c r="AK1408" s="197"/>
      <c r="AL1408" s="197"/>
      <c r="AM1408" s="197"/>
      <c r="AN1408" s="197"/>
      <c r="AO1408" s="197"/>
      <c r="AP1408" s="197"/>
      <c r="AQ1408" s="197"/>
      <c r="AR1408" s="197"/>
      <c r="AS1408" s="197"/>
      <c r="AT1408" s="197"/>
      <c r="AU1408" s="197"/>
      <c r="AV1408" s="197"/>
      <c r="AW1408" s="197"/>
    </row>
    <row r="1409" spans="28:49" s="196" customFormat="1">
      <c r="AB1409" s="201"/>
      <c r="AC1409" s="201"/>
      <c r="AD1409" s="197"/>
      <c r="AE1409" s="197"/>
      <c r="AF1409" s="197"/>
      <c r="AG1409" s="197"/>
      <c r="AH1409" s="197"/>
      <c r="AI1409" s="197"/>
      <c r="AJ1409" s="197"/>
      <c r="AK1409" s="197"/>
      <c r="AL1409" s="197"/>
      <c r="AM1409" s="197"/>
      <c r="AN1409" s="197"/>
      <c r="AO1409" s="197"/>
      <c r="AP1409" s="197"/>
      <c r="AQ1409" s="197"/>
      <c r="AR1409" s="197"/>
      <c r="AS1409" s="197"/>
      <c r="AT1409" s="197"/>
      <c r="AU1409" s="197"/>
      <c r="AV1409" s="197"/>
      <c r="AW1409" s="197"/>
    </row>
    <row r="1410" spans="28:49" s="196" customFormat="1">
      <c r="AB1410" s="201"/>
      <c r="AC1410" s="201"/>
      <c r="AD1410" s="197"/>
      <c r="AE1410" s="197"/>
      <c r="AF1410" s="197"/>
      <c r="AG1410" s="197"/>
      <c r="AH1410" s="197"/>
      <c r="AI1410" s="197"/>
      <c r="AJ1410" s="197"/>
      <c r="AK1410" s="197"/>
      <c r="AL1410" s="197"/>
      <c r="AM1410" s="197"/>
      <c r="AN1410" s="197"/>
      <c r="AO1410" s="197"/>
      <c r="AP1410" s="197"/>
      <c r="AQ1410" s="197"/>
      <c r="AR1410" s="197"/>
      <c r="AS1410" s="197"/>
      <c r="AT1410" s="197"/>
      <c r="AU1410" s="197"/>
      <c r="AV1410" s="197"/>
      <c r="AW1410" s="197"/>
    </row>
    <row r="1411" spans="28:49" s="196" customFormat="1">
      <c r="AB1411" s="201"/>
      <c r="AC1411" s="201"/>
      <c r="AD1411" s="197"/>
      <c r="AE1411" s="197"/>
      <c r="AF1411" s="197"/>
      <c r="AG1411" s="197"/>
      <c r="AH1411" s="197"/>
      <c r="AI1411" s="197"/>
      <c r="AJ1411" s="197"/>
      <c r="AK1411" s="197"/>
      <c r="AL1411" s="197"/>
      <c r="AM1411" s="197"/>
      <c r="AN1411" s="197"/>
      <c r="AO1411" s="197"/>
      <c r="AP1411" s="197"/>
      <c r="AQ1411" s="197"/>
      <c r="AR1411" s="197"/>
      <c r="AS1411" s="197"/>
      <c r="AT1411" s="197"/>
      <c r="AU1411" s="197"/>
      <c r="AV1411" s="197"/>
      <c r="AW1411" s="197"/>
    </row>
    <row r="1412" spans="28:49" s="196" customFormat="1">
      <c r="AB1412" s="201"/>
      <c r="AC1412" s="201"/>
      <c r="AD1412" s="197"/>
      <c r="AE1412" s="197"/>
      <c r="AF1412" s="197"/>
      <c r="AG1412" s="197"/>
      <c r="AH1412" s="197"/>
      <c r="AI1412" s="197"/>
      <c r="AJ1412" s="197"/>
      <c r="AK1412" s="197"/>
      <c r="AL1412" s="197"/>
      <c r="AM1412" s="197"/>
      <c r="AN1412" s="197"/>
      <c r="AO1412" s="197"/>
      <c r="AP1412" s="197"/>
      <c r="AQ1412" s="197"/>
      <c r="AR1412" s="197"/>
      <c r="AS1412" s="197"/>
      <c r="AT1412" s="197"/>
      <c r="AU1412" s="197"/>
      <c r="AV1412" s="197"/>
      <c r="AW1412" s="197"/>
    </row>
    <row r="1413" spans="28:49" s="196" customFormat="1">
      <c r="AB1413" s="201"/>
      <c r="AC1413" s="201"/>
      <c r="AD1413" s="197"/>
      <c r="AE1413" s="197"/>
      <c r="AF1413" s="197"/>
      <c r="AG1413" s="197"/>
      <c r="AH1413" s="197"/>
      <c r="AI1413" s="197"/>
      <c r="AJ1413" s="197"/>
      <c r="AK1413" s="197"/>
      <c r="AL1413" s="197"/>
      <c r="AM1413" s="197"/>
      <c r="AN1413" s="197"/>
      <c r="AO1413" s="197"/>
      <c r="AP1413" s="197"/>
      <c r="AQ1413" s="197"/>
      <c r="AR1413" s="197"/>
      <c r="AS1413" s="197"/>
      <c r="AT1413" s="197"/>
      <c r="AU1413" s="197"/>
      <c r="AV1413" s="197"/>
      <c r="AW1413" s="197"/>
    </row>
    <row r="1414" spans="28:49" s="196" customFormat="1">
      <c r="AB1414" s="201"/>
      <c r="AC1414" s="201"/>
      <c r="AD1414" s="197"/>
      <c r="AE1414" s="197"/>
      <c r="AF1414" s="197"/>
      <c r="AG1414" s="197"/>
      <c r="AH1414" s="197"/>
      <c r="AI1414" s="197"/>
      <c r="AJ1414" s="197"/>
      <c r="AK1414" s="197"/>
      <c r="AL1414" s="197"/>
      <c r="AM1414" s="197"/>
      <c r="AN1414" s="197"/>
      <c r="AO1414" s="197"/>
      <c r="AP1414" s="197"/>
      <c r="AQ1414" s="197"/>
      <c r="AR1414" s="197"/>
      <c r="AS1414" s="197"/>
      <c r="AT1414" s="197"/>
      <c r="AU1414" s="197"/>
      <c r="AV1414" s="197"/>
      <c r="AW1414" s="197"/>
    </row>
    <row r="1415" spans="28:49" s="196" customFormat="1">
      <c r="AB1415" s="201"/>
      <c r="AC1415" s="201"/>
      <c r="AD1415" s="197"/>
      <c r="AE1415" s="197"/>
      <c r="AF1415" s="197"/>
      <c r="AG1415" s="197"/>
      <c r="AH1415" s="197"/>
      <c r="AI1415" s="197"/>
      <c r="AJ1415" s="197"/>
      <c r="AK1415" s="197"/>
      <c r="AL1415" s="197"/>
      <c r="AM1415" s="197"/>
      <c r="AN1415" s="197"/>
      <c r="AO1415" s="197"/>
      <c r="AP1415" s="197"/>
      <c r="AQ1415" s="197"/>
      <c r="AR1415" s="197"/>
      <c r="AS1415" s="197"/>
      <c r="AT1415" s="197"/>
      <c r="AU1415" s="197"/>
      <c r="AV1415" s="197"/>
      <c r="AW1415" s="197"/>
    </row>
    <row r="1416" spans="28:49" s="196" customFormat="1">
      <c r="AB1416" s="201"/>
      <c r="AC1416" s="201"/>
      <c r="AD1416" s="197"/>
      <c r="AE1416" s="197"/>
      <c r="AF1416" s="197"/>
      <c r="AG1416" s="197"/>
      <c r="AH1416" s="197"/>
      <c r="AI1416" s="197"/>
      <c r="AJ1416" s="197"/>
      <c r="AK1416" s="197"/>
      <c r="AL1416" s="197"/>
      <c r="AM1416" s="197"/>
      <c r="AN1416" s="197"/>
      <c r="AO1416" s="197"/>
      <c r="AP1416" s="197"/>
      <c r="AQ1416" s="197"/>
      <c r="AR1416" s="197"/>
      <c r="AS1416" s="197"/>
      <c r="AT1416" s="197"/>
      <c r="AU1416" s="197"/>
      <c r="AV1416" s="197"/>
      <c r="AW1416" s="197"/>
    </row>
    <row r="1417" spans="28:49" s="196" customFormat="1">
      <c r="AB1417" s="201"/>
      <c r="AC1417" s="201"/>
      <c r="AD1417" s="197"/>
      <c r="AE1417" s="197"/>
      <c r="AF1417" s="197"/>
      <c r="AG1417" s="197"/>
      <c r="AH1417" s="197"/>
      <c r="AI1417" s="197"/>
      <c r="AJ1417" s="197"/>
      <c r="AK1417" s="197"/>
      <c r="AL1417" s="197"/>
      <c r="AM1417" s="197"/>
      <c r="AN1417" s="197"/>
      <c r="AO1417" s="197"/>
      <c r="AP1417" s="197"/>
      <c r="AQ1417" s="197"/>
      <c r="AR1417" s="197"/>
      <c r="AS1417" s="197"/>
      <c r="AT1417" s="197"/>
      <c r="AU1417" s="197"/>
      <c r="AV1417" s="197"/>
      <c r="AW1417" s="197"/>
    </row>
    <row r="1418" spans="28:49" s="196" customFormat="1">
      <c r="AB1418" s="201"/>
      <c r="AC1418" s="201"/>
      <c r="AD1418" s="197"/>
      <c r="AE1418" s="197"/>
      <c r="AF1418" s="197"/>
      <c r="AG1418" s="197"/>
      <c r="AH1418" s="197"/>
      <c r="AI1418" s="197"/>
      <c r="AJ1418" s="197"/>
      <c r="AK1418" s="197"/>
      <c r="AL1418" s="197"/>
      <c r="AM1418" s="197"/>
      <c r="AN1418" s="197"/>
      <c r="AO1418" s="197"/>
      <c r="AP1418" s="197"/>
      <c r="AQ1418" s="197"/>
      <c r="AR1418" s="197"/>
      <c r="AS1418" s="197"/>
      <c r="AT1418" s="197"/>
      <c r="AU1418" s="197"/>
      <c r="AV1418" s="197"/>
      <c r="AW1418" s="197"/>
    </row>
    <row r="1419" spans="28:49" s="196" customFormat="1">
      <c r="AB1419" s="201"/>
      <c r="AC1419" s="201"/>
      <c r="AD1419" s="197"/>
      <c r="AE1419" s="197"/>
      <c r="AF1419" s="197"/>
      <c r="AG1419" s="197"/>
      <c r="AH1419" s="197"/>
      <c r="AI1419" s="197"/>
      <c r="AJ1419" s="197"/>
      <c r="AK1419" s="197"/>
      <c r="AL1419" s="197"/>
      <c r="AM1419" s="197"/>
      <c r="AN1419" s="197"/>
      <c r="AO1419" s="197"/>
      <c r="AP1419" s="197"/>
      <c r="AQ1419" s="197"/>
      <c r="AR1419" s="197"/>
      <c r="AS1419" s="197"/>
      <c r="AT1419" s="197"/>
      <c r="AU1419" s="197"/>
      <c r="AV1419" s="197"/>
      <c r="AW1419" s="197"/>
    </row>
    <row r="1420" spans="28:49" s="196" customFormat="1">
      <c r="AB1420" s="201"/>
      <c r="AC1420" s="201"/>
      <c r="AD1420" s="197"/>
      <c r="AE1420" s="197"/>
      <c r="AF1420" s="197"/>
      <c r="AG1420" s="197"/>
      <c r="AH1420" s="197"/>
      <c r="AI1420" s="197"/>
      <c r="AJ1420" s="197"/>
      <c r="AK1420" s="197"/>
      <c r="AL1420" s="197"/>
      <c r="AM1420" s="197"/>
      <c r="AN1420" s="197"/>
      <c r="AO1420" s="197"/>
      <c r="AP1420" s="197"/>
      <c r="AQ1420" s="197"/>
      <c r="AR1420" s="197"/>
      <c r="AS1420" s="197"/>
      <c r="AT1420" s="197"/>
      <c r="AU1420" s="197"/>
      <c r="AV1420" s="197"/>
      <c r="AW1420" s="197"/>
    </row>
    <row r="1421" spans="28:49" s="196" customFormat="1">
      <c r="AB1421" s="201"/>
      <c r="AC1421" s="201"/>
      <c r="AD1421" s="197"/>
      <c r="AE1421" s="197"/>
      <c r="AF1421" s="197"/>
      <c r="AG1421" s="197"/>
      <c r="AH1421" s="197"/>
      <c r="AI1421" s="197"/>
      <c r="AJ1421" s="197"/>
      <c r="AK1421" s="197"/>
      <c r="AL1421" s="197"/>
      <c r="AM1421" s="197"/>
      <c r="AN1421" s="197"/>
      <c r="AO1421" s="197"/>
      <c r="AP1421" s="197"/>
      <c r="AQ1421" s="197"/>
      <c r="AR1421" s="197"/>
      <c r="AS1421" s="197"/>
      <c r="AT1421" s="197"/>
      <c r="AU1421" s="197"/>
      <c r="AV1421" s="197"/>
      <c r="AW1421" s="197"/>
    </row>
    <row r="1422" spans="28:49" s="196" customFormat="1">
      <c r="AB1422" s="201"/>
      <c r="AC1422" s="201"/>
      <c r="AD1422" s="197"/>
      <c r="AE1422" s="197"/>
      <c r="AF1422" s="197"/>
      <c r="AG1422" s="197"/>
      <c r="AH1422" s="197"/>
      <c r="AI1422" s="197"/>
      <c r="AJ1422" s="197"/>
      <c r="AK1422" s="197"/>
      <c r="AL1422" s="197"/>
      <c r="AM1422" s="197"/>
      <c r="AN1422" s="197"/>
      <c r="AO1422" s="197"/>
      <c r="AP1422" s="197"/>
      <c r="AQ1422" s="197"/>
      <c r="AR1422" s="197"/>
      <c r="AS1422" s="197"/>
      <c r="AT1422" s="197"/>
      <c r="AU1422" s="197"/>
      <c r="AV1422" s="197"/>
      <c r="AW1422" s="197"/>
    </row>
    <row r="1423" spans="28:49" s="196" customFormat="1">
      <c r="AB1423" s="201"/>
      <c r="AC1423" s="201"/>
      <c r="AD1423" s="197"/>
      <c r="AE1423" s="197"/>
      <c r="AF1423" s="197"/>
      <c r="AG1423" s="197"/>
      <c r="AH1423" s="197"/>
      <c r="AI1423" s="197"/>
      <c r="AJ1423" s="197"/>
      <c r="AK1423" s="197"/>
      <c r="AL1423" s="197"/>
      <c r="AM1423" s="197"/>
      <c r="AN1423" s="197"/>
      <c r="AO1423" s="197"/>
      <c r="AP1423" s="197"/>
      <c r="AQ1423" s="197"/>
      <c r="AR1423" s="197"/>
      <c r="AS1423" s="197"/>
      <c r="AT1423" s="197"/>
      <c r="AU1423" s="197"/>
      <c r="AV1423" s="197"/>
      <c r="AW1423" s="197"/>
    </row>
    <row r="1424" spans="28:49" s="196" customFormat="1">
      <c r="AB1424" s="201"/>
      <c r="AC1424" s="201"/>
      <c r="AD1424" s="197"/>
      <c r="AE1424" s="197"/>
      <c r="AF1424" s="197"/>
      <c r="AG1424" s="197"/>
      <c r="AH1424" s="197"/>
      <c r="AI1424" s="197"/>
      <c r="AJ1424" s="197"/>
      <c r="AK1424" s="197"/>
      <c r="AL1424" s="197"/>
      <c r="AM1424" s="197"/>
      <c r="AN1424" s="197"/>
      <c r="AO1424" s="197"/>
      <c r="AP1424" s="197"/>
      <c r="AQ1424" s="197"/>
      <c r="AR1424" s="197"/>
      <c r="AS1424" s="197"/>
      <c r="AT1424" s="197"/>
      <c r="AU1424" s="197"/>
      <c r="AV1424" s="197"/>
      <c r="AW1424" s="197"/>
    </row>
    <row r="1425" spans="28:49" s="196" customFormat="1">
      <c r="AB1425" s="201"/>
      <c r="AC1425" s="201"/>
      <c r="AD1425" s="197"/>
      <c r="AE1425" s="197"/>
      <c r="AF1425" s="197"/>
      <c r="AG1425" s="197"/>
      <c r="AH1425" s="197"/>
      <c r="AI1425" s="197"/>
      <c r="AJ1425" s="197"/>
      <c r="AK1425" s="197"/>
      <c r="AL1425" s="197"/>
      <c r="AM1425" s="197"/>
      <c r="AN1425" s="197"/>
      <c r="AO1425" s="197"/>
      <c r="AP1425" s="197"/>
      <c r="AQ1425" s="197"/>
      <c r="AR1425" s="197"/>
      <c r="AS1425" s="197"/>
      <c r="AT1425" s="197"/>
      <c r="AU1425" s="197"/>
      <c r="AV1425" s="197"/>
      <c r="AW1425" s="197"/>
    </row>
    <row r="1426" spans="28:49" s="196" customFormat="1">
      <c r="AB1426" s="201"/>
      <c r="AC1426" s="201"/>
      <c r="AD1426" s="197"/>
      <c r="AE1426" s="197"/>
      <c r="AF1426" s="197"/>
      <c r="AG1426" s="197"/>
      <c r="AH1426" s="197"/>
      <c r="AI1426" s="197"/>
      <c r="AJ1426" s="197"/>
      <c r="AK1426" s="197"/>
      <c r="AL1426" s="197"/>
      <c r="AM1426" s="197"/>
      <c r="AN1426" s="197"/>
      <c r="AO1426" s="197"/>
      <c r="AP1426" s="197"/>
      <c r="AQ1426" s="197"/>
      <c r="AR1426" s="197"/>
      <c r="AS1426" s="197"/>
      <c r="AT1426" s="197"/>
      <c r="AU1426" s="197"/>
      <c r="AV1426" s="197"/>
      <c r="AW1426" s="197"/>
    </row>
    <row r="1427" spans="28:49" s="196" customFormat="1">
      <c r="AB1427" s="201"/>
      <c r="AC1427" s="201"/>
      <c r="AD1427" s="197"/>
      <c r="AE1427" s="197"/>
      <c r="AF1427" s="197"/>
      <c r="AG1427" s="197"/>
      <c r="AH1427" s="197"/>
      <c r="AI1427" s="197"/>
      <c r="AJ1427" s="197"/>
      <c r="AK1427" s="197"/>
      <c r="AL1427" s="197"/>
      <c r="AM1427" s="197"/>
      <c r="AN1427" s="197"/>
      <c r="AO1427" s="197"/>
      <c r="AP1427" s="197"/>
      <c r="AQ1427" s="197"/>
      <c r="AR1427" s="197"/>
      <c r="AS1427" s="197"/>
      <c r="AT1427" s="197"/>
      <c r="AU1427" s="197"/>
      <c r="AV1427" s="197"/>
      <c r="AW1427" s="197"/>
    </row>
    <row r="1428" spans="28:49" s="196" customFormat="1">
      <c r="AB1428" s="201"/>
      <c r="AC1428" s="201"/>
      <c r="AD1428" s="197"/>
      <c r="AE1428" s="197"/>
      <c r="AF1428" s="197"/>
      <c r="AG1428" s="197"/>
      <c r="AH1428" s="197"/>
      <c r="AI1428" s="197"/>
      <c r="AJ1428" s="197"/>
      <c r="AK1428" s="197"/>
      <c r="AL1428" s="197"/>
      <c r="AM1428" s="197"/>
      <c r="AN1428" s="197"/>
      <c r="AO1428" s="197"/>
      <c r="AP1428" s="197"/>
      <c r="AQ1428" s="197"/>
      <c r="AR1428" s="197"/>
      <c r="AS1428" s="197"/>
      <c r="AT1428" s="197"/>
      <c r="AU1428" s="197"/>
      <c r="AV1428" s="197"/>
      <c r="AW1428" s="197"/>
    </row>
    <row r="1429" spans="28:49" s="196" customFormat="1">
      <c r="AB1429" s="201"/>
      <c r="AC1429" s="201"/>
      <c r="AD1429" s="197"/>
      <c r="AE1429" s="197"/>
      <c r="AF1429" s="197"/>
      <c r="AG1429" s="197"/>
      <c r="AH1429" s="197"/>
      <c r="AI1429" s="197"/>
      <c r="AJ1429" s="197"/>
      <c r="AK1429" s="197"/>
      <c r="AL1429" s="197"/>
      <c r="AM1429" s="197"/>
      <c r="AN1429" s="197"/>
      <c r="AO1429" s="197"/>
      <c r="AP1429" s="197"/>
      <c r="AQ1429" s="197"/>
      <c r="AR1429" s="197"/>
      <c r="AS1429" s="197"/>
      <c r="AT1429" s="197"/>
      <c r="AU1429" s="197"/>
      <c r="AV1429" s="197"/>
      <c r="AW1429" s="197"/>
    </row>
    <row r="1430" spans="28:49" s="196" customFormat="1">
      <c r="AB1430" s="201"/>
      <c r="AC1430" s="201"/>
      <c r="AD1430" s="197"/>
      <c r="AE1430" s="197"/>
      <c r="AF1430" s="197"/>
      <c r="AG1430" s="197"/>
      <c r="AH1430" s="197"/>
      <c r="AI1430" s="197"/>
      <c r="AJ1430" s="197"/>
      <c r="AK1430" s="197"/>
      <c r="AL1430" s="197"/>
      <c r="AM1430" s="197"/>
      <c r="AN1430" s="197"/>
      <c r="AO1430" s="197"/>
      <c r="AP1430" s="197"/>
      <c r="AQ1430" s="197"/>
      <c r="AR1430" s="197"/>
      <c r="AS1430" s="197"/>
      <c r="AT1430" s="197"/>
      <c r="AU1430" s="197"/>
      <c r="AV1430" s="197"/>
      <c r="AW1430" s="197"/>
    </row>
    <row r="1431" spans="28:49" s="196" customFormat="1">
      <c r="AB1431" s="201"/>
      <c r="AC1431" s="201"/>
      <c r="AD1431" s="197"/>
      <c r="AE1431" s="197"/>
      <c r="AF1431" s="197"/>
      <c r="AG1431" s="197"/>
      <c r="AH1431" s="197"/>
      <c r="AI1431" s="197"/>
      <c r="AJ1431" s="197"/>
      <c r="AK1431" s="197"/>
      <c r="AL1431" s="197"/>
      <c r="AM1431" s="197"/>
      <c r="AN1431" s="197"/>
      <c r="AO1431" s="197"/>
      <c r="AP1431" s="197"/>
      <c r="AQ1431" s="197"/>
      <c r="AR1431" s="197"/>
      <c r="AS1431" s="197"/>
      <c r="AT1431" s="197"/>
      <c r="AU1431" s="197"/>
      <c r="AV1431" s="197"/>
      <c r="AW1431" s="197"/>
    </row>
    <row r="1432" spans="28:49" s="196" customFormat="1">
      <c r="AB1432" s="201"/>
      <c r="AC1432" s="201"/>
      <c r="AD1432" s="197"/>
      <c r="AE1432" s="197"/>
      <c r="AF1432" s="197"/>
      <c r="AG1432" s="197"/>
      <c r="AH1432" s="197"/>
      <c r="AI1432" s="197"/>
      <c r="AJ1432" s="197"/>
      <c r="AK1432" s="197"/>
      <c r="AL1432" s="197"/>
      <c r="AM1432" s="197"/>
      <c r="AN1432" s="197"/>
      <c r="AO1432" s="197"/>
      <c r="AP1432" s="197"/>
      <c r="AQ1432" s="197"/>
      <c r="AR1432" s="197"/>
      <c r="AS1432" s="197"/>
      <c r="AT1432" s="197"/>
      <c r="AU1432" s="197"/>
      <c r="AV1432" s="197"/>
      <c r="AW1432" s="197"/>
    </row>
    <row r="1433" spans="28:49" s="196" customFormat="1">
      <c r="AB1433" s="201"/>
      <c r="AC1433" s="201"/>
      <c r="AD1433" s="197"/>
      <c r="AE1433" s="197"/>
      <c r="AF1433" s="197"/>
      <c r="AG1433" s="197"/>
      <c r="AH1433" s="197"/>
      <c r="AI1433" s="197"/>
      <c r="AJ1433" s="197"/>
      <c r="AK1433" s="197"/>
      <c r="AL1433" s="197"/>
      <c r="AM1433" s="197"/>
      <c r="AN1433" s="197"/>
      <c r="AO1433" s="197"/>
      <c r="AP1433" s="197"/>
      <c r="AQ1433" s="197"/>
      <c r="AR1433" s="197"/>
      <c r="AS1433" s="197"/>
      <c r="AT1433" s="197"/>
      <c r="AU1433" s="197"/>
      <c r="AV1433" s="197"/>
      <c r="AW1433" s="197"/>
    </row>
    <row r="1434" spans="28:49" s="196" customFormat="1">
      <c r="AB1434" s="201"/>
      <c r="AC1434" s="201"/>
      <c r="AD1434" s="197"/>
      <c r="AE1434" s="197"/>
      <c r="AF1434" s="197"/>
      <c r="AG1434" s="197"/>
      <c r="AH1434" s="197"/>
      <c r="AI1434" s="197"/>
      <c r="AJ1434" s="197"/>
      <c r="AK1434" s="197"/>
      <c r="AL1434" s="197"/>
      <c r="AM1434" s="197"/>
      <c r="AN1434" s="197"/>
      <c r="AO1434" s="197"/>
      <c r="AP1434" s="197"/>
      <c r="AQ1434" s="197"/>
      <c r="AR1434" s="197"/>
      <c r="AS1434" s="197"/>
      <c r="AT1434" s="197"/>
      <c r="AU1434" s="197"/>
      <c r="AV1434" s="197"/>
      <c r="AW1434" s="197"/>
    </row>
    <row r="1435" spans="28:49" s="196" customFormat="1">
      <c r="AB1435" s="201"/>
      <c r="AC1435" s="201"/>
      <c r="AD1435" s="197"/>
      <c r="AE1435" s="197"/>
      <c r="AF1435" s="197"/>
      <c r="AG1435" s="197"/>
      <c r="AH1435" s="197"/>
      <c r="AI1435" s="197"/>
      <c r="AJ1435" s="197"/>
      <c r="AK1435" s="197"/>
      <c r="AL1435" s="197"/>
      <c r="AM1435" s="197"/>
      <c r="AN1435" s="197"/>
      <c r="AO1435" s="197"/>
      <c r="AP1435" s="197"/>
      <c r="AQ1435" s="197"/>
      <c r="AR1435" s="197"/>
      <c r="AS1435" s="197"/>
      <c r="AT1435" s="197"/>
      <c r="AU1435" s="197"/>
      <c r="AV1435" s="197"/>
      <c r="AW1435" s="197"/>
    </row>
    <row r="1436" spans="28:49" s="196" customFormat="1">
      <c r="AB1436" s="201"/>
      <c r="AC1436" s="201"/>
      <c r="AD1436" s="197"/>
      <c r="AE1436" s="197"/>
      <c r="AF1436" s="197"/>
      <c r="AG1436" s="197"/>
      <c r="AH1436" s="197"/>
      <c r="AI1436" s="197"/>
      <c r="AJ1436" s="197"/>
      <c r="AK1436" s="197"/>
      <c r="AL1436" s="197"/>
      <c r="AM1436" s="197"/>
      <c r="AN1436" s="197"/>
      <c r="AO1436" s="197"/>
      <c r="AP1436" s="197"/>
      <c r="AQ1436" s="197"/>
      <c r="AR1436" s="197"/>
      <c r="AS1436" s="197"/>
      <c r="AT1436" s="197"/>
      <c r="AU1436" s="197"/>
      <c r="AV1436" s="197"/>
      <c r="AW1436" s="197"/>
    </row>
    <row r="1437" spans="28:49" s="196" customFormat="1">
      <c r="AB1437" s="201"/>
      <c r="AC1437" s="201"/>
      <c r="AD1437" s="197"/>
      <c r="AE1437" s="197"/>
      <c r="AF1437" s="197"/>
      <c r="AG1437" s="197"/>
      <c r="AH1437" s="197"/>
      <c r="AI1437" s="197"/>
      <c r="AJ1437" s="197"/>
      <c r="AK1437" s="197"/>
      <c r="AL1437" s="197"/>
      <c r="AM1437" s="197"/>
      <c r="AN1437" s="197"/>
      <c r="AO1437" s="197"/>
      <c r="AP1437" s="197"/>
      <c r="AQ1437" s="197"/>
      <c r="AR1437" s="197"/>
      <c r="AS1437" s="197"/>
      <c r="AT1437" s="197"/>
      <c r="AU1437" s="197"/>
      <c r="AV1437" s="197"/>
      <c r="AW1437" s="197"/>
    </row>
    <row r="1438" spans="28:49" s="196" customFormat="1">
      <c r="AB1438" s="201"/>
      <c r="AC1438" s="201"/>
      <c r="AD1438" s="197"/>
      <c r="AE1438" s="197"/>
      <c r="AF1438" s="197"/>
      <c r="AG1438" s="197"/>
      <c r="AH1438" s="197"/>
      <c r="AI1438" s="197"/>
      <c r="AJ1438" s="197"/>
      <c r="AK1438" s="197"/>
      <c r="AL1438" s="197"/>
      <c r="AM1438" s="197"/>
      <c r="AN1438" s="197"/>
      <c r="AO1438" s="197"/>
      <c r="AP1438" s="197"/>
      <c r="AQ1438" s="197"/>
      <c r="AR1438" s="197"/>
      <c r="AS1438" s="197"/>
      <c r="AT1438" s="197"/>
      <c r="AU1438" s="197"/>
      <c r="AV1438" s="197"/>
      <c r="AW1438" s="197"/>
    </row>
    <row r="1439" spans="28:49" s="196" customFormat="1">
      <c r="AB1439" s="201"/>
      <c r="AC1439" s="201"/>
      <c r="AD1439" s="197"/>
      <c r="AE1439" s="197"/>
      <c r="AF1439" s="197"/>
      <c r="AG1439" s="197"/>
      <c r="AH1439" s="197"/>
      <c r="AI1439" s="197"/>
      <c r="AJ1439" s="197"/>
      <c r="AK1439" s="197"/>
      <c r="AL1439" s="197"/>
      <c r="AM1439" s="197"/>
      <c r="AN1439" s="197"/>
      <c r="AO1439" s="197"/>
      <c r="AP1439" s="197"/>
      <c r="AQ1439" s="197"/>
      <c r="AR1439" s="197"/>
      <c r="AS1439" s="197"/>
      <c r="AT1439" s="197"/>
      <c r="AU1439" s="197"/>
      <c r="AV1439" s="197"/>
      <c r="AW1439" s="197"/>
    </row>
    <row r="1440" spans="28:49" s="196" customFormat="1">
      <c r="AB1440" s="201"/>
      <c r="AC1440" s="201"/>
      <c r="AD1440" s="197"/>
      <c r="AE1440" s="197"/>
      <c r="AF1440" s="197"/>
      <c r="AG1440" s="197"/>
      <c r="AH1440" s="197"/>
      <c r="AI1440" s="197"/>
      <c r="AJ1440" s="197"/>
      <c r="AK1440" s="197"/>
      <c r="AL1440" s="197"/>
      <c r="AM1440" s="197"/>
      <c r="AN1440" s="197"/>
      <c r="AO1440" s="197"/>
      <c r="AP1440" s="197"/>
      <c r="AQ1440" s="197"/>
      <c r="AR1440" s="197"/>
      <c r="AS1440" s="197"/>
      <c r="AT1440" s="197"/>
      <c r="AU1440" s="197"/>
      <c r="AV1440" s="197"/>
      <c r="AW1440" s="197"/>
    </row>
    <row r="1441" spans="28:49" s="196" customFormat="1">
      <c r="AB1441" s="201"/>
      <c r="AC1441" s="201"/>
      <c r="AD1441" s="197"/>
      <c r="AE1441" s="197"/>
      <c r="AF1441" s="197"/>
      <c r="AG1441" s="197"/>
      <c r="AH1441" s="197"/>
      <c r="AI1441" s="197"/>
      <c r="AJ1441" s="197"/>
      <c r="AK1441" s="197"/>
      <c r="AL1441" s="197"/>
      <c r="AM1441" s="197"/>
      <c r="AN1441" s="197"/>
      <c r="AO1441" s="197"/>
      <c r="AP1441" s="197"/>
      <c r="AQ1441" s="197"/>
      <c r="AR1441" s="197"/>
      <c r="AS1441" s="197"/>
      <c r="AT1441" s="197"/>
      <c r="AU1441" s="197"/>
      <c r="AV1441" s="197"/>
      <c r="AW1441" s="197"/>
    </row>
    <row r="1442" spans="28:49" s="196" customFormat="1">
      <c r="AB1442" s="201"/>
      <c r="AC1442" s="201"/>
      <c r="AD1442" s="197"/>
      <c r="AE1442" s="197"/>
      <c r="AF1442" s="197"/>
      <c r="AG1442" s="197"/>
      <c r="AH1442" s="197"/>
      <c r="AI1442" s="197"/>
      <c r="AJ1442" s="197"/>
      <c r="AK1442" s="197"/>
      <c r="AL1442" s="197"/>
      <c r="AM1442" s="197"/>
      <c r="AN1442" s="197"/>
      <c r="AO1442" s="197"/>
      <c r="AP1442" s="197"/>
      <c r="AQ1442" s="197"/>
      <c r="AR1442" s="197"/>
      <c r="AS1442" s="197"/>
      <c r="AT1442" s="197"/>
      <c r="AU1442" s="197"/>
      <c r="AV1442" s="197"/>
      <c r="AW1442" s="197"/>
    </row>
    <row r="1443" spans="28:49" s="196" customFormat="1">
      <c r="AB1443" s="201"/>
      <c r="AC1443" s="201"/>
      <c r="AD1443" s="197"/>
      <c r="AE1443" s="197"/>
      <c r="AF1443" s="197"/>
      <c r="AG1443" s="197"/>
      <c r="AH1443" s="197"/>
      <c r="AI1443" s="197"/>
      <c r="AJ1443" s="197"/>
      <c r="AK1443" s="197"/>
      <c r="AL1443" s="197"/>
      <c r="AM1443" s="197"/>
      <c r="AN1443" s="197"/>
      <c r="AO1443" s="197"/>
      <c r="AP1443" s="197"/>
      <c r="AQ1443" s="197"/>
      <c r="AR1443" s="197"/>
      <c r="AS1443" s="197"/>
      <c r="AT1443" s="197"/>
      <c r="AU1443" s="197"/>
      <c r="AV1443" s="197"/>
      <c r="AW1443" s="197"/>
    </row>
    <row r="1444" spans="28:49" s="196" customFormat="1">
      <c r="AB1444" s="201"/>
      <c r="AC1444" s="201"/>
      <c r="AD1444" s="197"/>
      <c r="AE1444" s="197"/>
      <c r="AF1444" s="197"/>
      <c r="AG1444" s="197"/>
      <c r="AH1444" s="197"/>
      <c r="AI1444" s="197"/>
      <c r="AJ1444" s="197"/>
      <c r="AK1444" s="197"/>
      <c r="AL1444" s="197"/>
      <c r="AM1444" s="197"/>
      <c r="AN1444" s="197"/>
      <c r="AO1444" s="197"/>
      <c r="AP1444" s="197"/>
      <c r="AQ1444" s="197"/>
      <c r="AR1444" s="197"/>
      <c r="AS1444" s="197"/>
      <c r="AT1444" s="197"/>
      <c r="AU1444" s="197"/>
      <c r="AV1444" s="197"/>
      <c r="AW1444" s="197"/>
    </row>
    <row r="1445" spans="28:49" s="196" customFormat="1">
      <c r="AB1445" s="201"/>
      <c r="AC1445" s="201"/>
      <c r="AD1445" s="197"/>
      <c r="AE1445" s="197"/>
      <c r="AF1445" s="197"/>
      <c r="AG1445" s="197"/>
      <c r="AH1445" s="197"/>
      <c r="AI1445" s="197"/>
      <c r="AJ1445" s="197"/>
      <c r="AK1445" s="197"/>
      <c r="AL1445" s="197"/>
      <c r="AM1445" s="197"/>
      <c r="AN1445" s="197"/>
      <c r="AO1445" s="197"/>
      <c r="AP1445" s="197"/>
      <c r="AQ1445" s="197"/>
      <c r="AR1445" s="197"/>
      <c r="AS1445" s="197"/>
      <c r="AT1445" s="197"/>
      <c r="AU1445" s="197"/>
      <c r="AV1445" s="197"/>
      <c r="AW1445" s="197"/>
    </row>
    <row r="1446" spans="28:49" s="196" customFormat="1">
      <c r="AB1446" s="201"/>
      <c r="AC1446" s="201"/>
      <c r="AD1446" s="197"/>
      <c r="AE1446" s="197"/>
      <c r="AF1446" s="197"/>
      <c r="AG1446" s="197"/>
      <c r="AH1446" s="197"/>
      <c r="AI1446" s="197"/>
      <c r="AJ1446" s="197"/>
      <c r="AK1446" s="197"/>
      <c r="AL1446" s="197"/>
      <c r="AM1446" s="197"/>
      <c r="AN1446" s="197"/>
      <c r="AO1446" s="197"/>
      <c r="AP1446" s="197"/>
      <c r="AQ1446" s="197"/>
      <c r="AR1446" s="197"/>
      <c r="AS1446" s="197"/>
      <c r="AT1446" s="197"/>
      <c r="AU1446" s="197"/>
      <c r="AV1446" s="197"/>
      <c r="AW1446" s="197"/>
    </row>
    <row r="1447" spans="28:49" s="196" customFormat="1">
      <c r="AB1447" s="201"/>
      <c r="AC1447" s="201"/>
      <c r="AD1447" s="197"/>
      <c r="AE1447" s="197"/>
      <c r="AF1447" s="197"/>
      <c r="AG1447" s="197"/>
      <c r="AH1447" s="197"/>
      <c r="AI1447" s="197"/>
      <c r="AJ1447" s="197"/>
      <c r="AK1447" s="197"/>
      <c r="AL1447" s="197"/>
      <c r="AM1447" s="197"/>
      <c r="AN1447" s="197"/>
      <c r="AO1447" s="197"/>
      <c r="AP1447" s="197"/>
      <c r="AQ1447" s="197"/>
      <c r="AR1447" s="197"/>
      <c r="AS1447" s="197"/>
      <c r="AT1447" s="197"/>
      <c r="AU1447" s="197"/>
      <c r="AV1447" s="197"/>
      <c r="AW1447" s="197"/>
    </row>
    <row r="1448" spans="28:49" s="196" customFormat="1">
      <c r="AB1448" s="201"/>
      <c r="AC1448" s="201"/>
      <c r="AD1448" s="197"/>
      <c r="AE1448" s="197"/>
      <c r="AF1448" s="197"/>
      <c r="AG1448" s="197"/>
      <c r="AH1448" s="197"/>
      <c r="AI1448" s="197"/>
      <c r="AJ1448" s="197"/>
      <c r="AK1448" s="197"/>
      <c r="AL1448" s="197"/>
      <c r="AM1448" s="197"/>
      <c r="AN1448" s="197"/>
      <c r="AO1448" s="197"/>
      <c r="AP1448" s="197"/>
      <c r="AQ1448" s="197"/>
      <c r="AR1448" s="197"/>
      <c r="AS1448" s="197"/>
      <c r="AT1448" s="197"/>
      <c r="AU1448" s="197"/>
      <c r="AV1448" s="197"/>
      <c r="AW1448" s="197"/>
    </row>
    <row r="1449" spans="28:49" s="196" customFormat="1">
      <c r="AB1449" s="201"/>
      <c r="AC1449" s="201"/>
      <c r="AD1449" s="197"/>
      <c r="AE1449" s="197"/>
      <c r="AF1449" s="197"/>
      <c r="AG1449" s="197"/>
      <c r="AH1449" s="197"/>
      <c r="AI1449" s="197"/>
      <c r="AJ1449" s="197"/>
      <c r="AK1449" s="197"/>
      <c r="AL1449" s="197"/>
      <c r="AM1449" s="197"/>
      <c r="AN1449" s="197"/>
      <c r="AO1449" s="197"/>
      <c r="AP1449" s="197"/>
      <c r="AQ1449" s="197"/>
      <c r="AR1449" s="197"/>
      <c r="AS1449" s="197"/>
      <c r="AT1449" s="197"/>
      <c r="AU1449" s="197"/>
      <c r="AV1449" s="197"/>
      <c r="AW1449" s="197"/>
    </row>
    <row r="1450" spans="28:49" s="196" customFormat="1">
      <c r="AB1450" s="201"/>
      <c r="AC1450" s="201"/>
      <c r="AD1450" s="197"/>
      <c r="AE1450" s="197"/>
      <c r="AF1450" s="197"/>
      <c r="AG1450" s="197"/>
      <c r="AH1450" s="197"/>
      <c r="AI1450" s="197"/>
      <c r="AJ1450" s="197"/>
      <c r="AK1450" s="197"/>
      <c r="AL1450" s="197"/>
      <c r="AM1450" s="197"/>
      <c r="AN1450" s="197"/>
      <c r="AO1450" s="197"/>
      <c r="AP1450" s="197"/>
      <c r="AQ1450" s="197"/>
      <c r="AR1450" s="197"/>
      <c r="AS1450" s="197"/>
      <c r="AT1450" s="197"/>
      <c r="AU1450" s="197"/>
      <c r="AV1450" s="197"/>
      <c r="AW1450" s="197"/>
    </row>
    <row r="1451" spans="28:49" s="196" customFormat="1">
      <c r="AB1451" s="201"/>
      <c r="AC1451" s="201"/>
      <c r="AD1451" s="197"/>
      <c r="AE1451" s="197"/>
      <c r="AF1451" s="197"/>
      <c r="AG1451" s="197"/>
      <c r="AH1451" s="197"/>
      <c r="AI1451" s="197"/>
      <c r="AJ1451" s="197"/>
      <c r="AK1451" s="197"/>
      <c r="AL1451" s="197"/>
      <c r="AM1451" s="197"/>
      <c r="AN1451" s="197"/>
      <c r="AO1451" s="197"/>
      <c r="AP1451" s="197"/>
      <c r="AQ1451" s="197"/>
      <c r="AR1451" s="197"/>
      <c r="AS1451" s="197"/>
      <c r="AT1451" s="197"/>
      <c r="AU1451" s="197"/>
      <c r="AV1451" s="197"/>
      <c r="AW1451" s="197"/>
    </row>
    <row r="1452" spans="28:49" s="196" customFormat="1">
      <c r="AB1452" s="201"/>
      <c r="AC1452" s="201"/>
      <c r="AD1452" s="197"/>
      <c r="AE1452" s="197"/>
      <c r="AF1452" s="197"/>
      <c r="AG1452" s="197"/>
      <c r="AH1452" s="197"/>
      <c r="AI1452" s="197"/>
      <c r="AJ1452" s="197"/>
      <c r="AK1452" s="197"/>
      <c r="AL1452" s="197"/>
      <c r="AM1452" s="197"/>
      <c r="AN1452" s="197"/>
      <c r="AO1452" s="197"/>
      <c r="AP1452" s="197"/>
      <c r="AQ1452" s="197"/>
      <c r="AR1452" s="197"/>
      <c r="AS1452" s="197"/>
      <c r="AT1452" s="197"/>
      <c r="AU1452" s="197"/>
      <c r="AV1452" s="197"/>
      <c r="AW1452" s="197"/>
    </row>
    <row r="1453" spans="28:49" s="196" customFormat="1">
      <c r="AB1453" s="201"/>
      <c r="AC1453" s="201"/>
      <c r="AD1453" s="197"/>
      <c r="AE1453" s="197"/>
      <c r="AF1453" s="197"/>
      <c r="AG1453" s="197"/>
      <c r="AH1453" s="197"/>
      <c r="AI1453" s="197"/>
      <c r="AJ1453" s="197"/>
      <c r="AK1453" s="197"/>
      <c r="AL1453" s="197"/>
      <c r="AM1453" s="197"/>
      <c r="AN1453" s="197"/>
      <c r="AO1453" s="197"/>
      <c r="AP1453" s="197"/>
      <c r="AQ1453" s="197"/>
      <c r="AR1453" s="197"/>
      <c r="AS1453" s="197"/>
      <c r="AT1453" s="197"/>
      <c r="AU1453" s="197"/>
      <c r="AV1453" s="197"/>
      <c r="AW1453" s="197"/>
    </row>
    <row r="1454" spans="28:49" s="196" customFormat="1">
      <c r="AB1454" s="201"/>
      <c r="AC1454" s="201"/>
      <c r="AD1454" s="197"/>
      <c r="AE1454" s="197"/>
      <c r="AF1454" s="197"/>
      <c r="AG1454" s="197"/>
      <c r="AH1454" s="197"/>
      <c r="AI1454" s="197"/>
      <c r="AJ1454" s="197"/>
      <c r="AK1454" s="197"/>
      <c r="AL1454" s="197"/>
      <c r="AM1454" s="197"/>
      <c r="AN1454" s="197"/>
      <c r="AO1454" s="197"/>
      <c r="AP1454" s="197"/>
      <c r="AQ1454" s="197"/>
      <c r="AR1454" s="197"/>
      <c r="AS1454" s="197"/>
      <c r="AT1454" s="197"/>
      <c r="AU1454" s="197"/>
      <c r="AV1454" s="197"/>
      <c r="AW1454" s="197"/>
    </row>
    <row r="1455" spans="28:49" s="196" customFormat="1">
      <c r="AB1455" s="201"/>
      <c r="AC1455" s="201"/>
      <c r="AD1455" s="197"/>
      <c r="AE1455" s="197"/>
      <c r="AF1455" s="197"/>
      <c r="AG1455" s="197"/>
      <c r="AH1455" s="197"/>
      <c r="AI1455" s="197"/>
      <c r="AJ1455" s="197"/>
      <c r="AK1455" s="197"/>
      <c r="AL1455" s="197"/>
      <c r="AM1455" s="197"/>
      <c r="AN1455" s="197"/>
      <c r="AO1455" s="197"/>
      <c r="AP1455" s="197"/>
      <c r="AQ1455" s="197"/>
      <c r="AR1455" s="197"/>
      <c r="AS1455" s="197"/>
      <c r="AT1455" s="197"/>
      <c r="AU1455" s="197"/>
      <c r="AV1455" s="197"/>
      <c r="AW1455" s="197"/>
    </row>
    <row r="1456" spans="28:49" s="196" customFormat="1">
      <c r="AB1456" s="201"/>
      <c r="AC1456" s="201"/>
      <c r="AD1456" s="197"/>
      <c r="AE1456" s="197"/>
      <c r="AF1456" s="197"/>
      <c r="AG1456" s="197"/>
      <c r="AH1456" s="197"/>
      <c r="AI1456" s="197"/>
      <c r="AJ1456" s="197"/>
      <c r="AK1456" s="197"/>
      <c r="AL1456" s="197"/>
      <c r="AM1456" s="197"/>
      <c r="AN1456" s="197"/>
      <c r="AO1456" s="197"/>
      <c r="AP1456" s="197"/>
      <c r="AQ1456" s="197"/>
      <c r="AR1456" s="197"/>
      <c r="AS1456" s="197"/>
      <c r="AT1456" s="197"/>
      <c r="AU1456" s="197"/>
      <c r="AV1456" s="197"/>
      <c r="AW1456" s="197"/>
    </row>
    <row r="1457" spans="28:49" s="196" customFormat="1">
      <c r="AB1457" s="201"/>
      <c r="AC1457" s="201"/>
      <c r="AD1457" s="197"/>
      <c r="AE1457" s="197"/>
      <c r="AF1457" s="197"/>
      <c r="AG1457" s="197"/>
      <c r="AH1457" s="197"/>
      <c r="AI1457" s="197"/>
      <c r="AJ1457" s="197"/>
      <c r="AK1457" s="197"/>
      <c r="AL1457" s="197"/>
      <c r="AM1457" s="197"/>
      <c r="AN1457" s="197"/>
      <c r="AO1457" s="197"/>
      <c r="AP1457" s="197"/>
      <c r="AQ1457" s="197"/>
      <c r="AR1457" s="197"/>
      <c r="AS1457" s="197"/>
      <c r="AT1457" s="197"/>
      <c r="AU1457" s="197"/>
      <c r="AV1457" s="197"/>
      <c r="AW1457" s="197"/>
    </row>
    <row r="1458" spans="28:49" s="196" customFormat="1">
      <c r="AB1458" s="201"/>
      <c r="AC1458" s="201"/>
      <c r="AD1458" s="197"/>
      <c r="AE1458" s="197"/>
      <c r="AF1458" s="197"/>
      <c r="AG1458" s="197"/>
      <c r="AH1458" s="197"/>
      <c r="AI1458" s="197"/>
      <c r="AJ1458" s="197"/>
      <c r="AK1458" s="197"/>
      <c r="AL1458" s="197"/>
      <c r="AM1458" s="197"/>
      <c r="AN1458" s="197"/>
      <c r="AO1458" s="197"/>
      <c r="AP1458" s="197"/>
      <c r="AQ1458" s="197"/>
      <c r="AR1458" s="197"/>
      <c r="AS1458" s="197"/>
      <c r="AT1458" s="197"/>
      <c r="AU1458" s="197"/>
      <c r="AV1458" s="197"/>
      <c r="AW1458" s="197"/>
    </row>
    <row r="1459" spans="28:49" s="196" customFormat="1">
      <c r="AB1459" s="201"/>
      <c r="AC1459" s="201"/>
      <c r="AD1459" s="197"/>
      <c r="AE1459" s="197"/>
      <c r="AF1459" s="197"/>
      <c r="AG1459" s="197"/>
      <c r="AH1459" s="197"/>
      <c r="AI1459" s="197"/>
      <c r="AJ1459" s="197"/>
      <c r="AK1459" s="197"/>
      <c r="AL1459" s="197"/>
      <c r="AM1459" s="197"/>
      <c r="AN1459" s="197"/>
      <c r="AO1459" s="197"/>
      <c r="AP1459" s="197"/>
      <c r="AQ1459" s="197"/>
      <c r="AR1459" s="197"/>
      <c r="AS1459" s="197"/>
      <c r="AT1459" s="197"/>
      <c r="AU1459" s="197"/>
      <c r="AV1459" s="197"/>
      <c r="AW1459" s="197"/>
    </row>
    <row r="1460" spans="28:49" s="196" customFormat="1">
      <c r="AB1460" s="201"/>
      <c r="AC1460" s="201"/>
      <c r="AD1460" s="197"/>
      <c r="AE1460" s="197"/>
      <c r="AF1460" s="197"/>
      <c r="AG1460" s="197"/>
      <c r="AH1460" s="197"/>
      <c r="AI1460" s="197"/>
      <c r="AJ1460" s="197"/>
      <c r="AK1460" s="197"/>
      <c r="AL1460" s="197"/>
      <c r="AM1460" s="197"/>
      <c r="AN1460" s="197"/>
      <c r="AO1460" s="197"/>
      <c r="AP1460" s="197"/>
      <c r="AQ1460" s="197"/>
      <c r="AR1460" s="197"/>
      <c r="AS1460" s="197"/>
      <c r="AT1460" s="197"/>
      <c r="AU1460" s="197"/>
      <c r="AV1460" s="197"/>
      <c r="AW1460" s="197"/>
    </row>
    <row r="1461" spans="28:49" s="196" customFormat="1">
      <c r="AB1461" s="201"/>
      <c r="AC1461" s="201"/>
      <c r="AD1461" s="197"/>
      <c r="AE1461" s="197"/>
      <c r="AF1461" s="197"/>
      <c r="AG1461" s="197"/>
      <c r="AH1461" s="197"/>
      <c r="AI1461" s="197"/>
      <c r="AJ1461" s="197"/>
      <c r="AK1461" s="197"/>
      <c r="AL1461" s="197"/>
      <c r="AM1461" s="197"/>
      <c r="AN1461" s="197"/>
      <c r="AO1461" s="197"/>
      <c r="AP1461" s="197"/>
      <c r="AQ1461" s="197"/>
      <c r="AR1461" s="197"/>
      <c r="AS1461" s="197"/>
      <c r="AT1461" s="197"/>
      <c r="AU1461" s="197"/>
      <c r="AV1461" s="197"/>
      <c r="AW1461" s="197"/>
    </row>
    <row r="1462" spans="28:49" s="196" customFormat="1">
      <c r="AB1462" s="201"/>
      <c r="AC1462" s="201"/>
      <c r="AD1462" s="197"/>
      <c r="AE1462" s="197"/>
      <c r="AF1462" s="197"/>
      <c r="AG1462" s="197"/>
      <c r="AH1462" s="197"/>
      <c r="AI1462" s="197"/>
      <c r="AJ1462" s="197"/>
      <c r="AK1462" s="197"/>
      <c r="AL1462" s="197"/>
      <c r="AM1462" s="197"/>
      <c r="AN1462" s="197"/>
      <c r="AO1462" s="197"/>
      <c r="AP1462" s="197"/>
      <c r="AQ1462" s="197"/>
      <c r="AR1462" s="197"/>
      <c r="AS1462" s="197"/>
      <c r="AT1462" s="197"/>
      <c r="AU1462" s="197"/>
      <c r="AV1462" s="197"/>
      <c r="AW1462" s="197"/>
    </row>
    <row r="1463" spans="28:49" s="196" customFormat="1">
      <c r="AB1463" s="201"/>
      <c r="AC1463" s="201"/>
      <c r="AD1463" s="197"/>
      <c r="AE1463" s="197"/>
      <c r="AF1463" s="197"/>
      <c r="AG1463" s="197"/>
      <c r="AH1463" s="197"/>
      <c r="AI1463" s="197"/>
      <c r="AJ1463" s="197"/>
      <c r="AK1463" s="197"/>
      <c r="AL1463" s="197"/>
      <c r="AM1463" s="197"/>
      <c r="AN1463" s="197"/>
      <c r="AO1463" s="197"/>
      <c r="AP1463" s="197"/>
      <c r="AQ1463" s="197"/>
      <c r="AR1463" s="197"/>
      <c r="AS1463" s="197"/>
      <c r="AT1463" s="197"/>
      <c r="AU1463" s="197"/>
      <c r="AV1463" s="197"/>
      <c r="AW1463" s="197"/>
    </row>
    <row r="1464" spans="28:49" s="196" customFormat="1">
      <c r="AB1464" s="201"/>
      <c r="AC1464" s="201"/>
      <c r="AD1464" s="197"/>
      <c r="AE1464" s="197"/>
      <c r="AF1464" s="197"/>
      <c r="AG1464" s="197"/>
      <c r="AH1464" s="197"/>
      <c r="AI1464" s="197"/>
      <c r="AJ1464" s="197"/>
      <c r="AK1464" s="197"/>
      <c r="AL1464" s="197"/>
      <c r="AM1464" s="197"/>
      <c r="AN1464" s="197"/>
      <c r="AO1464" s="197"/>
      <c r="AP1464" s="197"/>
      <c r="AQ1464" s="197"/>
      <c r="AR1464" s="197"/>
      <c r="AS1464" s="197"/>
      <c r="AT1464" s="197"/>
      <c r="AU1464" s="197"/>
      <c r="AV1464" s="197"/>
      <c r="AW1464" s="197"/>
    </row>
    <row r="1465" spans="28:49" s="196" customFormat="1">
      <c r="AB1465" s="201"/>
      <c r="AC1465" s="201"/>
      <c r="AD1465" s="197"/>
      <c r="AE1465" s="197"/>
      <c r="AF1465" s="197"/>
      <c r="AG1465" s="197"/>
      <c r="AH1465" s="197"/>
      <c r="AI1465" s="197"/>
      <c r="AJ1465" s="197"/>
      <c r="AK1465" s="197"/>
      <c r="AL1465" s="197"/>
      <c r="AM1465" s="197"/>
      <c r="AN1465" s="197"/>
      <c r="AO1465" s="197"/>
      <c r="AP1465" s="197"/>
      <c r="AQ1465" s="197"/>
      <c r="AR1465" s="197"/>
      <c r="AS1465" s="197"/>
      <c r="AT1465" s="197"/>
      <c r="AU1465" s="197"/>
      <c r="AV1465" s="197"/>
      <c r="AW1465" s="197"/>
    </row>
    <row r="1466" spans="28:49" s="196" customFormat="1">
      <c r="AB1466" s="201"/>
      <c r="AC1466" s="201"/>
      <c r="AD1466" s="197"/>
      <c r="AE1466" s="197"/>
      <c r="AF1466" s="197"/>
      <c r="AG1466" s="197"/>
      <c r="AH1466" s="197"/>
      <c r="AI1466" s="197"/>
      <c r="AJ1466" s="197"/>
      <c r="AK1466" s="197"/>
      <c r="AL1466" s="197"/>
      <c r="AM1466" s="197"/>
      <c r="AN1466" s="197"/>
      <c r="AO1466" s="197"/>
      <c r="AP1466" s="197"/>
      <c r="AQ1466" s="197"/>
      <c r="AR1466" s="197"/>
      <c r="AS1466" s="197"/>
      <c r="AT1466" s="197"/>
      <c r="AU1466" s="197"/>
      <c r="AV1466" s="197"/>
      <c r="AW1466" s="197"/>
    </row>
    <row r="1467" spans="28:49" s="196" customFormat="1">
      <c r="AB1467" s="201"/>
      <c r="AC1467" s="201"/>
      <c r="AD1467" s="197"/>
      <c r="AE1467" s="197"/>
      <c r="AF1467" s="197"/>
      <c r="AG1467" s="197"/>
      <c r="AH1467" s="197"/>
      <c r="AI1467" s="197"/>
      <c r="AJ1467" s="197"/>
      <c r="AK1467" s="197"/>
      <c r="AL1467" s="197"/>
      <c r="AM1467" s="197"/>
      <c r="AN1467" s="197"/>
      <c r="AO1467" s="197"/>
      <c r="AP1467" s="197"/>
      <c r="AQ1467" s="197"/>
      <c r="AR1467" s="197"/>
      <c r="AS1467" s="197"/>
      <c r="AT1467" s="197"/>
      <c r="AU1467" s="197"/>
      <c r="AV1467" s="197"/>
      <c r="AW1467" s="197"/>
    </row>
    <row r="1468" spans="28:49" s="196" customFormat="1">
      <c r="AB1468" s="201"/>
      <c r="AC1468" s="201"/>
      <c r="AD1468" s="197"/>
      <c r="AE1468" s="197"/>
      <c r="AF1468" s="197"/>
      <c r="AG1468" s="197"/>
      <c r="AH1468" s="197"/>
      <c r="AI1468" s="197"/>
      <c r="AJ1468" s="197"/>
      <c r="AK1468" s="197"/>
      <c r="AL1468" s="197"/>
      <c r="AM1468" s="197"/>
      <c r="AN1468" s="197"/>
      <c r="AO1468" s="197"/>
      <c r="AP1468" s="197"/>
      <c r="AQ1468" s="197"/>
      <c r="AR1468" s="197"/>
      <c r="AS1468" s="197"/>
      <c r="AT1468" s="197"/>
      <c r="AU1468" s="197"/>
      <c r="AV1468" s="197"/>
      <c r="AW1468" s="197"/>
    </row>
    <row r="1469" spans="28:49" s="196" customFormat="1">
      <c r="AB1469" s="201"/>
      <c r="AC1469" s="201"/>
      <c r="AD1469" s="197"/>
      <c r="AE1469" s="197"/>
      <c r="AF1469" s="197"/>
      <c r="AG1469" s="197"/>
      <c r="AH1469" s="197"/>
      <c r="AI1469" s="197"/>
      <c r="AJ1469" s="197"/>
      <c r="AK1469" s="197"/>
      <c r="AL1469" s="197"/>
      <c r="AM1469" s="197"/>
      <c r="AN1469" s="197"/>
      <c r="AO1469" s="197"/>
      <c r="AP1469" s="197"/>
      <c r="AQ1469" s="197"/>
      <c r="AR1469" s="197"/>
      <c r="AS1469" s="197"/>
      <c r="AT1469" s="197"/>
      <c r="AU1469" s="197"/>
      <c r="AV1469" s="197"/>
      <c r="AW1469" s="197"/>
    </row>
    <row r="1470" spans="28:49" s="196" customFormat="1">
      <c r="AB1470" s="201"/>
      <c r="AC1470" s="201"/>
      <c r="AD1470" s="197"/>
      <c r="AE1470" s="197"/>
      <c r="AF1470" s="197"/>
      <c r="AG1470" s="197"/>
      <c r="AH1470" s="197"/>
      <c r="AI1470" s="197"/>
      <c r="AJ1470" s="197"/>
      <c r="AK1470" s="197"/>
      <c r="AL1470" s="197"/>
      <c r="AM1470" s="197"/>
      <c r="AN1470" s="197"/>
      <c r="AO1470" s="197"/>
      <c r="AP1470" s="197"/>
      <c r="AQ1470" s="197"/>
      <c r="AR1470" s="197"/>
      <c r="AS1470" s="197"/>
      <c r="AT1470" s="197"/>
      <c r="AU1470" s="197"/>
      <c r="AV1470" s="197"/>
      <c r="AW1470" s="197"/>
    </row>
    <row r="1471" spans="28:49" s="196" customFormat="1">
      <c r="AB1471" s="201"/>
      <c r="AC1471" s="201"/>
      <c r="AD1471" s="197"/>
      <c r="AE1471" s="197"/>
      <c r="AF1471" s="197"/>
      <c r="AG1471" s="197"/>
      <c r="AH1471" s="197"/>
      <c r="AI1471" s="197"/>
      <c r="AJ1471" s="197"/>
      <c r="AK1471" s="197"/>
      <c r="AL1471" s="197"/>
      <c r="AM1471" s="197"/>
      <c r="AN1471" s="197"/>
      <c r="AO1471" s="197"/>
      <c r="AP1471" s="197"/>
      <c r="AQ1471" s="197"/>
      <c r="AR1471" s="197"/>
      <c r="AS1471" s="197"/>
      <c r="AT1471" s="197"/>
      <c r="AU1471" s="197"/>
      <c r="AV1471" s="197"/>
      <c r="AW1471" s="197"/>
    </row>
    <row r="1472" spans="28:49" s="196" customFormat="1">
      <c r="AB1472" s="201"/>
      <c r="AC1472" s="201"/>
      <c r="AD1472" s="197"/>
      <c r="AE1472" s="197"/>
      <c r="AF1472" s="197"/>
      <c r="AG1472" s="197"/>
      <c r="AH1472" s="197"/>
      <c r="AI1472" s="197"/>
      <c r="AJ1472" s="197"/>
      <c r="AK1472" s="197"/>
      <c r="AL1472" s="197"/>
      <c r="AM1472" s="197"/>
      <c r="AN1472" s="197"/>
      <c r="AO1472" s="197"/>
      <c r="AP1472" s="197"/>
      <c r="AQ1472" s="197"/>
      <c r="AR1472" s="197"/>
      <c r="AS1472" s="197"/>
      <c r="AT1472" s="197"/>
      <c r="AU1472" s="197"/>
      <c r="AV1472" s="197"/>
      <c r="AW1472" s="197"/>
    </row>
    <row r="1473" spans="28:49" s="196" customFormat="1">
      <c r="AB1473" s="201"/>
      <c r="AC1473" s="201"/>
      <c r="AD1473" s="197"/>
      <c r="AE1473" s="197"/>
      <c r="AF1473" s="197"/>
      <c r="AG1473" s="197"/>
      <c r="AH1473" s="197"/>
      <c r="AI1473" s="197"/>
      <c r="AJ1473" s="197"/>
      <c r="AK1473" s="197"/>
      <c r="AL1473" s="197"/>
      <c r="AM1473" s="197"/>
      <c r="AN1473" s="197"/>
      <c r="AO1473" s="197"/>
      <c r="AP1473" s="197"/>
      <c r="AQ1473" s="197"/>
      <c r="AR1473" s="197"/>
      <c r="AS1473" s="197"/>
      <c r="AT1473" s="197"/>
      <c r="AU1473" s="197"/>
      <c r="AV1473" s="197"/>
      <c r="AW1473" s="197"/>
    </row>
    <row r="1474" spans="28:49" s="196" customFormat="1">
      <c r="AB1474" s="201"/>
      <c r="AC1474" s="201"/>
      <c r="AD1474" s="197"/>
      <c r="AE1474" s="197"/>
      <c r="AF1474" s="197"/>
      <c r="AG1474" s="197"/>
      <c r="AH1474" s="197"/>
      <c r="AI1474" s="197"/>
      <c r="AJ1474" s="197"/>
      <c r="AK1474" s="197"/>
      <c r="AL1474" s="197"/>
      <c r="AM1474" s="197"/>
      <c r="AN1474" s="197"/>
      <c r="AO1474" s="197"/>
      <c r="AP1474" s="197"/>
      <c r="AQ1474" s="197"/>
      <c r="AR1474" s="197"/>
      <c r="AS1474" s="197"/>
      <c r="AT1474" s="197"/>
      <c r="AU1474" s="197"/>
      <c r="AV1474" s="197"/>
      <c r="AW1474" s="197"/>
    </row>
    <row r="1475" spans="28:49" s="196" customFormat="1">
      <c r="AB1475" s="201"/>
      <c r="AC1475" s="201"/>
      <c r="AD1475" s="197"/>
      <c r="AE1475" s="197"/>
      <c r="AF1475" s="197"/>
      <c r="AG1475" s="197"/>
      <c r="AH1475" s="197"/>
      <c r="AI1475" s="197"/>
      <c r="AJ1475" s="197"/>
      <c r="AK1475" s="197"/>
      <c r="AL1475" s="197"/>
      <c r="AM1475" s="197"/>
      <c r="AN1475" s="197"/>
      <c r="AO1475" s="197"/>
      <c r="AP1475" s="197"/>
      <c r="AQ1475" s="197"/>
      <c r="AR1475" s="197"/>
      <c r="AS1475" s="197"/>
      <c r="AT1475" s="197"/>
      <c r="AU1475" s="197"/>
      <c r="AV1475" s="197"/>
      <c r="AW1475" s="197"/>
    </row>
    <row r="1476" spans="28:49" s="196" customFormat="1">
      <c r="AB1476" s="201"/>
      <c r="AC1476" s="201"/>
      <c r="AD1476" s="197"/>
      <c r="AE1476" s="197"/>
      <c r="AF1476" s="197"/>
      <c r="AG1476" s="197"/>
      <c r="AH1476" s="197"/>
      <c r="AI1476" s="197"/>
      <c r="AJ1476" s="197"/>
      <c r="AK1476" s="197"/>
      <c r="AL1476" s="197"/>
      <c r="AM1476" s="197"/>
      <c r="AN1476" s="197"/>
      <c r="AO1476" s="197"/>
      <c r="AP1476" s="197"/>
      <c r="AQ1476" s="197"/>
      <c r="AR1476" s="197"/>
      <c r="AS1476" s="197"/>
      <c r="AT1476" s="197"/>
      <c r="AU1476" s="197"/>
      <c r="AV1476" s="197"/>
      <c r="AW1476" s="197"/>
    </row>
    <row r="1477" spans="28:49" s="196" customFormat="1">
      <c r="AB1477" s="201"/>
      <c r="AC1477" s="201"/>
      <c r="AD1477" s="197"/>
      <c r="AE1477" s="197"/>
      <c r="AF1477" s="197"/>
      <c r="AG1477" s="197"/>
      <c r="AH1477" s="197"/>
      <c r="AI1477" s="197"/>
      <c r="AJ1477" s="197"/>
      <c r="AK1477" s="197"/>
      <c r="AL1477" s="197"/>
      <c r="AM1477" s="197"/>
      <c r="AN1477" s="197"/>
      <c r="AO1477" s="197"/>
      <c r="AP1477" s="197"/>
      <c r="AQ1477" s="197"/>
      <c r="AR1477" s="197"/>
      <c r="AS1477" s="197"/>
      <c r="AT1477" s="197"/>
      <c r="AU1477" s="197"/>
      <c r="AV1477" s="197"/>
      <c r="AW1477" s="197"/>
    </row>
    <row r="1478" spans="28:49" s="196" customFormat="1">
      <c r="AB1478" s="201"/>
      <c r="AC1478" s="201"/>
      <c r="AD1478" s="197"/>
      <c r="AE1478" s="197"/>
      <c r="AF1478" s="197"/>
      <c r="AG1478" s="197"/>
      <c r="AH1478" s="197"/>
      <c r="AI1478" s="197"/>
      <c r="AJ1478" s="197"/>
      <c r="AK1478" s="197"/>
      <c r="AL1478" s="197"/>
      <c r="AM1478" s="197"/>
      <c r="AN1478" s="197"/>
      <c r="AO1478" s="197"/>
      <c r="AP1478" s="197"/>
      <c r="AQ1478" s="197"/>
      <c r="AR1478" s="197"/>
      <c r="AS1478" s="197"/>
      <c r="AT1478" s="197"/>
      <c r="AU1478" s="197"/>
      <c r="AV1478" s="197"/>
      <c r="AW1478" s="197"/>
    </row>
    <row r="1479" spans="28:49" s="196" customFormat="1">
      <c r="AB1479" s="201"/>
      <c r="AC1479" s="201"/>
      <c r="AD1479" s="197"/>
      <c r="AE1479" s="197"/>
      <c r="AF1479" s="197"/>
      <c r="AG1479" s="197"/>
      <c r="AH1479" s="197"/>
      <c r="AI1479" s="197"/>
      <c r="AJ1479" s="197"/>
      <c r="AK1479" s="197"/>
      <c r="AL1479" s="197"/>
      <c r="AM1479" s="197"/>
      <c r="AN1479" s="197"/>
      <c r="AO1479" s="197"/>
      <c r="AP1479" s="197"/>
      <c r="AQ1479" s="197"/>
      <c r="AR1479" s="197"/>
      <c r="AS1479" s="197"/>
      <c r="AT1479" s="197"/>
      <c r="AU1479" s="197"/>
      <c r="AV1479" s="197"/>
      <c r="AW1479" s="197"/>
    </row>
    <row r="1480" spans="28:49" s="196" customFormat="1">
      <c r="AB1480" s="201"/>
      <c r="AC1480" s="201"/>
      <c r="AD1480" s="197"/>
      <c r="AE1480" s="197"/>
      <c r="AF1480" s="197"/>
      <c r="AG1480" s="197"/>
      <c r="AH1480" s="197"/>
      <c r="AI1480" s="197"/>
      <c r="AJ1480" s="197"/>
      <c r="AK1480" s="197"/>
      <c r="AL1480" s="197"/>
      <c r="AM1480" s="197"/>
      <c r="AN1480" s="197"/>
      <c r="AO1480" s="197"/>
      <c r="AP1480" s="197"/>
      <c r="AQ1480" s="197"/>
      <c r="AR1480" s="197"/>
      <c r="AS1480" s="197"/>
      <c r="AT1480" s="197"/>
      <c r="AU1480" s="197"/>
      <c r="AV1480" s="197"/>
      <c r="AW1480" s="197"/>
    </row>
    <row r="1481" spans="28:49" s="196" customFormat="1">
      <c r="AB1481" s="201"/>
      <c r="AC1481" s="201"/>
      <c r="AD1481" s="197"/>
      <c r="AE1481" s="197"/>
      <c r="AF1481" s="197"/>
      <c r="AG1481" s="197"/>
      <c r="AH1481" s="197"/>
      <c r="AI1481" s="197"/>
      <c r="AJ1481" s="197"/>
      <c r="AK1481" s="197"/>
      <c r="AL1481" s="197"/>
      <c r="AM1481" s="197"/>
      <c r="AN1481" s="197"/>
      <c r="AO1481" s="197"/>
      <c r="AP1481" s="197"/>
      <c r="AQ1481" s="197"/>
      <c r="AR1481" s="197"/>
      <c r="AS1481" s="197"/>
      <c r="AT1481" s="197"/>
      <c r="AU1481" s="197"/>
      <c r="AV1481" s="197"/>
      <c r="AW1481" s="197"/>
    </row>
    <row r="1482" spans="28:49" s="196" customFormat="1">
      <c r="AB1482" s="201"/>
      <c r="AC1482" s="201"/>
      <c r="AD1482" s="197"/>
      <c r="AE1482" s="197"/>
      <c r="AF1482" s="197"/>
      <c r="AG1482" s="197"/>
      <c r="AH1482" s="197"/>
      <c r="AI1482" s="197"/>
      <c r="AJ1482" s="197"/>
      <c r="AK1482" s="197"/>
      <c r="AL1482" s="197"/>
      <c r="AM1482" s="197"/>
      <c r="AN1482" s="197"/>
      <c r="AO1482" s="197"/>
      <c r="AP1482" s="197"/>
      <c r="AQ1482" s="197"/>
      <c r="AR1482" s="197"/>
      <c r="AS1482" s="197"/>
      <c r="AT1482" s="197"/>
      <c r="AU1482" s="197"/>
      <c r="AV1482" s="197"/>
      <c r="AW1482" s="197"/>
    </row>
    <row r="1483" spans="28:49" s="196" customFormat="1">
      <c r="AB1483" s="201"/>
      <c r="AC1483" s="201"/>
      <c r="AD1483" s="197"/>
      <c r="AE1483" s="197"/>
      <c r="AF1483" s="197"/>
      <c r="AG1483" s="197"/>
      <c r="AH1483" s="197"/>
      <c r="AI1483" s="197"/>
      <c r="AJ1483" s="197"/>
      <c r="AK1483" s="197"/>
      <c r="AL1483" s="197"/>
      <c r="AM1483" s="197"/>
      <c r="AN1483" s="197"/>
      <c r="AO1483" s="197"/>
      <c r="AP1483" s="197"/>
      <c r="AQ1483" s="197"/>
      <c r="AR1483" s="197"/>
      <c r="AS1483" s="197"/>
      <c r="AT1483" s="197"/>
      <c r="AU1483" s="197"/>
      <c r="AV1483" s="197"/>
      <c r="AW1483" s="197"/>
    </row>
    <row r="1484" spans="28:49" s="196" customFormat="1">
      <c r="AB1484" s="201"/>
      <c r="AC1484" s="201"/>
      <c r="AD1484" s="197"/>
      <c r="AE1484" s="197"/>
      <c r="AF1484" s="197"/>
      <c r="AG1484" s="197"/>
      <c r="AH1484" s="197"/>
      <c r="AI1484" s="197"/>
      <c r="AJ1484" s="197"/>
      <c r="AK1484" s="197"/>
      <c r="AL1484" s="197"/>
      <c r="AM1484" s="197"/>
      <c r="AN1484" s="197"/>
      <c r="AO1484" s="197"/>
      <c r="AP1484" s="197"/>
      <c r="AQ1484" s="197"/>
      <c r="AR1484" s="197"/>
      <c r="AS1484" s="197"/>
      <c r="AT1484" s="197"/>
      <c r="AU1484" s="197"/>
      <c r="AV1484" s="197"/>
      <c r="AW1484" s="197"/>
    </row>
    <row r="1485" spans="28:49" s="196" customFormat="1">
      <c r="AB1485" s="201"/>
      <c r="AC1485" s="201"/>
      <c r="AD1485" s="197"/>
      <c r="AE1485" s="197"/>
      <c r="AF1485" s="197"/>
      <c r="AG1485" s="197"/>
      <c r="AH1485" s="197"/>
      <c r="AI1485" s="197"/>
      <c r="AJ1485" s="197"/>
      <c r="AK1485" s="197"/>
      <c r="AL1485" s="197"/>
      <c r="AM1485" s="197"/>
      <c r="AN1485" s="197"/>
      <c r="AO1485" s="197"/>
      <c r="AP1485" s="197"/>
      <c r="AQ1485" s="197"/>
      <c r="AR1485" s="197"/>
      <c r="AS1485" s="197"/>
      <c r="AT1485" s="197"/>
      <c r="AU1485" s="197"/>
      <c r="AV1485" s="197"/>
      <c r="AW1485" s="197"/>
    </row>
    <row r="1486" spans="28:49" s="196" customFormat="1">
      <c r="AB1486" s="201"/>
      <c r="AC1486" s="201"/>
      <c r="AD1486" s="197"/>
      <c r="AE1486" s="197"/>
      <c r="AF1486" s="197"/>
      <c r="AG1486" s="197"/>
      <c r="AH1486" s="197"/>
      <c r="AI1486" s="197"/>
      <c r="AJ1486" s="197"/>
      <c r="AK1486" s="197"/>
      <c r="AL1486" s="197"/>
      <c r="AM1486" s="197"/>
      <c r="AN1486" s="197"/>
      <c r="AO1486" s="197"/>
      <c r="AP1486" s="197"/>
      <c r="AQ1486" s="197"/>
      <c r="AR1486" s="197"/>
      <c r="AS1486" s="197"/>
      <c r="AT1486" s="197"/>
      <c r="AU1486" s="197"/>
      <c r="AV1486" s="197"/>
      <c r="AW1486" s="197"/>
    </row>
    <row r="1487" spans="28:49" s="196" customFormat="1">
      <c r="AB1487" s="201"/>
      <c r="AC1487" s="201"/>
      <c r="AD1487" s="197"/>
      <c r="AE1487" s="197"/>
      <c r="AF1487" s="197"/>
      <c r="AG1487" s="197"/>
      <c r="AH1487" s="197"/>
      <c r="AI1487" s="197"/>
      <c r="AJ1487" s="197"/>
      <c r="AK1487" s="197"/>
      <c r="AL1487" s="197"/>
      <c r="AM1487" s="197"/>
      <c r="AN1487" s="197"/>
      <c r="AO1487" s="197"/>
      <c r="AP1487" s="197"/>
      <c r="AQ1487" s="197"/>
      <c r="AR1487" s="197"/>
      <c r="AS1487" s="197"/>
      <c r="AT1487" s="197"/>
      <c r="AU1487" s="197"/>
      <c r="AV1487" s="197"/>
      <c r="AW1487" s="197"/>
    </row>
    <row r="1488" spans="28:49" s="196" customFormat="1">
      <c r="AB1488" s="201"/>
      <c r="AC1488" s="201"/>
      <c r="AD1488" s="197"/>
      <c r="AE1488" s="197"/>
      <c r="AF1488" s="197"/>
      <c r="AG1488" s="197"/>
      <c r="AH1488" s="197"/>
      <c r="AI1488" s="197"/>
      <c r="AJ1488" s="197"/>
      <c r="AK1488" s="197"/>
      <c r="AL1488" s="197"/>
      <c r="AM1488" s="197"/>
      <c r="AN1488" s="197"/>
      <c r="AO1488" s="197"/>
      <c r="AP1488" s="197"/>
      <c r="AQ1488" s="197"/>
      <c r="AR1488" s="197"/>
      <c r="AS1488" s="197"/>
      <c r="AT1488" s="197"/>
      <c r="AU1488" s="197"/>
      <c r="AV1488" s="197"/>
      <c r="AW1488" s="197"/>
    </row>
    <row r="1489" spans="28:49" s="196" customFormat="1">
      <c r="AB1489" s="201"/>
      <c r="AC1489" s="201"/>
      <c r="AD1489" s="197"/>
      <c r="AE1489" s="197"/>
      <c r="AF1489" s="197"/>
      <c r="AG1489" s="197"/>
      <c r="AH1489" s="197"/>
      <c r="AI1489" s="197"/>
      <c r="AJ1489" s="197"/>
      <c r="AK1489" s="197"/>
      <c r="AL1489" s="197"/>
      <c r="AM1489" s="197"/>
      <c r="AN1489" s="197"/>
      <c r="AO1489" s="197"/>
      <c r="AP1489" s="197"/>
      <c r="AQ1489" s="197"/>
      <c r="AR1489" s="197"/>
      <c r="AS1489" s="197"/>
      <c r="AT1489" s="197"/>
      <c r="AU1489" s="197"/>
      <c r="AV1489" s="197"/>
      <c r="AW1489" s="197"/>
    </row>
    <row r="1490" spans="28:49" s="196" customFormat="1">
      <c r="AB1490" s="201"/>
      <c r="AC1490" s="201"/>
      <c r="AD1490" s="197"/>
      <c r="AE1490" s="197"/>
      <c r="AF1490" s="197"/>
      <c r="AG1490" s="197"/>
      <c r="AH1490" s="197"/>
      <c r="AI1490" s="197"/>
      <c r="AJ1490" s="197"/>
      <c r="AK1490" s="197"/>
      <c r="AL1490" s="197"/>
      <c r="AM1490" s="197"/>
      <c r="AN1490" s="197"/>
      <c r="AO1490" s="197"/>
      <c r="AP1490" s="197"/>
      <c r="AQ1490" s="197"/>
      <c r="AR1490" s="197"/>
      <c r="AS1490" s="197"/>
      <c r="AT1490" s="197"/>
      <c r="AU1490" s="197"/>
      <c r="AV1490" s="197"/>
      <c r="AW1490" s="197"/>
    </row>
    <row r="1491" spans="28:49" s="196" customFormat="1">
      <c r="AB1491" s="201"/>
      <c r="AC1491" s="201"/>
      <c r="AD1491" s="197"/>
      <c r="AE1491" s="197"/>
      <c r="AF1491" s="197"/>
      <c r="AG1491" s="197"/>
      <c r="AH1491" s="197"/>
      <c r="AI1491" s="197"/>
      <c r="AJ1491" s="197"/>
      <c r="AK1491" s="197"/>
      <c r="AL1491" s="197"/>
      <c r="AM1491" s="197"/>
      <c r="AN1491" s="197"/>
      <c r="AO1491" s="197"/>
      <c r="AP1491" s="197"/>
      <c r="AQ1491" s="197"/>
      <c r="AR1491" s="197"/>
      <c r="AS1491" s="197"/>
      <c r="AT1491" s="197"/>
      <c r="AU1491" s="197"/>
      <c r="AV1491" s="197"/>
      <c r="AW1491" s="197"/>
    </row>
    <row r="1492" spans="28:49" s="196" customFormat="1">
      <c r="AB1492" s="201"/>
      <c r="AC1492" s="201"/>
      <c r="AD1492" s="197"/>
      <c r="AE1492" s="197"/>
      <c r="AF1492" s="197"/>
      <c r="AG1492" s="197"/>
      <c r="AH1492" s="197"/>
      <c r="AI1492" s="197"/>
      <c r="AJ1492" s="197"/>
      <c r="AK1492" s="197"/>
      <c r="AL1492" s="197"/>
      <c r="AM1492" s="197"/>
      <c r="AN1492" s="197"/>
      <c r="AO1492" s="197"/>
      <c r="AP1492" s="197"/>
      <c r="AQ1492" s="197"/>
      <c r="AR1492" s="197"/>
      <c r="AS1492" s="197"/>
      <c r="AT1492" s="197"/>
      <c r="AU1492" s="197"/>
      <c r="AV1492" s="197"/>
      <c r="AW1492" s="197"/>
    </row>
    <row r="1493" spans="28:49" s="196" customFormat="1">
      <c r="AB1493" s="201"/>
      <c r="AC1493" s="201"/>
      <c r="AD1493" s="197"/>
      <c r="AE1493" s="197"/>
      <c r="AF1493" s="197"/>
      <c r="AG1493" s="197"/>
      <c r="AH1493" s="197"/>
      <c r="AI1493" s="197"/>
      <c r="AJ1493" s="197"/>
      <c r="AK1493" s="197"/>
      <c r="AL1493" s="197"/>
      <c r="AM1493" s="197"/>
      <c r="AN1493" s="197"/>
      <c r="AO1493" s="197"/>
      <c r="AP1493" s="197"/>
      <c r="AQ1493" s="197"/>
      <c r="AR1493" s="197"/>
      <c r="AS1493" s="197"/>
      <c r="AT1493" s="197"/>
      <c r="AU1493" s="197"/>
      <c r="AV1493" s="197"/>
      <c r="AW1493" s="197"/>
    </row>
    <row r="1494" spans="28:49" s="196" customFormat="1">
      <c r="AB1494" s="201"/>
      <c r="AC1494" s="201"/>
      <c r="AD1494" s="197"/>
      <c r="AE1494" s="197"/>
      <c r="AF1494" s="197"/>
      <c r="AG1494" s="197"/>
      <c r="AH1494" s="197"/>
      <c r="AI1494" s="197"/>
      <c r="AJ1494" s="197"/>
      <c r="AK1494" s="197"/>
      <c r="AL1494" s="197"/>
      <c r="AM1494" s="197"/>
      <c r="AN1494" s="197"/>
      <c r="AO1494" s="197"/>
      <c r="AP1494" s="197"/>
      <c r="AQ1494" s="197"/>
      <c r="AR1494" s="197"/>
      <c r="AS1494" s="197"/>
      <c r="AT1494" s="197"/>
      <c r="AU1494" s="197"/>
      <c r="AV1494" s="197"/>
      <c r="AW1494" s="197"/>
    </row>
    <row r="1495" spans="28:49" s="196" customFormat="1">
      <c r="AB1495" s="201"/>
      <c r="AC1495" s="201"/>
      <c r="AD1495" s="197"/>
      <c r="AE1495" s="197"/>
      <c r="AF1495" s="197"/>
      <c r="AG1495" s="197"/>
      <c r="AH1495" s="197"/>
      <c r="AI1495" s="197"/>
      <c r="AJ1495" s="197"/>
      <c r="AK1495" s="197"/>
      <c r="AL1495" s="197"/>
      <c r="AM1495" s="197"/>
      <c r="AN1495" s="197"/>
      <c r="AO1495" s="197"/>
      <c r="AP1495" s="197"/>
      <c r="AQ1495" s="197"/>
      <c r="AR1495" s="197"/>
      <c r="AS1495" s="197"/>
      <c r="AT1495" s="197"/>
      <c r="AU1495" s="197"/>
      <c r="AV1495" s="197"/>
      <c r="AW1495" s="197"/>
    </row>
    <row r="1496" spans="28:49" s="196" customFormat="1">
      <c r="AB1496" s="201"/>
      <c r="AC1496" s="201"/>
      <c r="AD1496" s="197"/>
      <c r="AE1496" s="197"/>
      <c r="AF1496" s="197"/>
      <c r="AG1496" s="197"/>
      <c r="AH1496" s="197"/>
      <c r="AI1496" s="197"/>
      <c r="AJ1496" s="197"/>
      <c r="AK1496" s="197"/>
      <c r="AL1496" s="197"/>
      <c r="AM1496" s="197"/>
      <c r="AN1496" s="197"/>
      <c r="AO1496" s="197"/>
      <c r="AP1496" s="197"/>
      <c r="AQ1496" s="197"/>
      <c r="AR1496" s="197"/>
      <c r="AS1496" s="197"/>
      <c r="AT1496" s="197"/>
      <c r="AU1496" s="197"/>
      <c r="AV1496" s="197"/>
      <c r="AW1496" s="197"/>
    </row>
    <row r="1497" spans="28:49" s="196" customFormat="1">
      <c r="AB1497" s="201"/>
      <c r="AC1497" s="201"/>
      <c r="AD1497" s="197"/>
      <c r="AE1497" s="197"/>
      <c r="AF1497" s="197"/>
      <c r="AG1497" s="197"/>
      <c r="AH1497" s="197"/>
      <c r="AI1497" s="197"/>
      <c r="AJ1497" s="197"/>
      <c r="AK1497" s="197"/>
      <c r="AL1497" s="197"/>
      <c r="AM1497" s="197"/>
      <c r="AN1497" s="197"/>
      <c r="AO1497" s="197"/>
      <c r="AP1497" s="197"/>
      <c r="AQ1497" s="197"/>
      <c r="AR1497" s="197"/>
      <c r="AS1497" s="197"/>
      <c r="AT1497" s="197"/>
      <c r="AU1497" s="197"/>
      <c r="AV1497" s="197"/>
      <c r="AW1497" s="197"/>
    </row>
    <row r="1498" spans="28:49" s="196" customFormat="1">
      <c r="AB1498" s="201"/>
      <c r="AC1498" s="201"/>
      <c r="AD1498" s="197"/>
      <c r="AE1498" s="197"/>
      <c r="AF1498" s="197"/>
      <c r="AG1498" s="197"/>
      <c r="AH1498" s="197"/>
      <c r="AI1498" s="197"/>
      <c r="AJ1498" s="197"/>
      <c r="AK1498" s="197"/>
      <c r="AL1498" s="197"/>
      <c r="AM1498" s="197"/>
      <c r="AN1498" s="197"/>
      <c r="AO1498" s="197"/>
      <c r="AP1498" s="197"/>
      <c r="AQ1498" s="197"/>
      <c r="AR1498" s="197"/>
      <c r="AS1498" s="197"/>
      <c r="AT1498" s="197"/>
      <c r="AU1498" s="197"/>
      <c r="AV1498" s="197"/>
      <c r="AW1498" s="197"/>
    </row>
    <row r="1499" spans="28:49" s="196" customFormat="1">
      <c r="AB1499" s="201"/>
      <c r="AC1499" s="201"/>
      <c r="AD1499" s="197"/>
      <c r="AE1499" s="197"/>
      <c r="AF1499" s="197"/>
      <c r="AG1499" s="197"/>
      <c r="AH1499" s="197"/>
      <c r="AI1499" s="197"/>
      <c r="AJ1499" s="197"/>
      <c r="AK1499" s="197"/>
      <c r="AL1499" s="197"/>
      <c r="AM1499" s="197"/>
      <c r="AN1499" s="197"/>
      <c r="AO1499" s="197"/>
      <c r="AP1499" s="197"/>
      <c r="AQ1499" s="197"/>
      <c r="AR1499" s="197"/>
      <c r="AS1499" s="197"/>
      <c r="AT1499" s="197"/>
      <c r="AU1499" s="197"/>
      <c r="AV1499" s="197"/>
      <c r="AW1499" s="197"/>
    </row>
    <row r="1500" spans="28:49" s="196" customFormat="1">
      <c r="AB1500" s="201"/>
      <c r="AC1500" s="201"/>
      <c r="AD1500" s="197"/>
      <c r="AE1500" s="197"/>
      <c r="AF1500" s="197"/>
      <c r="AG1500" s="197"/>
      <c r="AH1500" s="197"/>
      <c r="AI1500" s="197"/>
      <c r="AJ1500" s="197"/>
      <c r="AK1500" s="197"/>
      <c r="AL1500" s="197"/>
      <c r="AM1500" s="197"/>
      <c r="AN1500" s="197"/>
      <c r="AO1500" s="197"/>
      <c r="AP1500" s="197"/>
      <c r="AQ1500" s="197"/>
      <c r="AR1500" s="197"/>
      <c r="AS1500" s="197"/>
      <c r="AT1500" s="197"/>
      <c r="AU1500" s="197"/>
      <c r="AV1500" s="197"/>
      <c r="AW1500" s="197"/>
    </row>
    <row r="1501" spans="28:49" s="196" customFormat="1">
      <c r="AB1501" s="201"/>
      <c r="AC1501" s="201"/>
      <c r="AD1501" s="197"/>
      <c r="AE1501" s="197"/>
      <c r="AF1501" s="197"/>
      <c r="AG1501" s="197"/>
      <c r="AH1501" s="197"/>
      <c r="AI1501" s="197"/>
      <c r="AJ1501" s="197"/>
      <c r="AK1501" s="197"/>
      <c r="AL1501" s="197"/>
      <c r="AM1501" s="197"/>
      <c r="AN1501" s="197"/>
      <c r="AO1501" s="197"/>
      <c r="AP1501" s="197"/>
      <c r="AQ1501" s="197"/>
      <c r="AR1501" s="197"/>
      <c r="AS1501" s="197"/>
      <c r="AT1501" s="197"/>
      <c r="AU1501" s="197"/>
      <c r="AV1501" s="197"/>
      <c r="AW1501" s="197"/>
    </row>
    <row r="1502" spans="28:49" s="196" customFormat="1">
      <c r="AB1502" s="201"/>
      <c r="AC1502" s="201"/>
      <c r="AD1502" s="197"/>
      <c r="AE1502" s="197"/>
      <c r="AF1502" s="197"/>
      <c r="AG1502" s="197"/>
      <c r="AH1502" s="197"/>
      <c r="AI1502" s="197"/>
      <c r="AJ1502" s="197"/>
      <c r="AK1502" s="197"/>
      <c r="AL1502" s="197"/>
      <c r="AM1502" s="197"/>
      <c r="AN1502" s="197"/>
      <c r="AO1502" s="197"/>
      <c r="AP1502" s="197"/>
      <c r="AQ1502" s="197"/>
      <c r="AR1502" s="197"/>
      <c r="AS1502" s="197"/>
      <c r="AT1502" s="197"/>
      <c r="AU1502" s="197"/>
      <c r="AV1502" s="197"/>
      <c r="AW1502" s="197"/>
    </row>
    <row r="1503" spans="28:49" s="196" customFormat="1">
      <c r="AB1503" s="201"/>
      <c r="AC1503" s="201"/>
      <c r="AD1503" s="197"/>
      <c r="AE1503" s="197"/>
      <c r="AF1503" s="197"/>
      <c r="AG1503" s="197"/>
      <c r="AH1503" s="197"/>
      <c r="AI1503" s="197"/>
      <c r="AJ1503" s="197"/>
      <c r="AK1503" s="197"/>
      <c r="AL1503" s="197"/>
      <c r="AM1503" s="197"/>
      <c r="AN1503" s="197"/>
      <c r="AO1503" s="197"/>
      <c r="AP1503" s="197"/>
      <c r="AQ1503" s="197"/>
      <c r="AR1503" s="197"/>
      <c r="AS1503" s="197"/>
      <c r="AT1503" s="197"/>
      <c r="AU1503" s="197"/>
      <c r="AV1503" s="197"/>
      <c r="AW1503" s="197"/>
    </row>
    <row r="1504" spans="28:49" s="196" customFormat="1">
      <c r="AB1504" s="201"/>
      <c r="AC1504" s="201"/>
      <c r="AD1504" s="197"/>
      <c r="AE1504" s="197"/>
      <c r="AF1504" s="197"/>
      <c r="AG1504" s="197"/>
      <c r="AH1504" s="197"/>
      <c r="AI1504" s="197"/>
      <c r="AJ1504" s="197"/>
      <c r="AK1504" s="197"/>
      <c r="AL1504" s="197"/>
      <c r="AM1504" s="197"/>
      <c r="AN1504" s="197"/>
      <c r="AO1504" s="197"/>
      <c r="AP1504" s="197"/>
      <c r="AQ1504" s="197"/>
      <c r="AR1504" s="197"/>
      <c r="AS1504" s="197"/>
      <c r="AT1504" s="197"/>
      <c r="AU1504" s="197"/>
      <c r="AV1504" s="197"/>
      <c r="AW1504" s="197"/>
    </row>
    <row r="1505" spans="28:49" s="196" customFormat="1">
      <c r="AB1505" s="201"/>
      <c r="AC1505" s="201"/>
      <c r="AD1505" s="197"/>
      <c r="AE1505" s="197"/>
      <c r="AF1505" s="197"/>
      <c r="AG1505" s="197"/>
      <c r="AH1505" s="197"/>
      <c r="AI1505" s="197"/>
      <c r="AJ1505" s="197"/>
      <c r="AK1505" s="197"/>
      <c r="AL1505" s="197"/>
      <c r="AM1505" s="197"/>
      <c r="AN1505" s="197"/>
      <c r="AO1505" s="197"/>
      <c r="AP1505" s="197"/>
      <c r="AQ1505" s="197"/>
      <c r="AR1505" s="197"/>
      <c r="AS1505" s="197"/>
      <c r="AT1505" s="197"/>
      <c r="AU1505" s="197"/>
      <c r="AV1505" s="197"/>
      <c r="AW1505" s="197"/>
    </row>
    <row r="1506" spans="28:49" s="196" customFormat="1">
      <c r="AB1506" s="201"/>
      <c r="AC1506" s="201"/>
      <c r="AD1506" s="197"/>
      <c r="AE1506" s="197"/>
      <c r="AF1506" s="197"/>
      <c r="AG1506" s="197"/>
      <c r="AH1506" s="197"/>
      <c r="AI1506" s="197"/>
      <c r="AJ1506" s="197"/>
      <c r="AK1506" s="197"/>
      <c r="AL1506" s="197"/>
      <c r="AM1506" s="197"/>
      <c r="AN1506" s="197"/>
      <c r="AO1506" s="197"/>
      <c r="AP1506" s="197"/>
      <c r="AQ1506" s="197"/>
      <c r="AR1506" s="197"/>
      <c r="AS1506" s="197"/>
      <c r="AT1506" s="197"/>
      <c r="AU1506" s="197"/>
      <c r="AV1506" s="197"/>
      <c r="AW1506" s="197"/>
    </row>
    <row r="1507" spans="28:49" s="196" customFormat="1">
      <c r="AB1507" s="201"/>
      <c r="AC1507" s="201"/>
      <c r="AD1507" s="197"/>
      <c r="AE1507" s="197"/>
      <c r="AF1507" s="197"/>
      <c r="AG1507" s="197"/>
      <c r="AH1507" s="197"/>
      <c r="AI1507" s="197"/>
      <c r="AJ1507" s="197"/>
      <c r="AK1507" s="197"/>
      <c r="AL1507" s="197"/>
      <c r="AM1507" s="197"/>
      <c r="AN1507" s="197"/>
      <c r="AO1507" s="197"/>
      <c r="AP1507" s="197"/>
      <c r="AQ1507" s="197"/>
      <c r="AR1507" s="197"/>
      <c r="AS1507" s="197"/>
      <c r="AT1507" s="197"/>
      <c r="AU1507" s="197"/>
      <c r="AV1507" s="197"/>
      <c r="AW1507" s="197"/>
    </row>
    <row r="1508" spans="28:49" s="196" customFormat="1">
      <c r="AB1508" s="201"/>
      <c r="AC1508" s="201"/>
      <c r="AD1508" s="197"/>
      <c r="AE1508" s="197"/>
      <c r="AF1508" s="197"/>
      <c r="AG1508" s="197"/>
      <c r="AH1508" s="197"/>
      <c r="AI1508" s="197"/>
      <c r="AJ1508" s="197"/>
      <c r="AK1508" s="197"/>
      <c r="AL1508" s="197"/>
      <c r="AM1508" s="197"/>
      <c r="AN1508" s="197"/>
      <c r="AO1508" s="197"/>
      <c r="AP1508" s="197"/>
      <c r="AQ1508" s="197"/>
      <c r="AR1508" s="197"/>
      <c r="AS1508" s="197"/>
      <c r="AT1508" s="197"/>
      <c r="AU1508" s="197"/>
      <c r="AV1508" s="197"/>
      <c r="AW1508" s="197"/>
    </row>
    <row r="1509" spans="28:49" s="196" customFormat="1">
      <c r="AB1509" s="201"/>
      <c r="AC1509" s="201"/>
      <c r="AD1509" s="197"/>
      <c r="AE1509" s="197"/>
      <c r="AF1509" s="197"/>
      <c r="AG1509" s="197"/>
      <c r="AH1509" s="197"/>
      <c r="AI1509" s="197"/>
      <c r="AJ1509" s="197"/>
      <c r="AK1509" s="197"/>
      <c r="AL1509" s="197"/>
      <c r="AM1509" s="197"/>
      <c r="AN1509" s="197"/>
      <c r="AO1509" s="197"/>
      <c r="AP1509" s="197"/>
      <c r="AQ1509" s="197"/>
      <c r="AR1509" s="197"/>
      <c r="AS1509" s="197"/>
      <c r="AT1509" s="197"/>
      <c r="AU1509" s="197"/>
      <c r="AV1509" s="197"/>
      <c r="AW1509" s="197"/>
    </row>
    <row r="1510" spans="28:49" s="196" customFormat="1">
      <c r="AB1510" s="201"/>
      <c r="AC1510" s="201"/>
      <c r="AD1510" s="197"/>
      <c r="AE1510" s="197"/>
      <c r="AF1510" s="197"/>
      <c r="AG1510" s="197"/>
      <c r="AH1510" s="197"/>
      <c r="AI1510" s="197"/>
      <c r="AJ1510" s="197"/>
      <c r="AK1510" s="197"/>
      <c r="AL1510" s="197"/>
      <c r="AM1510" s="197"/>
      <c r="AN1510" s="197"/>
      <c r="AO1510" s="197"/>
      <c r="AP1510" s="197"/>
      <c r="AQ1510" s="197"/>
      <c r="AR1510" s="197"/>
      <c r="AS1510" s="197"/>
      <c r="AT1510" s="197"/>
      <c r="AU1510" s="197"/>
      <c r="AV1510" s="197"/>
      <c r="AW1510" s="197"/>
    </row>
    <row r="1511" spans="28:49" s="196" customFormat="1">
      <c r="AB1511" s="201"/>
      <c r="AC1511" s="201"/>
      <c r="AD1511" s="197"/>
      <c r="AE1511" s="197"/>
      <c r="AF1511" s="197"/>
      <c r="AG1511" s="197"/>
      <c r="AH1511" s="197"/>
      <c r="AI1511" s="197"/>
      <c r="AJ1511" s="197"/>
      <c r="AK1511" s="197"/>
      <c r="AL1511" s="197"/>
      <c r="AM1511" s="197"/>
      <c r="AN1511" s="197"/>
      <c r="AO1511" s="197"/>
      <c r="AP1511" s="197"/>
      <c r="AQ1511" s="197"/>
      <c r="AR1511" s="197"/>
      <c r="AS1511" s="197"/>
      <c r="AT1511" s="197"/>
      <c r="AU1511" s="197"/>
      <c r="AV1511" s="197"/>
      <c r="AW1511" s="197"/>
    </row>
    <row r="1512" spans="28:49" s="196" customFormat="1">
      <c r="AB1512" s="201"/>
      <c r="AC1512" s="201"/>
      <c r="AD1512" s="197"/>
      <c r="AE1512" s="197"/>
      <c r="AF1512" s="197"/>
      <c r="AG1512" s="197"/>
      <c r="AH1512" s="197"/>
      <c r="AI1512" s="197"/>
      <c r="AJ1512" s="197"/>
      <c r="AK1512" s="197"/>
      <c r="AL1512" s="197"/>
      <c r="AM1512" s="197"/>
      <c r="AN1512" s="197"/>
      <c r="AO1512" s="197"/>
      <c r="AP1512" s="197"/>
      <c r="AQ1512" s="197"/>
      <c r="AR1512" s="197"/>
      <c r="AS1512" s="197"/>
      <c r="AT1512" s="197"/>
      <c r="AU1512" s="197"/>
      <c r="AV1512" s="197"/>
      <c r="AW1512" s="197"/>
    </row>
    <row r="1513" spans="28:49" s="196" customFormat="1">
      <c r="AB1513" s="201"/>
      <c r="AC1513" s="201"/>
      <c r="AD1513" s="197"/>
      <c r="AE1513" s="197"/>
      <c r="AF1513" s="197"/>
      <c r="AG1513" s="197"/>
      <c r="AH1513" s="197"/>
      <c r="AI1513" s="197"/>
      <c r="AJ1513" s="197"/>
      <c r="AK1513" s="197"/>
      <c r="AL1513" s="197"/>
      <c r="AM1513" s="197"/>
      <c r="AN1513" s="197"/>
      <c r="AO1513" s="197"/>
      <c r="AP1513" s="197"/>
      <c r="AQ1513" s="197"/>
      <c r="AR1513" s="197"/>
      <c r="AS1513" s="197"/>
      <c r="AT1513" s="197"/>
      <c r="AU1513" s="197"/>
      <c r="AV1513" s="197"/>
      <c r="AW1513" s="197"/>
    </row>
    <row r="1514" spans="28:49" s="196" customFormat="1">
      <c r="AB1514" s="201"/>
      <c r="AC1514" s="201"/>
      <c r="AD1514" s="197"/>
      <c r="AE1514" s="197"/>
      <c r="AF1514" s="197"/>
      <c r="AG1514" s="197"/>
      <c r="AH1514" s="197"/>
      <c r="AI1514" s="197"/>
      <c r="AJ1514" s="197"/>
      <c r="AK1514" s="197"/>
      <c r="AL1514" s="197"/>
      <c r="AM1514" s="197"/>
      <c r="AN1514" s="197"/>
      <c r="AO1514" s="197"/>
      <c r="AP1514" s="197"/>
      <c r="AQ1514" s="197"/>
      <c r="AR1514" s="197"/>
      <c r="AS1514" s="197"/>
      <c r="AT1514" s="197"/>
      <c r="AU1514" s="197"/>
      <c r="AV1514" s="197"/>
      <c r="AW1514" s="197"/>
    </row>
    <row r="1515" spans="28:49" s="196" customFormat="1">
      <c r="AB1515" s="201"/>
      <c r="AC1515" s="201"/>
      <c r="AD1515" s="197"/>
      <c r="AE1515" s="197"/>
      <c r="AF1515" s="197"/>
      <c r="AG1515" s="197"/>
      <c r="AH1515" s="197"/>
      <c r="AI1515" s="197"/>
      <c r="AJ1515" s="197"/>
      <c r="AK1515" s="197"/>
      <c r="AL1515" s="197"/>
      <c r="AM1515" s="197"/>
      <c r="AN1515" s="197"/>
      <c r="AO1515" s="197"/>
      <c r="AP1515" s="197"/>
      <c r="AQ1515" s="197"/>
      <c r="AR1515" s="197"/>
      <c r="AS1515" s="197"/>
      <c r="AT1515" s="197"/>
      <c r="AU1515" s="197"/>
      <c r="AV1515" s="197"/>
      <c r="AW1515" s="197"/>
    </row>
    <row r="1516" spans="28:49" s="196" customFormat="1">
      <c r="AB1516" s="201"/>
      <c r="AC1516" s="201"/>
      <c r="AD1516" s="197"/>
      <c r="AE1516" s="197"/>
      <c r="AF1516" s="197"/>
      <c r="AG1516" s="197"/>
      <c r="AH1516" s="197"/>
      <c r="AI1516" s="197"/>
      <c r="AJ1516" s="197"/>
      <c r="AK1516" s="197"/>
      <c r="AL1516" s="197"/>
      <c r="AM1516" s="197"/>
      <c r="AN1516" s="197"/>
      <c r="AO1516" s="197"/>
      <c r="AP1516" s="197"/>
      <c r="AQ1516" s="197"/>
      <c r="AR1516" s="197"/>
      <c r="AS1516" s="197"/>
      <c r="AT1516" s="197"/>
      <c r="AU1516" s="197"/>
      <c r="AV1516" s="197"/>
      <c r="AW1516" s="197"/>
    </row>
    <row r="1517" spans="28:49" s="196" customFormat="1">
      <c r="AB1517" s="201"/>
      <c r="AC1517" s="201"/>
      <c r="AD1517" s="197"/>
      <c r="AE1517" s="197"/>
      <c r="AF1517" s="197"/>
      <c r="AG1517" s="197"/>
      <c r="AH1517" s="197"/>
      <c r="AI1517" s="197"/>
      <c r="AJ1517" s="197"/>
      <c r="AK1517" s="197"/>
      <c r="AL1517" s="197"/>
      <c r="AM1517" s="197"/>
      <c r="AN1517" s="197"/>
      <c r="AO1517" s="197"/>
      <c r="AP1517" s="197"/>
      <c r="AQ1517" s="197"/>
      <c r="AR1517" s="197"/>
      <c r="AS1517" s="197"/>
      <c r="AT1517" s="197"/>
      <c r="AU1517" s="197"/>
      <c r="AV1517" s="197"/>
      <c r="AW1517" s="197"/>
    </row>
    <row r="1518" spans="28:49" s="196" customFormat="1">
      <c r="AB1518" s="201"/>
      <c r="AC1518" s="201"/>
      <c r="AD1518" s="197"/>
      <c r="AE1518" s="197"/>
      <c r="AF1518" s="197"/>
      <c r="AG1518" s="197"/>
      <c r="AH1518" s="197"/>
      <c r="AI1518" s="197"/>
      <c r="AJ1518" s="197"/>
      <c r="AK1518" s="197"/>
      <c r="AL1518" s="197"/>
      <c r="AM1518" s="197"/>
      <c r="AN1518" s="197"/>
      <c r="AO1518" s="197"/>
      <c r="AP1518" s="197"/>
      <c r="AQ1518" s="197"/>
      <c r="AR1518" s="197"/>
      <c r="AS1518" s="197"/>
      <c r="AT1518" s="197"/>
      <c r="AU1518" s="197"/>
      <c r="AV1518" s="197"/>
      <c r="AW1518" s="197"/>
    </row>
    <row r="1519" spans="28:49" s="196" customFormat="1">
      <c r="AB1519" s="201"/>
      <c r="AC1519" s="201"/>
      <c r="AD1519" s="197"/>
      <c r="AE1519" s="197"/>
      <c r="AF1519" s="197"/>
      <c r="AG1519" s="197"/>
      <c r="AH1519" s="197"/>
      <c r="AI1519" s="197"/>
      <c r="AJ1519" s="197"/>
      <c r="AK1519" s="197"/>
      <c r="AL1519" s="197"/>
      <c r="AM1519" s="197"/>
      <c r="AN1519" s="197"/>
      <c r="AO1519" s="197"/>
      <c r="AP1519" s="197"/>
      <c r="AQ1519" s="197"/>
      <c r="AR1519" s="197"/>
      <c r="AS1519" s="197"/>
      <c r="AT1519" s="197"/>
      <c r="AU1519" s="197"/>
      <c r="AV1519" s="197"/>
      <c r="AW1519" s="197"/>
    </row>
    <row r="1520" spans="28:49" s="196" customFormat="1">
      <c r="AB1520" s="201"/>
      <c r="AC1520" s="201"/>
      <c r="AD1520" s="197"/>
      <c r="AE1520" s="197"/>
      <c r="AF1520" s="197"/>
      <c r="AG1520" s="197"/>
      <c r="AH1520" s="197"/>
      <c r="AI1520" s="197"/>
      <c r="AJ1520" s="197"/>
      <c r="AK1520" s="197"/>
      <c r="AL1520" s="197"/>
      <c r="AM1520" s="197"/>
      <c r="AN1520" s="197"/>
      <c r="AO1520" s="197"/>
      <c r="AP1520" s="197"/>
      <c r="AQ1520" s="197"/>
      <c r="AR1520" s="197"/>
      <c r="AS1520" s="197"/>
      <c r="AT1520" s="197"/>
      <c r="AU1520" s="197"/>
      <c r="AV1520" s="197"/>
      <c r="AW1520" s="197"/>
    </row>
    <row r="1521" spans="28:49" s="196" customFormat="1">
      <c r="AB1521" s="201"/>
      <c r="AC1521" s="201"/>
      <c r="AD1521" s="197"/>
      <c r="AE1521" s="197"/>
      <c r="AF1521" s="197"/>
      <c r="AG1521" s="197"/>
      <c r="AH1521" s="197"/>
      <c r="AI1521" s="197"/>
      <c r="AJ1521" s="197"/>
      <c r="AK1521" s="197"/>
      <c r="AL1521" s="197"/>
      <c r="AM1521" s="197"/>
      <c r="AN1521" s="197"/>
      <c r="AO1521" s="197"/>
      <c r="AP1521" s="197"/>
      <c r="AQ1521" s="197"/>
      <c r="AR1521" s="197"/>
      <c r="AS1521" s="197"/>
      <c r="AT1521" s="197"/>
      <c r="AU1521" s="197"/>
      <c r="AV1521" s="197"/>
      <c r="AW1521" s="197"/>
    </row>
    <row r="1522" spans="28:49" s="196" customFormat="1">
      <c r="AB1522" s="201"/>
      <c r="AC1522" s="201"/>
      <c r="AD1522" s="197"/>
      <c r="AE1522" s="197"/>
      <c r="AF1522" s="197"/>
      <c r="AG1522" s="197"/>
      <c r="AH1522" s="197"/>
      <c r="AI1522" s="197"/>
      <c r="AJ1522" s="197"/>
      <c r="AK1522" s="197"/>
      <c r="AL1522" s="197"/>
      <c r="AM1522" s="197"/>
      <c r="AN1522" s="197"/>
      <c r="AO1522" s="197"/>
      <c r="AP1522" s="197"/>
      <c r="AQ1522" s="197"/>
      <c r="AR1522" s="197"/>
      <c r="AS1522" s="197"/>
      <c r="AT1522" s="197"/>
      <c r="AU1522" s="197"/>
      <c r="AV1522" s="197"/>
      <c r="AW1522" s="197"/>
    </row>
    <row r="1523" spans="28:49" s="196" customFormat="1">
      <c r="AB1523" s="201"/>
      <c r="AC1523" s="201"/>
      <c r="AD1523" s="197"/>
      <c r="AE1523" s="197"/>
      <c r="AF1523" s="197"/>
      <c r="AG1523" s="197"/>
      <c r="AH1523" s="197"/>
      <c r="AI1523" s="197"/>
      <c r="AJ1523" s="197"/>
      <c r="AK1523" s="197"/>
      <c r="AL1523" s="197"/>
      <c r="AM1523" s="197"/>
      <c r="AN1523" s="197"/>
      <c r="AO1523" s="197"/>
      <c r="AP1523" s="197"/>
      <c r="AQ1523" s="197"/>
      <c r="AR1523" s="197"/>
      <c r="AS1523" s="197"/>
      <c r="AT1523" s="197"/>
      <c r="AU1523" s="197"/>
      <c r="AV1523" s="197"/>
      <c r="AW1523" s="197"/>
    </row>
    <row r="1524" spans="28:49" s="196" customFormat="1">
      <c r="AB1524" s="201"/>
      <c r="AC1524" s="201"/>
      <c r="AD1524" s="197"/>
      <c r="AE1524" s="197"/>
      <c r="AF1524" s="197"/>
      <c r="AG1524" s="197"/>
      <c r="AH1524" s="197"/>
      <c r="AI1524" s="197"/>
      <c r="AJ1524" s="197"/>
      <c r="AK1524" s="197"/>
      <c r="AL1524" s="197"/>
      <c r="AM1524" s="197"/>
      <c r="AN1524" s="197"/>
      <c r="AO1524" s="197"/>
      <c r="AP1524" s="197"/>
      <c r="AQ1524" s="197"/>
      <c r="AR1524" s="197"/>
      <c r="AS1524" s="197"/>
      <c r="AT1524" s="197"/>
      <c r="AU1524" s="197"/>
      <c r="AV1524" s="197"/>
      <c r="AW1524" s="197"/>
    </row>
    <row r="1525" spans="28:49" s="196" customFormat="1">
      <c r="AB1525" s="201"/>
      <c r="AC1525" s="201"/>
      <c r="AD1525" s="197"/>
      <c r="AE1525" s="197"/>
      <c r="AF1525" s="197"/>
      <c r="AG1525" s="197"/>
      <c r="AH1525" s="197"/>
      <c r="AI1525" s="197"/>
      <c r="AJ1525" s="197"/>
      <c r="AK1525" s="197"/>
      <c r="AL1525" s="197"/>
      <c r="AM1525" s="197"/>
      <c r="AN1525" s="197"/>
      <c r="AO1525" s="197"/>
      <c r="AP1525" s="197"/>
      <c r="AQ1525" s="197"/>
      <c r="AR1525" s="197"/>
      <c r="AS1525" s="197"/>
      <c r="AT1525" s="197"/>
      <c r="AU1525" s="197"/>
      <c r="AV1525" s="197"/>
      <c r="AW1525" s="197"/>
    </row>
    <row r="1526" spans="28:49" s="196" customFormat="1">
      <c r="AB1526" s="201"/>
      <c r="AC1526" s="201"/>
      <c r="AD1526" s="197"/>
      <c r="AE1526" s="197"/>
      <c r="AF1526" s="197"/>
      <c r="AG1526" s="197"/>
      <c r="AH1526" s="197"/>
      <c r="AI1526" s="197"/>
      <c r="AJ1526" s="197"/>
      <c r="AK1526" s="197"/>
      <c r="AL1526" s="197"/>
      <c r="AM1526" s="197"/>
      <c r="AN1526" s="197"/>
      <c r="AO1526" s="197"/>
      <c r="AP1526" s="197"/>
      <c r="AQ1526" s="197"/>
      <c r="AR1526" s="197"/>
      <c r="AS1526" s="197"/>
      <c r="AT1526" s="197"/>
      <c r="AU1526" s="197"/>
      <c r="AV1526" s="197"/>
      <c r="AW1526" s="197"/>
    </row>
    <row r="1527" spans="28:49" s="196" customFormat="1">
      <c r="AB1527" s="201"/>
      <c r="AC1527" s="201"/>
      <c r="AD1527" s="197"/>
      <c r="AE1527" s="197"/>
      <c r="AF1527" s="197"/>
      <c r="AG1527" s="197"/>
      <c r="AH1527" s="197"/>
      <c r="AI1527" s="197"/>
      <c r="AJ1527" s="197"/>
      <c r="AK1527" s="197"/>
      <c r="AL1527" s="197"/>
      <c r="AM1527" s="197"/>
      <c r="AN1527" s="197"/>
      <c r="AO1527" s="197"/>
      <c r="AP1527" s="197"/>
      <c r="AQ1527" s="197"/>
      <c r="AR1527" s="197"/>
      <c r="AS1527" s="197"/>
      <c r="AT1527" s="197"/>
      <c r="AU1527" s="197"/>
      <c r="AV1527" s="197"/>
      <c r="AW1527" s="197"/>
    </row>
    <row r="1528" spans="28:49" s="196" customFormat="1">
      <c r="AB1528" s="201"/>
      <c r="AC1528" s="201"/>
      <c r="AD1528" s="197"/>
      <c r="AE1528" s="197"/>
      <c r="AF1528" s="197"/>
      <c r="AG1528" s="197"/>
      <c r="AH1528" s="197"/>
      <c r="AI1528" s="197"/>
      <c r="AJ1528" s="197"/>
      <c r="AK1528" s="197"/>
      <c r="AL1528" s="197"/>
      <c r="AM1528" s="197"/>
      <c r="AN1528" s="197"/>
      <c r="AO1528" s="197"/>
      <c r="AP1528" s="197"/>
      <c r="AQ1528" s="197"/>
      <c r="AR1528" s="197"/>
      <c r="AS1528" s="197"/>
      <c r="AT1528" s="197"/>
      <c r="AU1528" s="197"/>
      <c r="AV1528" s="197"/>
      <c r="AW1528" s="197"/>
    </row>
    <row r="1529" spans="28:49" s="196" customFormat="1">
      <c r="AB1529" s="201"/>
      <c r="AC1529" s="201"/>
      <c r="AD1529" s="197"/>
      <c r="AE1529" s="197"/>
      <c r="AF1529" s="197"/>
      <c r="AG1529" s="197"/>
      <c r="AH1529" s="197"/>
      <c r="AI1529" s="197"/>
      <c r="AJ1529" s="197"/>
      <c r="AK1529" s="197"/>
      <c r="AL1529" s="197"/>
      <c r="AM1529" s="197"/>
      <c r="AN1529" s="197"/>
      <c r="AO1529" s="197"/>
      <c r="AP1529" s="197"/>
      <c r="AQ1529" s="197"/>
      <c r="AR1529" s="197"/>
      <c r="AS1529" s="197"/>
      <c r="AT1529" s="197"/>
      <c r="AU1529" s="197"/>
      <c r="AV1529" s="197"/>
      <c r="AW1529" s="197"/>
    </row>
    <row r="1530" spans="28:49" s="196" customFormat="1">
      <c r="AB1530" s="201"/>
      <c r="AC1530" s="201"/>
      <c r="AD1530" s="197"/>
      <c r="AE1530" s="197"/>
      <c r="AF1530" s="197"/>
      <c r="AG1530" s="197"/>
      <c r="AH1530" s="197"/>
      <c r="AI1530" s="197"/>
      <c r="AJ1530" s="197"/>
      <c r="AK1530" s="197"/>
      <c r="AL1530" s="197"/>
      <c r="AM1530" s="197"/>
      <c r="AN1530" s="197"/>
      <c r="AO1530" s="197"/>
      <c r="AP1530" s="197"/>
      <c r="AQ1530" s="197"/>
      <c r="AR1530" s="197"/>
      <c r="AS1530" s="197"/>
      <c r="AT1530" s="197"/>
      <c r="AU1530" s="197"/>
      <c r="AV1530" s="197"/>
      <c r="AW1530" s="197"/>
    </row>
    <row r="1531" spans="28:49" s="196" customFormat="1">
      <c r="AB1531" s="201"/>
      <c r="AC1531" s="201"/>
      <c r="AD1531" s="197"/>
      <c r="AE1531" s="197"/>
      <c r="AF1531" s="197"/>
      <c r="AG1531" s="197"/>
      <c r="AH1531" s="197"/>
      <c r="AI1531" s="197"/>
      <c r="AJ1531" s="197"/>
      <c r="AK1531" s="197"/>
      <c r="AL1531" s="197"/>
      <c r="AM1531" s="197"/>
      <c r="AN1531" s="197"/>
      <c r="AO1531" s="197"/>
      <c r="AP1531" s="197"/>
      <c r="AQ1531" s="197"/>
      <c r="AR1531" s="197"/>
      <c r="AS1531" s="197"/>
      <c r="AT1531" s="197"/>
      <c r="AU1531" s="197"/>
      <c r="AV1531" s="197"/>
      <c r="AW1531" s="197"/>
    </row>
    <row r="1532" spans="28:49" s="196" customFormat="1">
      <c r="AB1532" s="201"/>
      <c r="AC1532" s="201"/>
      <c r="AD1532" s="197"/>
      <c r="AE1532" s="197"/>
      <c r="AF1532" s="197"/>
      <c r="AG1532" s="197"/>
      <c r="AH1532" s="197"/>
      <c r="AI1532" s="197"/>
      <c r="AJ1532" s="197"/>
      <c r="AK1532" s="197"/>
      <c r="AL1532" s="197"/>
      <c r="AM1532" s="197"/>
      <c r="AN1532" s="197"/>
      <c r="AO1532" s="197"/>
      <c r="AP1532" s="197"/>
      <c r="AQ1532" s="197"/>
      <c r="AR1532" s="197"/>
      <c r="AS1532" s="197"/>
      <c r="AT1532" s="197"/>
      <c r="AU1532" s="197"/>
      <c r="AV1532" s="197"/>
      <c r="AW1532" s="197"/>
    </row>
    <row r="1533" spans="28:49" s="196" customFormat="1">
      <c r="AB1533" s="201"/>
      <c r="AC1533" s="201"/>
      <c r="AD1533" s="197"/>
      <c r="AE1533" s="197"/>
      <c r="AF1533" s="197"/>
      <c r="AG1533" s="197"/>
      <c r="AH1533" s="197"/>
      <c r="AI1533" s="197"/>
      <c r="AJ1533" s="197"/>
      <c r="AK1533" s="197"/>
      <c r="AL1533" s="197"/>
      <c r="AM1533" s="197"/>
      <c r="AN1533" s="197"/>
      <c r="AO1533" s="197"/>
      <c r="AP1533" s="197"/>
      <c r="AQ1533" s="197"/>
      <c r="AR1533" s="197"/>
      <c r="AS1533" s="197"/>
      <c r="AT1533" s="197"/>
      <c r="AU1533" s="197"/>
      <c r="AV1533" s="197"/>
      <c r="AW1533" s="197"/>
    </row>
    <row r="1534" spans="28:49" s="196" customFormat="1">
      <c r="AB1534" s="201"/>
      <c r="AC1534" s="201"/>
      <c r="AD1534" s="197"/>
      <c r="AE1534" s="197"/>
      <c r="AF1534" s="197"/>
      <c r="AG1534" s="197"/>
      <c r="AH1534" s="197"/>
      <c r="AI1534" s="197"/>
      <c r="AJ1534" s="197"/>
      <c r="AK1534" s="197"/>
      <c r="AL1534" s="197"/>
      <c r="AM1534" s="197"/>
      <c r="AN1534" s="197"/>
      <c r="AO1534" s="197"/>
      <c r="AP1534" s="197"/>
      <c r="AQ1534" s="197"/>
      <c r="AR1534" s="197"/>
      <c r="AS1534" s="197"/>
      <c r="AT1534" s="197"/>
      <c r="AU1534" s="197"/>
      <c r="AV1534" s="197"/>
      <c r="AW1534" s="197"/>
    </row>
    <row r="1535" spans="28:49" s="196" customFormat="1">
      <c r="AB1535" s="201"/>
      <c r="AC1535" s="201"/>
      <c r="AD1535" s="197"/>
      <c r="AE1535" s="197"/>
      <c r="AF1535" s="197"/>
      <c r="AG1535" s="197"/>
      <c r="AH1535" s="197"/>
      <c r="AI1535" s="197"/>
      <c r="AJ1535" s="197"/>
      <c r="AK1535" s="197"/>
      <c r="AL1535" s="197"/>
      <c r="AM1535" s="197"/>
      <c r="AN1535" s="197"/>
      <c r="AO1535" s="197"/>
      <c r="AP1535" s="197"/>
      <c r="AQ1535" s="197"/>
      <c r="AR1535" s="197"/>
      <c r="AS1535" s="197"/>
      <c r="AT1535" s="197"/>
      <c r="AU1535" s="197"/>
      <c r="AV1535" s="197"/>
      <c r="AW1535" s="197"/>
    </row>
    <row r="1536" spans="28:49" s="196" customFormat="1">
      <c r="AB1536" s="201"/>
      <c r="AC1536" s="201"/>
      <c r="AD1536" s="197"/>
      <c r="AE1536" s="197"/>
      <c r="AF1536" s="197"/>
      <c r="AG1536" s="197"/>
      <c r="AH1536" s="197"/>
      <c r="AI1536" s="197"/>
      <c r="AJ1536" s="197"/>
      <c r="AK1536" s="197"/>
      <c r="AL1536" s="197"/>
      <c r="AM1536" s="197"/>
      <c r="AN1536" s="197"/>
      <c r="AO1536" s="197"/>
      <c r="AP1536" s="197"/>
      <c r="AQ1536" s="197"/>
      <c r="AR1536" s="197"/>
      <c r="AS1536" s="197"/>
      <c r="AT1536" s="197"/>
      <c r="AU1536" s="197"/>
      <c r="AV1536" s="197"/>
      <c r="AW1536" s="197"/>
    </row>
    <row r="1537" spans="28:49" s="196" customFormat="1">
      <c r="AB1537" s="201"/>
      <c r="AC1537" s="201"/>
      <c r="AD1537" s="197"/>
      <c r="AE1537" s="197"/>
      <c r="AF1537" s="197"/>
      <c r="AG1537" s="197"/>
      <c r="AH1537" s="197"/>
      <c r="AI1537" s="197"/>
      <c r="AJ1537" s="197"/>
      <c r="AK1537" s="197"/>
      <c r="AL1537" s="197"/>
      <c r="AM1537" s="197"/>
      <c r="AN1537" s="197"/>
      <c r="AO1537" s="197"/>
      <c r="AP1537" s="197"/>
      <c r="AQ1537" s="197"/>
      <c r="AR1537" s="197"/>
      <c r="AS1537" s="197"/>
      <c r="AT1537" s="197"/>
      <c r="AU1537" s="197"/>
      <c r="AV1537" s="197"/>
      <c r="AW1537" s="197"/>
    </row>
    <row r="1538" spans="28:49" s="196" customFormat="1">
      <c r="AB1538" s="201"/>
      <c r="AC1538" s="201"/>
      <c r="AD1538" s="197"/>
      <c r="AE1538" s="197"/>
      <c r="AF1538" s="197"/>
      <c r="AG1538" s="197"/>
      <c r="AH1538" s="197"/>
      <c r="AI1538" s="197"/>
      <c r="AJ1538" s="197"/>
      <c r="AK1538" s="197"/>
      <c r="AL1538" s="197"/>
      <c r="AM1538" s="197"/>
      <c r="AN1538" s="197"/>
      <c r="AO1538" s="197"/>
      <c r="AP1538" s="197"/>
      <c r="AQ1538" s="197"/>
      <c r="AR1538" s="197"/>
      <c r="AS1538" s="197"/>
      <c r="AT1538" s="197"/>
      <c r="AU1538" s="197"/>
      <c r="AV1538" s="197"/>
      <c r="AW1538" s="197"/>
    </row>
    <row r="1539" spans="28:49" s="196" customFormat="1">
      <c r="AB1539" s="201"/>
      <c r="AC1539" s="201"/>
      <c r="AD1539" s="197"/>
      <c r="AE1539" s="197"/>
      <c r="AF1539" s="197"/>
      <c r="AG1539" s="197"/>
      <c r="AH1539" s="197"/>
      <c r="AI1539" s="197"/>
      <c r="AJ1539" s="197"/>
      <c r="AK1539" s="197"/>
      <c r="AL1539" s="197"/>
      <c r="AM1539" s="197"/>
      <c r="AN1539" s="197"/>
      <c r="AO1539" s="197"/>
      <c r="AP1539" s="197"/>
      <c r="AQ1539" s="197"/>
      <c r="AR1539" s="197"/>
      <c r="AS1539" s="197"/>
      <c r="AT1539" s="197"/>
      <c r="AU1539" s="197"/>
      <c r="AV1539" s="197"/>
      <c r="AW1539" s="197"/>
    </row>
    <row r="1540" spans="28:49" s="196" customFormat="1">
      <c r="AB1540" s="201"/>
      <c r="AC1540" s="201"/>
      <c r="AD1540" s="197"/>
      <c r="AE1540" s="197"/>
      <c r="AF1540" s="197"/>
      <c r="AG1540" s="197"/>
      <c r="AH1540" s="197"/>
      <c r="AI1540" s="197"/>
      <c r="AJ1540" s="197"/>
      <c r="AK1540" s="197"/>
      <c r="AL1540" s="197"/>
      <c r="AM1540" s="197"/>
      <c r="AN1540" s="197"/>
      <c r="AO1540" s="197"/>
      <c r="AP1540" s="197"/>
      <c r="AQ1540" s="197"/>
      <c r="AR1540" s="197"/>
      <c r="AS1540" s="197"/>
      <c r="AT1540" s="197"/>
      <c r="AU1540" s="197"/>
      <c r="AV1540" s="197"/>
      <c r="AW1540" s="197"/>
    </row>
    <row r="1541" spans="28:49" s="196" customFormat="1">
      <c r="AB1541" s="201"/>
      <c r="AC1541" s="201"/>
      <c r="AD1541" s="197"/>
      <c r="AE1541" s="197"/>
      <c r="AF1541" s="197"/>
      <c r="AG1541" s="197"/>
      <c r="AH1541" s="197"/>
      <c r="AI1541" s="197"/>
      <c r="AJ1541" s="197"/>
      <c r="AK1541" s="197"/>
      <c r="AL1541" s="197"/>
      <c r="AM1541" s="197"/>
      <c r="AN1541" s="197"/>
      <c r="AO1541" s="197"/>
      <c r="AP1541" s="197"/>
      <c r="AQ1541" s="197"/>
      <c r="AR1541" s="197"/>
      <c r="AS1541" s="197"/>
      <c r="AT1541" s="197"/>
      <c r="AU1541" s="197"/>
      <c r="AV1541" s="197"/>
      <c r="AW1541" s="197"/>
    </row>
    <row r="1542" spans="28:49" s="196" customFormat="1">
      <c r="AB1542" s="201"/>
      <c r="AC1542" s="201"/>
      <c r="AD1542" s="197"/>
      <c r="AE1542" s="197"/>
      <c r="AF1542" s="197"/>
      <c r="AG1542" s="197"/>
      <c r="AH1542" s="197"/>
      <c r="AI1542" s="197"/>
      <c r="AJ1542" s="197"/>
      <c r="AK1542" s="197"/>
      <c r="AL1542" s="197"/>
      <c r="AM1542" s="197"/>
      <c r="AN1542" s="197"/>
      <c r="AO1542" s="197"/>
      <c r="AP1542" s="197"/>
      <c r="AQ1542" s="197"/>
      <c r="AR1542" s="197"/>
      <c r="AS1542" s="197"/>
      <c r="AT1542" s="197"/>
      <c r="AU1542" s="197"/>
      <c r="AV1542" s="197"/>
      <c r="AW1542" s="197"/>
    </row>
    <row r="1543" spans="28:49" s="196" customFormat="1">
      <c r="AB1543" s="201"/>
      <c r="AC1543" s="201"/>
      <c r="AD1543" s="197"/>
      <c r="AE1543" s="197"/>
      <c r="AF1543" s="197"/>
      <c r="AG1543" s="197"/>
      <c r="AH1543" s="197"/>
      <c r="AI1543" s="197"/>
      <c r="AJ1543" s="197"/>
      <c r="AK1543" s="197"/>
      <c r="AL1543" s="197"/>
      <c r="AM1543" s="197"/>
      <c r="AN1543" s="197"/>
      <c r="AO1543" s="197"/>
      <c r="AP1543" s="197"/>
      <c r="AQ1543" s="197"/>
      <c r="AR1543" s="197"/>
      <c r="AS1543" s="197"/>
      <c r="AT1543" s="197"/>
      <c r="AU1543" s="197"/>
      <c r="AV1543" s="197"/>
      <c r="AW1543" s="197"/>
    </row>
    <row r="1544" spans="28:49" s="196" customFormat="1">
      <c r="AB1544" s="201"/>
      <c r="AC1544" s="201"/>
      <c r="AD1544" s="197"/>
      <c r="AE1544" s="197"/>
      <c r="AF1544" s="197"/>
      <c r="AG1544" s="197"/>
      <c r="AH1544" s="197"/>
      <c r="AI1544" s="197"/>
      <c r="AJ1544" s="197"/>
      <c r="AK1544" s="197"/>
      <c r="AL1544" s="197"/>
      <c r="AM1544" s="197"/>
      <c r="AN1544" s="197"/>
      <c r="AO1544" s="197"/>
      <c r="AP1544" s="197"/>
      <c r="AQ1544" s="197"/>
      <c r="AR1544" s="197"/>
      <c r="AS1544" s="197"/>
      <c r="AT1544" s="197"/>
      <c r="AU1544" s="197"/>
      <c r="AV1544" s="197"/>
      <c r="AW1544" s="197"/>
    </row>
    <row r="1545" spans="28:49" s="196" customFormat="1">
      <c r="AB1545" s="201"/>
      <c r="AC1545" s="201"/>
      <c r="AD1545" s="197"/>
      <c r="AE1545" s="197"/>
      <c r="AF1545" s="197"/>
      <c r="AG1545" s="197"/>
      <c r="AH1545" s="197"/>
      <c r="AI1545" s="197"/>
      <c r="AJ1545" s="197"/>
      <c r="AK1545" s="197"/>
      <c r="AL1545" s="197"/>
      <c r="AM1545" s="197"/>
      <c r="AN1545" s="197"/>
      <c r="AO1545" s="197"/>
      <c r="AP1545" s="197"/>
      <c r="AQ1545" s="197"/>
      <c r="AR1545" s="197"/>
      <c r="AS1545" s="197"/>
      <c r="AT1545" s="197"/>
      <c r="AU1545" s="197"/>
      <c r="AV1545" s="197"/>
      <c r="AW1545" s="197"/>
    </row>
    <row r="1546" spans="28:49" s="196" customFormat="1">
      <c r="AB1546" s="201"/>
      <c r="AC1546" s="201"/>
      <c r="AD1546" s="197"/>
      <c r="AE1546" s="197"/>
      <c r="AF1546" s="197"/>
      <c r="AG1546" s="197"/>
      <c r="AH1546" s="197"/>
      <c r="AI1546" s="197"/>
      <c r="AJ1546" s="197"/>
      <c r="AK1546" s="197"/>
      <c r="AL1546" s="197"/>
      <c r="AM1546" s="197"/>
      <c r="AN1546" s="197"/>
      <c r="AO1546" s="197"/>
      <c r="AP1546" s="197"/>
      <c r="AQ1546" s="197"/>
      <c r="AR1546" s="197"/>
      <c r="AS1546" s="197"/>
      <c r="AT1546" s="197"/>
      <c r="AU1546" s="197"/>
      <c r="AV1546" s="197"/>
      <c r="AW1546" s="197"/>
    </row>
    <row r="1547" spans="28:49" s="196" customFormat="1">
      <c r="AB1547" s="201"/>
      <c r="AC1547" s="201"/>
      <c r="AD1547" s="197"/>
      <c r="AE1547" s="197"/>
      <c r="AF1547" s="197"/>
      <c r="AG1547" s="197"/>
      <c r="AH1547" s="197"/>
      <c r="AI1547" s="197"/>
      <c r="AJ1547" s="197"/>
      <c r="AK1547" s="197"/>
      <c r="AL1547" s="197"/>
      <c r="AM1547" s="197"/>
      <c r="AN1547" s="197"/>
      <c r="AO1547" s="197"/>
      <c r="AP1547" s="197"/>
      <c r="AQ1547" s="197"/>
      <c r="AR1547" s="197"/>
      <c r="AS1547" s="197"/>
      <c r="AT1547" s="197"/>
      <c r="AU1547" s="197"/>
      <c r="AV1547" s="197"/>
      <c r="AW1547" s="197"/>
    </row>
    <row r="1548" spans="28:49" s="196" customFormat="1">
      <c r="AB1548" s="201"/>
      <c r="AC1548" s="201"/>
      <c r="AD1548" s="197"/>
      <c r="AE1548" s="197"/>
      <c r="AF1548" s="197"/>
      <c r="AG1548" s="197"/>
      <c r="AH1548" s="197"/>
      <c r="AI1548" s="197"/>
      <c r="AJ1548" s="197"/>
      <c r="AK1548" s="197"/>
      <c r="AL1548" s="197"/>
      <c r="AM1548" s="197"/>
      <c r="AN1548" s="197"/>
      <c r="AO1548" s="197"/>
      <c r="AP1548" s="197"/>
      <c r="AQ1548" s="197"/>
      <c r="AR1548" s="197"/>
      <c r="AS1548" s="197"/>
      <c r="AT1548" s="197"/>
      <c r="AU1548" s="197"/>
      <c r="AV1548" s="197"/>
      <c r="AW1548" s="197"/>
    </row>
    <row r="1549" spans="28:49" s="196" customFormat="1">
      <c r="AB1549" s="201"/>
      <c r="AC1549" s="201"/>
      <c r="AD1549" s="197"/>
      <c r="AE1549" s="197"/>
      <c r="AF1549" s="197"/>
      <c r="AG1549" s="197"/>
      <c r="AH1549" s="197"/>
      <c r="AI1549" s="197"/>
      <c r="AJ1549" s="197"/>
      <c r="AK1549" s="197"/>
      <c r="AL1549" s="197"/>
      <c r="AM1549" s="197"/>
      <c r="AN1549" s="197"/>
      <c r="AO1549" s="197"/>
      <c r="AP1549" s="197"/>
      <c r="AQ1549" s="197"/>
      <c r="AR1549" s="197"/>
      <c r="AS1549" s="197"/>
      <c r="AT1549" s="197"/>
      <c r="AU1549" s="197"/>
      <c r="AV1549" s="197"/>
      <c r="AW1549" s="197"/>
    </row>
    <row r="1550" spans="28:49" s="196" customFormat="1">
      <c r="AB1550" s="201"/>
      <c r="AC1550" s="201"/>
      <c r="AD1550" s="197"/>
      <c r="AE1550" s="197"/>
      <c r="AF1550" s="197"/>
      <c r="AG1550" s="197"/>
      <c r="AH1550" s="197"/>
      <c r="AI1550" s="197"/>
      <c r="AJ1550" s="197"/>
      <c r="AK1550" s="197"/>
      <c r="AL1550" s="197"/>
      <c r="AM1550" s="197"/>
      <c r="AN1550" s="197"/>
      <c r="AO1550" s="197"/>
      <c r="AP1550" s="197"/>
      <c r="AQ1550" s="197"/>
      <c r="AR1550" s="197"/>
      <c r="AS1550" s="197"/>
      <c r="AT1550" s="197"/>
      <c r="AU1550" s="197"/>
      <c r="AV1550" s="197"/>
      <c r="AW1550" s="197"/>
    </row>
    <row r="1551" spans="28:49" s="196" customFormat="1">
      <c r="AB1551" s="201"/>
      <c r="AC1551" s="201"/>
      <c r="AD1551" s="197"/>
      <c r="AE1551" s="197"/>
      <c r="AF1551" s="197"/>
      <c r="AG1551" s="197"/>
      <c r="AH1551" s="197"/>
      <c r="AI1551" s="197"/>
      <c r="AJ1551" s="197"/>
      <c r="AK1551" s="197"/>
      <c r="AL1551" s="197"/>
      <c r="AM1551" s="197"/>
      <c r="AN1551" s="197"/>
      <c r="AO1551" s="197"/>
      <c r="AP1551" s="197"/>
      <c r="AQ1551" s="197"/>
      <c r="AR1551" s="197"/>
      <c r="AS1551" s="197"/>
      <c r="AT1551" s="197"/>
      <c r="AU1551" s="197"/>
      <c r="AV1551" s="197"/>
      <c r="AW1551" s="197"/>
    </row>
    <row r="1552" spans="28:49" s="196" customFormat="1">
      <c r="AB1552" s="201"/>
      <c r="AC1552" s="201"/>
      <c r="AD1552" s="197"/>
      <c r="AE1552" s="197"/>
      <c r="AF1552" s="197"/>
      <c r="AG1552" s="197"/>
      <c r="AH1552" s="197"/>
      <c r="AI1552" s="197"/>
      <c r="AJ1552" s="197"/>
      <c r="AK1552" s="197"/>
      <c r="AL1552" s="197"/>
      <c r="AM1552" s="197"/>
      <c r="AN1552" s="197"/>
      <c r="AO1552" s="197"/>
      <c r="AP1552" s="197"/>
      <c r="AQ1552" s="197"/>
      <c r="AR1552" s="197"/>
      <c r="AS1552" s="197"/>
      <c r="AT1552" s="197"/>
      <c r="AU1552" s="197"/>
      <c r="AV1552" s="197"/>
      <c r="AW1552" s="197"/>
    </row>
    <row r="1553" spans="28:49" s="196" customFormat="1">
      <c r="AB1553" s="201"/>
      <c r="AC1553" s="201"/>
      <c r="AD1553" s="197"/>
      <c r="AE1553" s="197"/>
      <c r="AF1553" s="197"/>
      <c r="AG1553" s="197"/>
      <c r="AH1553" s="197"/>
      <c r="AI1553" s="197"/>
      <c r="AJ1553" s="197"/>
      <c r="AK1553" s="197"/>
      <c r="AL1553" s="197"/>
      <c r="AM1553" s="197"/>
      <c r="AN1553" s="197"/>
      <c r="AO1553" s="197"/>
      <c r="AP1553" s="197"/>
      <c r="AQ1553" s="197"/>
      <c r="AR1553" s="197"/>
      <c r="AS1553" s="197"/>
      <c r="AT1553" s="197"/>
      <c r="AU1553" s="197"/>
      <c r="AV1553" s="197"/>
      <c r="AW1553" s="197"/>
    </row>
    <row r="1554" spans="28:49" s="196" customFormat="1">
      <c r="AB1554" s="201"/>
      <c r="AC1554" s="201"/>
      <c r="AD1554" s="197"/>
      <c r="AE1554" s="197"/>
      <c r="AF1554" s="197"/>
      <c r="AG1554" s="197"/>
      <c r="AH1554" s="197"/>
      <c r="AI1554" s="197"/>
      <c r="AJ1554" s="197"/>
      <c r="AK1554" s="197"/>
      <c r="AL1554" s="197"/>
      <c r="AM1554" s="197"/>
      <c r="AN1554" s="197"/>
      <c r="AO1554" s="197"/>
      <c r="AP1554" s="197"/>
      <c r="AQ1554" s="197"/>
      <c r="AR1554" s="197"/>
      <c r="AS1554" s="197"/>
      <c r="AT1554" s="197"/>
      <c r="AU1554" s="197"/>
      <c r="AV1554" s="197"/>
      <c r="AW1554" s="197"/>
    </row>
    <row r="1555" spans="28:49" s="196" customFormat="1">
      <c r="AB1555" s="201"/>
      <c r="AC1555" s="201"/>
      <c r="AD1555" s="197"/>
      <c r="AE1555" s="197"/>
      <c r="AF1555" s="197"/>
      <c r="AG1555" s="197"/>
      <c r="AH1555" s="197"/>
      <c r="AI1555" s="197"/>
      <c r="AJ1555" s="197"/>
      <c r="AK1555" s="197"/>
      <c r="AL1555" s="197"/>
      <c r="AM1555" s="197"/>
      <c r="AN1555" s="197"/>
      <c r="AO1555" s="197"/>
      <c r="AP1555" s="197"/>
      <c r="AQ1555" s="197"/>
      <c r="AR1555" s="197"/>
      <c r="AS1555" s="197"/>
      <c r="AT1555" s="197"/>
      <c r="AU1555" s="197"/>
      <c r="AV1555" s="197"/>
      <c r="AW1555" s="197"/>
    </row>
    <row r="1556" spans="28:49" s="196" customFormat="1">
      <c r="AB1556" s="201"/>
      <c r="AC1556" s="201"/>
      <c r="AD1556" s="197"/>
      <c r="AE1556" s="197"/>
      <c r="AF1556" s="197"/>
      <c r="AG1556" s="197"/>
      <c r="AH1556" s="197"/>
      <c r="AI1556" s="197"/>
      <c r="AJ1556" s="197"/>
      <c r="AK1556" s="197"/>
      <c r="AL1556" s="197"/>
      <c r="AM1556" s="197"/>
      <c r="AN1556" s="197"/>
      <c r="AO1556" s="197"/>
      <c r="AP1556" s="197"/>
      <c r="AQ1556" s="197"/>
      <c r="AR1556" s="197"/>
      <c r="AS1556" s="197"/>
      <c r="AT1556" s="197"/>
      <c r="AU1556" s="197"/>
      <c r="AV1556" s="197"/>
      <c r="AW1556" s="197"/>
    </row>
    <row r="1557" spans="28:49" s="196" customFormat="1">
      <c r="AB1557" s="201"/>
      <c r="AC1557" s="201"/>
      <c r="AD1557" s="197"/>
      <c r="AE1557" s="197"/>
      <c r="AF1557" s="197"/>
      <c r="AG1557" s="197"/>
      <c r="AH1557" s="197"/>
      <c r="AI1557" s="197"/>
      <c r="AJ1557" s="197"/>
      <c r="AK1557" s="197"/>
      <c r="AL1557" s="197"/>
      <c r="AM1557" s="197"/>
      <c r="AN1557" s="197"/>
      <c r="AO1557" s="197"/>
      <c r="AP1557" s="197"/>
      <c r="AQ1557" s="197"/>
      <c r="AR1557" s="197"/>
      <c r="AS1557" s="197"/>
      <c r="AT1557" s="197"/>
      <c r="AU1557" s="197"/>
      <c r="AV1557" s="197"/>
      <c r="AW1557" s="197"/>
    </row>
    <row r="1558" spans="28:49" s="196" customFormat="1">
      <c r="AB1558" s="201"/>
      <c r="AC1558" s="201"/>
      <c r="AD1558" s="197"/>
      <c r="AE1558" s="197"/>
      <c r="AF1558" s="197"/>
      <c r="AG1558" s="197"/>
      <c r="AH1558" s="197"/>
      <c r="AI1558" s="197"/>
      <c r="AJ1558" s="197"/>
      <c r="AK1558" s="197"/>
      <c r="AL1558" s="197"/>
      <c r="AM1558" s="197"/>
      <c r="AN1558" s="197"/>
      <c r="AO1558" s="197"/>
      <c r="AP1558" s="197"/>
      <c r="AQ1558" s="197"/>
      <c r="AR1558" s="197"/>
      <c r="AS1558" s="197"/>
      <c r="AT1558" s="197"/>
      <c r="AU1558" s="197"/>
      <c r="AV1558" s="197"/>
      <c r="AW1558" s="197"/>
    </row>
    <row r="1559" spans="28:49" s="196" customFormat="1">
      <c r="AB1559" s="201"/>
      <c r="AC1559" s="201"/>
      <c r="AD1559" s="197"/>
      <c r="AE1559" s="197"/>
      <c r="AF1559" s="197"/>
      <c r="AG1559" s="197"/>
      <c r="AH1559" s="197"/>
      <c r="AI1559" s="197"/>
      <c r="AJ1559" s="197"/>
      <c r="AK1559" s="197"/>
      <c r="AL1559" s="197"/>
      <c r="AM1559" s="197"/>
      <c r="AN1559" s="197"/>
      <c r="AO1559" s="197"/>
      <c r="AP1559" s="197"/>
      <c r="AQ1559" s="197"/>
      <c r="AR1559" s="197"/>
      <c r="AS1559" s="197"/>
      <c r="AT1559" s="197"/>
      <c r="AU1559" s="197"/>
      <c r="AV1559" s="197"/>
      <c r="AW1559" s="197"/>
    </row>
    <row r="1560" spans="28:49" s="196" customFormat="1">
      <c r="AB1560" s="201"/>
      <c r="AC1560" s="201"/>
      <c r="AD1560" s="197"/>
      <c r="AE1560" s="197"/>
      <c r="AF1560" s="197"/>
      <c r="AG1560" s="197"/>
      <c r="AH1560" s="197"/>
      <c r="AI1560" s="197"/>
      <c r="AJ1560" s="197"/>
      <c r="AK1560" s="197"/>
      <c r="AL1560" s="197"/>
      <c r="AM1560" s="197"/>
      <c r="AN1560" s="197"/>
      <c r="AO1560" s="197"/>
      <c r="AP1560" s="197"/>
      <c r="AQ1560" s="197"/>
      <c r="AR1560" s="197"/>
      <c r="AS1560" s="197"/>
      <c r="AT1560" s="197"/>
      <c r="AU1560" s="197"/>
      <c r="AV1560" s="197"/>
      <c r="AW1560" s="197"/>
    </row>
    <row r="1561" spans="28:49" s="196" customFormat="1">
      <c r="AB1561" s="201"/>
      <c r="AC1561" s="201"/>
      <c r="AD1561" s="197"/>
      <c r="AE1561" s="197"/>
      <c r="AF1561" s="197"/>
      <c r="AG1561" s="197"/>
      <c r="AH1561" s="197"/>
      <c r="AI1561" s="197"/>
      <c r="AJ1561" s="197"/>
      <c r="AK1561" s="197"/>
      <c r="AL1561" s="197"/>
      <c r="AM1561" s="197"/>
      <c r="AN1561" s="197"/>
      <c r="AO1561" s="197"/>
      <c r="AP1561" s="197"/>
      <c r="AQ1561" s="197"/>
      <c r="AR1561" s="197"/>
      <c r="AS1561" s="197"/>
      <c r="AT1561" s="197"/>
      <c r="AU1561" s="197"/>
      <c r="AV1561" s="197"/>
      <c r="AW1561" s="197"/>
    </row>
    <row r="1562" spans="28:49" s="196" customFormat="1">
      <c r="AB1562" s="201"/>
      <c r="AC1562" s="201"/>
      <c r="AD1562" s="197"/>
      <c r="AE1562" s="197"/>
      <c r="AF1562" s="197"/>
      <c r="AG1562" s="197"/>
      <c r="AH1562" s="197"/>
      <c r="AI1562" s="197"/>
      <c r="AJ1562" s="197"/>
      <c r="AK1562" s="197"/>
      <c r="AL1562" s="197"/>
      <c r="AM1562" s="197"/>
      <c r="AN1562" s="197"/>
      <c r="AO1562" s="197"/>
      <c r="AP1562" s="197"/>
      <c r="AQ1562" s="197"/>
      <c r="AR1562" s="197"/>
      <c r="AS1562" s="197"/>
      <c r="AT1562" s="197"/>
      <c r="AU1562" s="197"/>
      <c r="AV1562" s="197"/>
      <c r="AW1562" s="197"/>
    </row>
    <row r="1563" spans="28:49" s="196" customFormat="1">
      <c r="AB1563" s="201"/>
      <c r="AC1563" s="201"/>
      <c r="AD1563" s="197"/>
      <c r="AE1563" s="197"/>
      <c r="AF1563" s="197"/>
      <c r="AG1563" s="197"/>
      <c r="AH1563" s="197"/>
      <c r="AI1563" s="197"/>
      <c r="AJ1563" s="197"/>
      <c r="AK1563" s="197"/>
      <c r="AL1563" s="197"/>
      <c r="AM1563" s="197"/>
      <c r="AN1563" s="197"/>
      <c r="AO1563" s="197"/>
      <c r="AP1563" s="197"/>
      <c r="AQ1563" s="197"/>
      <c r="AR1563" s="197"/>
      <c r="AS1563" s="197"/>
      <c r="AT1563" s="197"/>
      <c r="AU1563" s="197"/>
      <c r="AV1563" s="197"/>
      <c r="AW1563" s="197"/>
    </row>
    <row r="1564" spans="28:49" s="196" customFormat="1">
      <c r="AB1564" s="201"/>
      <c r="AC1564" s="201"/>
      <c r="AD1564" s="197"/>
      <c r="AE1564" s="197"/>
      <c r="AF1564" s="197"/>
      <c r="AG1564" s="197"/>
      <c r="AH1564" s="197"/>
      <c r="AI1564" s="197"/>
      <c r="AJ1564" s="197"/>
      <c r="AK1564" s="197"/>
      <c r="AL1564" s="197"/>
      <c r="AM1564" s="197"/>
      <c r="AN1564" s="197"/>
      <c r="AO1564" s="197"/>
      <c r="AP1564" s="197"/>
      <c r="AQ1564" s="197"/>
      <c r="AR1564" s="197"/>
      <c r="AS1564" s="197"/>
      <c r="AT1564" s="197"/>
      <c r="AU1564" s="197"/>
      <c r="AV1564" s="197"/>
      <c r="AW1564" s="197"/>
    </row>
    <row r="1565" spans="28:49" s="196" customFormat="1">
      <c r="AB1565" s="201"/>
      <c r="AC1565" s="201"/>
      <c r="AD1565" s="197"/>
      <c r="AE1565" s="197"/>
      <c r="AF1565" s="197"/>
      <c r="AG1565" s="197"/>
      <c r="AH1565" s="197"/>
      <c r="AI1565" s="197"/>
      <c r="AJ1565" s="197"/>
      <c r="AK1565" s="197"/>
      <c r="AL1565" s="197"/>
      <c r="AM1565" s="197"/>
      <c r="AN1565" s="197"/>
      <c r="AO1565" s="197"/>
      <c r="AP1565" s="197"/>
      <c r="AQ1565" s="197"/>
      <c r="AR1565" s="197"/>
      <c r="AS1565" s="197"/>
      <c r="AT1565" s="197"/>
      <c r="AU1565" s="197"/>
      <c r="AV1565" s="197"/>
      <c r="AW1565" s="197"/>
    </row>
    <row r="1566" spans="28:49" s="196" customFormat="1">
      <c r="AB1566" s="201"/>
      <c r="AC1566" s="201"/>
      <c r="AD1566" s="197"/>
      <c r="AE1566" s="197"/>
      <c r="AF1566" s="197"/>
      <c r="AG1566" s="197"/>
      <c r="AH1566" s="197"/>
      <c r="AI1566" s="197"/>
      <c r="AJ1566" s="197"/>
      <c r="AK1566" s="197"/>
      <c r="AL1566" s="197"/>
      <c r="AM1566" s="197"/>
      <c r="AN1566" s="197"/>
      <c r="AO1566" s="197"/>
      <c r="AP1566" s="197"/>
      <c r="AQ1566" s="197"/>
      <c r="AR1566" s="197"/>
      <c r="AS1566" s="197"/>
      <c r="AT1566" s="197"/>
      <c r="AU1566" s="197"/>
      <c r="AV1566" s="197"/>
      <c r="AW1566" s="197"/>
    </row>
    <row r="1567" spans="28:49" s="196" customFormat="1">
      <c r="AB1567" s="201"/>
      <c r="AC1567" s="201"/>
      <c r="AD1567" s="197"/>
      <c r="AE1567" s="197"/>
      <c r="AF1567" s="197"/>
      <c r="AG1567" s="197"/>
      <c r="AH1567" s="197"/>
      <c r="AI1567" s="197"/>
      <c r="AJ1567" s="197"/>
      <c r="AK1567" s="197"/>
      <c r="AL1567" s="197"/>
      <c r="AM1567" s="197"/>
      <c r="AN1567" s="197"/>
      <c r="AO1567" s="197"/>
      <c r="AP1567" s="197"/>
      <c r="AQ1567" s="197"/>
      <c r="AR1567" s="197"/>
      <c r="AS1567" s="197"/>
      <c r="AT1567" s="197"/>
      <c r="AU1567" s="197"/>
      <c r="AV1567" s="197"/>
      <c r="AW1567" s="197"/>
    </row>
    <row r="1568" spans="28:49" s="196" customFormat="1">
      <c r="AB1568" s="201"/>
      <c r="AC1568" s="201"/>
      <c r="AD1568" s="197"/>
      <c r="AE1568" s="197"/>
      <c r="AF1568" s="197"/>
      <c r="AG1568" s="197"/>
      <c r="AH1568" s="197"/>
      <c r="AI1568" s="197"/>
      <c r="AJ1568" s="197"/>
      <c r="AK1568" s="197"/>
      <c r="AL1568" s="197"/>
      <c r="AM1568" s="197"/>
      <c r="AN1568" s="197"/>
      <c r="AO1568" s="197"/>
      <c r="AP1568" s="197"/>
      <c r="AQ1568" s="197"/>
      <c r="AR1568" s="197"/>
      <c r="AS1568" s="197"/>
      <c r="AT1568" s="197"/>
      <c r="AU1568" s="197"/>
      <c r="AV1568" s="197"/>
      <c r="AW1568" s="197"/>
    </row>
    <row r="1569" spans="28:49" s="196" customFormat="1">
      <c r="AB1569" s="201"/>
      <c r="AC1569" s="201"/>
      <c r="AD1569" s="197"/>
      <c r="AE1569" s="197"/>
      <c r="AF1569" s="197"/>
      <c r="AG1569" s="197"/>
      <c r="AH1569" s="197"/>
      <c r="AI1569" s="197"/>
      <c r="AJ1569" s="197"/>
      <c r="AK1569" s="197"/>
      <c r="AL1569" s="197"/>
      <c r="AM1569" s="197"/>
      <c r="AN1569" s="197"/>
      <c r="AO1569" s="197"/>
      <c r="AP1569" s="197"/>
      <c r="AQ1569" s="197"/>
      <c r="AR1569" s="197"/>
      <c r="AS1569" s="197"/>
      <c r="AT1569" s="197"/>
      <c r="AU1569" s="197"/>
      <c r="AV1569" s="197"/>
      <c r="AW1569" s="197"/>
    </row>
    <row r="1570" spans="28:49" s="196" customFormat="1">
      <c r="AB1570" s="201"/>
      <c r="AC1570" s="201"/>
      <c r="AD1570" s="197"/>
      <c r="AE1570" s="197"/>
      <c r="AF1570" s="197"/>
      <c r="AG1570" s="197"/>
      <c r="AH1570" s="197"/>
      <c r="AI1570" s="197"/>
      <c r="AJ1570" s="197"/>
      <c r="AK1570" s="197"/>
      <c r="AL1570" s="197"/>
      <c r="AM1570" s="197"/>
      <c r="AN1570" s="197"/>
      <c r="AO1570" s="197"/>
      <c r="AP1570" s="197"/>
      <c r="AQ1570" s="197"/>
      <c r="AR1570" s="197"/>
      <c r="AS1570" s="197"/>
      <c r="AT1570" s="197"/>
      <c r="AU1570" s="197"/>
      <c r="AV1570" s="197"/>
      <c r="AW1570" s="197"/>
    </row>
    <row r="1571" spans="28:49" s="196" customFormat="1">
      <c r="AB1571" s="201"/>
      <c r="AC1571" s="201"/>
      <c r="AD1571" s="197"/>
      <c r="AE1571" s="197"/>
      <c r="AF1571" s="197"/>
      <c r="AG1571" s="197"/>
      <c r="AH1571" s="197"/>
      <c r="AI1571" s="197"/>
      <c r="AJ1571" s="197"/>
      <c r="AK1571" s="197"/>
      <c r="AL1571" s="197"/>
      <c r="AM1571" s="197"/>
      <c r="AN1571" s="197"/>
      <c r="AO1571" s="197"/>
      <c r="AP1571" s="197"/>
      <c r="AQ1571" s="197"/>
      <c r="AR1571" s="197"/>
      <c r="AS1571" s="197"/>
      <c r="AT1571" s="197"/>
      <c r="AU1571" s="197"/>
      <c r="AV1571" s="197"/>
      <c r="AW1571" s="197"/>
    </row>
    <row r="1572" spans="28:49" s="196" customFormat="1">
      <c r="AB1572" s="201"/>
      <c r="AC1572" s="201"/>
      <c r="AD1572" s="197"/>
      <c r="AE1572" s="197"/>
      <c r="AF1572" s="197"/>
      <c r="AG1572" s="197"/>
      <c r="AH1572" s="197"/>
      <c r="AI1572" s="197"/>
      <c r="AJ1572" s="197"/>
      <c r="AK1572" s="197"/>
      <c r="AL1572" s="197"/>
      <c r="AM1572" s="197"/>
      <c r="AN1572" s="197"/>
      <c r="AO1572" s="197"/>
      <c r="AP1572" s="197"/>
      <c r="AQ1572" s="197"/>
      <c r="AR1572" s="197"/>
      <c r="AS1572" s="197"/>
      <c r="AT1572" s="197"/>
      <c r="AU1572" s="197"/>
      <c r="AV1572" s="197"/>
      <c r="AW1572" s="197"/>
    </row>
    <row r="1573" spans="28:49" s="196" customFormat="1">
      <c r="AB1573" s="201"/>
      <c r="AC1573" s="201"/>
      <c r="AD1573" s="197"/>
      <c r="AE1573" s="197"/>
      <c r="AF1573" s="197"/>
      <c r="AG1573" s="197"/>
      <c r="AH1573" s="197"/>
      <c r="AI1573" s="197"/>
      <c r="AJ1573" s="197"/>
      <c r="AK1573" s="197"/>
      <c r="AL1573" s="197"/>
      <c r="AM1573" s="197"/>
      <c r="AN1573" s="197"/>
      <c r="AO1573" s="197"/>
      <c r="AP1573" s="197"/>
      <c r="AQ1573" s="197"/>
      <c r="AR1573" s="197"/>
      <c r="AS1573" s="197"/>
      <c r="AT1573" s="197"/>
      <c r="AU1573" s="197"/>
      <c r="AV1573" s="197"/>
      <c r="AW1573" s="197"/>
    </row>
    <row r="1574" spans="28:49" s="196" customFormat="1">
      <c r="AB1574" s="201"/>
      <c r="AC1574" s="201"/>
      <c r="AD1574" s="197"/>
      <c r="AE1574" s="197"/>
      <c r="AF1574" s="197"/>
      <c r="AG1574" s="197"/>
      <c r="AH1574" s="197"/>
      <c r="AI1574" s="197"/>
      <c r="AJ1574" s="197"/>
      <c r="AK1574" s="197"/>
      <c r="AL1574" s="197"/>
      <c r="AM1574" s="197"/>
      <c r="AN1574" s="197"/>
      <c r="AO1574" s="197"/>
      <c r="AP1574" s="197"/>
      <c r="AQ1574" s="197"/>
      <c r="AR1574" s="197"/>
      <c r="AS1574" s="197"/>
      <c r="AT1574" s="197"/>
      <c r="AU1574" s="197"/>
      <c r="AV1574" s="197"/>
      <c r="AW1574" s="197"/>
    </row>
    <row r="1575" spans="28:49" s="196" customFormat="1">
      <c r="AB1575" s="201"/>
      <c r="AC1575" s="201"/>
      <c r="AD1575" s="197"/>
      <c r="AE1575" s="197"/>
      <c r="AF1575" s="197"/>
      <c r="AG1575" s="197"/>
      <c r="AH1575" s="197"/>
      <c r="AI1575" s="197"/>
      <c r="AJ1575" s="197"/>
      <c r="AK1575" s="197"/>
      <c r="AL1575" s="197"/>
      <c r="AM1575" s="197"/>
      <c r="AN1575" s="197"/>
      <c r="AO1575" s="197"/>
      <c r="AP1575" s="197"/>
      <c r="AQ1575" s="197"/>
      <c r="AR1575" s="197"/>
      <c r="AS1575" s="197"/>
      <c r="AT1575" s="197"/>
      <c r="AU1575" s="197"/>
      <c r="AV1575" s="197"/>
      <c r="AW1575" s="197"/>
    </row>
    <row r="1576" spans="28:49" s="196" customFormat="1">
      <c r="AB1576" s="201"/>
      <c r="AC1576" s="201"/>
      <c r="AD1576" s="197"/>
      <c r="AE1576" s="197"/>
      <c r="AF1576" s="197"/>
      <c r="AG1576" s="197"/>
      <c r="AH1576" s="197"/>
      <c r="AI1576" s="197"/>
      <c r="AJ1576" s="197"/>
      <c r="AK1576" s="197"/>
      <c r="AL1576" s="197"/>
      <c r="AM1576" s="197"/>
      <c r="AN1576" s="197"/>
      <c r="AO1576" s="197"/>
      <c r="AP1576" s="197"/>
      <c r="AQ1576" s="197"/>
      <c r="AR1576" s="197"/>
      <c r="AS1576" s="197"/>
      <c r="AT1576" s="197"/>
      <c r="AU1576" s="197"/>
      <c r="AV1576" s="197"/>
      <c r="AW1576" s="197"/>
    </row>
    <row r="1577" spans="28:49" s="196" customFormat="1">
      <c r="AB1577" s="201"/>
      <c r="AC1577" s="201"/>
      <c r="AD1577" s="197"/>
      <c r="AE1577" s="197"/>
      <c r="AF1577" s="197"/>
      <c r="AG1577" s="197"/>
      <c r="AH1577" s="197"/>
      <c r="AI1577" s="197"/>
      <c r="AJ1577" s="197"/>
      <c r="AK1577" s="197"/>
      <c r="AL1577" s="197"/>
      <c r="AM1577" s="197"/>
      <c r="AN1577" s="197"/>
      <c r="AO1577" s="197"/>
      <c r="AP1577" s="197"/>
      <c r="AQ1577" s="197"/>
      <c r="AR1577" s="197"/>
      <c r="AS1577" s="197"/>
      <c r="AT1577" s="197"/>
      <c r="AU1577" s="197"/>
      <c r="AV1577" s="197"/>
      <c r="AW1577" s="197"/>
    </row>
    <row r="1578" spans="28:49" s="196" customFormat="1">
      <c r="AB1578" s="201"/>
      <c r="AC1578" s="201"/>
      <c r="AD1578" s="197"/>
      <c r="AE1578" s="197"/>
      <c r="AF1578" s="197"/>
      <c r="AG1578" s="197"/>
      <c r="AH1578" s="197"/>
      <c r="AI1578" s="197"/>
      <c r="AJ1578" s="197"/>
      <c r="AK1578" s="197"/>
      <c r="AL1578" s="197"/>
      <c r="AM1578" s="197"/>
      <c r="AN1578" s="197"/>
      <c r="AO1578" s="197"/>
      <c r="AP1578" s="197"/>
      <c r="AQ1578" s="197"/>
      <c r="AR1578" s="197"/>
      <c r="AS1578" s="197"/>
      <c r="AT1578" s="197"/>
      <c r="AU1578" s="197"/>
      <c r="AV1578" s="197"/>
      <c r="AW1578" s="197"/>
    </row>
    <row r="1579" spans="28:49" s="196" customFormat="1">
      <c r="AB1579" s="201"/>
      <c r="AC1579" s="201"/>
      <c r="AD1579" s="197"/>
      <c r="AE1579" s="197"/>
      <c r="AF1579" s="197"/>
      <c r="AG1579" s="197"/>
      <c r="AH1579" s="197"/>
      <c r="AI1579" s="197"/>
      <c r="AJ1579" s="197"/>
      <c r="AK1579" s="197"/>
      <c r="AL1579" s="197"/>
      <c r="AM1579" s="197"/>
      <c r="AN1579" s="197"/>
      <c r="AO1579" s="197"/>
      <c r="AP1579" s="197"/>
      <c r="AQ1579" s="197"/>
      <c r="AR1579" s="197"/>
      <c r="AS1579" s="197"/>
      <c r="AT1579" s="197"/>
      <c r="AU1579" s="197"/>
      <c r="AV1579" s="197"/>
      <c r="AW1579" s="197"/>
    </row>
    <row r="1580" spans="28:49" s="196" customFormat="1">
      <c r="AB1580" s="201"/>
      <c r="AC1580" s="201"/>
      <c r="AD1580" s="197"/>
      <c r="AE1580" s="197"/>
      <c r="AF1580" s="197"/>
      <c r="AG1580" s="197"/>
      <c r="AH1580" s="197"/>
      <c r="AI1580" s="197"/>
      <c r="AJ1580" s="197"/>
      <c r="AK1580" s="197"/>
      <c r="AL1580" s="197"/>
      <c r="AM1580" s="197"/>
      <c r="AN1580" s="197"/>
      <c r="AO1580" s="197"/>
      <c r="AP1580" s="197"/>
      <c r="AQ1580" s="197"/>
      <c r="AR1580" s="197"/>
      <c r="AS1580" s="197"/>
      <c r="AT1580" s="197"/>
      <c r="AU1580" s="197"/>
      <c r="AV1580" s="197"/>
      <c r="AW1580" s="197"/>
    </row>
    <row r="1581" spans="28:49" s="196" customFormat="1">
      <c r="AB1581" s="201"/>
      <c r="AC1581" s="201"/>
      <c r="AD1581" s="197"/>
      <c r="AE1581" s="197"/>
      <c r="AF1581" s="197"/>
      <c r="AG1581" s="197"/>
      <c r="AH1581" s="197"/>
      <c r="AI1581" s="197"/>
      <c r="AJ1581" s="197"/>
      <c r="AK1581" s="197"/>
      <c r="AL1581" s="197"/>
      <c r="AM1581" s="197"/>
      <c r="AN1581" s="197"/>
      <c r="AO1581" s="197"/>
      <c r="AP1581" s="197"/>
      <c r="AQ1581" s="197"/>
      <c r="AR1581" s="197"/>
      <c r="AS1581" s="197"/>
      <c r="AT1581" s="197"/>
      <c r="AU1581" s="197"/>
      <c r="AV1581" s="197"/>
      <c r="AW1581" s="197"/>
    </row>
    <row r="1582" spans="28:49" s="196" customFormat="1">
      <c r="AB1582" s="201"/>
      <c r="AC1582" s="201"/>
      <c r="AD1582" s="197"/>
      <c r="AE1582" s="197"/>
      <c r="AF1582" s="197"/>
      <c r="AG1582" s="197"/>
      <c r="AH1582" s="197"/>
      <c r="AI1582" s="197"/>
      <c r="AJ1582" s="197"/>
      <c r="AK1582" s="197"/>
      <c r="AL1582" s="197"/>
      <c r="AM1582" s="197"/>
      <c r="AN1582" s="197"/>
      <c r="AO1582" s="197"/>
      <c r="AP1582" s="197"/>
      <c r="AQ1582" s="197"/>
      <c r="AR1582" s="197"/>
      <c r="AS1582" s="197"/>
      <c r="AT1582" s="197"/>
      <c r="AU1582" s="197"/>
      <c r="AV1582" s="197"/>
      <c r="AW1582" s="197"/>
    </row>
    <row r="1583" spans="28:49" s="196" customFormat="1">
      <c r="AB1583" s="201"/>
      <c r="AC1583" s="201"/>
      <c r="AD1583" s="197"/>
      <c r="AE1583" s="197"/>
      <c r="AF1583" s="197"/>
      <c r="AG1583" s="197"/>
      <c r="AH1583" s="197"/>
      <c r="AI1583" s="197"/>
      <c r="AJ1583" s="197"/>
      <c r="AK1583" s="197"/>
      <c r="AL1583" s="197"/>
      <c r="AM1583" s="197"/>
      <c r="AN1583" s="197"/>
      <c r="AO1583" s="197"/>
      <c r="AP1583" s="197"/>
      <c r="AQ1583" s="197"/>
      <c r="AR1583" s="197"/>
      <c r="AS1583" s="197"/>
      <c r="AT1583" s="197"/>
      <c r="AU1583" s="197"/>
      <c r="AV1583" s="197"/>
      <c r="AW1583" s="197"/>
    </row>
    <row r="1584" spans="28:49" s="196" customFormat="1">
      <c r="AB1584" s="201"/>
      <c r="AC1584" s="201"/>
      <c r="AD1584" s="197"/>
      <c r="AE1584" s="197"/>
      <c r="AF1584" s="197"/>
      <c r="AG1584" s="197"/>
      <c r="AH1584" s="197"/>
      <c r="AI1584" s="197"/>
      <c r="AJ1584" s="197"/>
      <c r="AK1584" s="197"/>
      <c r="AL1584" s="197"/>
      <c r="AM1584" s="197"/>
      <c r="AN1584" s="197"/>
      <c r="AO1584" s="197"/>
      <c r="AP1584" s="197"/>
      <c r="AQ1584" s="197"/>
      <c r="AR1584" s="197"/>
      <c r="AS1584" s="197"/>
      <c r="AT1584" s="197"/>
      <c r="AU1584" s="197"/>
      <c r="AV1584" s="197"/>
      <c r="AW1584" s="197"/>
    </row>
    <row r="1585" spans="28:49" s="196" customFormat="1">
      <c r="AB1585" s="201"/>
      <c r="AC1585" s="201"/>
      <c r="AD1585" s="197"/>
      <c r="AE1585" s="197"/>
      <c r="AF1585" s="197"/>
      <c r="AG1585" s="197"/>
      <c r="AH1585" s="197"/>
      <c r="AI1585" s="197"/>
      <c r="AJ1585" s="197"/>
      <c r="AK1585" s="197"/>
      <c r="AL1585" s="197"/>
      <c r="AM1585" s="197"/>
      <c r="AN1585" s="197"/>
      <c r="AO1585" s="197"/>
      <c r="AP1585" s="197"/>
      <c r="AQ1585" s="197"/>
      <c r="AR1585" s="197"/>
      <c r="AS1585" s="197"/>
      <c r="AT1585" s="197"/>
      <c r="AU1585" s="197"/>
      <c r="AV1585" s="197"/>
      <c r="AW1585" s="197"/>
    </row>
    <row r="1586" spans="28:49" s="196" customFormat="1">
      <c r="AB1586" s="201"/>
      <c r="AC1586" s="201"/>
      <c r="AD1586" s="197"/>
      <c r="AE1586" s="197"/>
      <c r="AF1586" s="197"/>
      <c r="AG1586" s="197"/>
      <c r="AH1586" s="197"/>
      <c r="AI1586" s="197"/>
      <c r="AJ1586" s="197"/>
      <c r="AK1586" s="197"/>
      <c r="AL1586" s="197"/>
      <c r="AM1586" s="197"/>
      <c r="AN1586" s="197"/>
      <c r="AO1586" s="197"/>
      <c r="AP1586" s="197"/>
      <c r="AQ1586" s="197"/>
      <c r="AR1586" s="197"/>
      <c r="AS1586" s="197"/>
      <c r="AT1586" s="197"/>
      <c r="AU1586" s="197"/>
      <c r="AV1586" s="197"/>
      <c r="AW1586" s="197"/>
    </row>
    <row r="1587" spans="28:49" s="196" customFormat="1">
      <c r="AB1587" s="201"/>
      <c r="AC1587" s="201"/>
      <c r="AD1587" s="197"/>
      <c r="AE1587" s="197"/>
      <c r="AF1587" s="197"/>
      <c r="AG1587" s="197"/>
      <c r="AH1587" s="197"/>
      <c r="AI1587" s="197"/>
      <c r="AJ1587" s="197"/>
      <c r="AK1587" s="197"/>
      <c r="AL1587" s="197"/>
      <c r="AM1587" s="197"/>
      <c r="AN1587" s="197"/>
      <c r="AO1587" s="197"/>
      <c r="AP1587" s="197"/>
      <c r="AQ1587" s="197"/>
      <c r="AR1587" s="197"/>
      <c r="AS1587" s="197"/>
      <c r="AT1587" s="197"/>
      <c r="AU1587" s="197"/>
      <c r="AV1587" s="197"/>
      <c r="AW1587" s="197"/>
    </row>
    <row r="1588" spans="28:49" s="196" customFormat="1">
      <c r="AB1588" s="201"/>
      <c r="AC1588" s="201"/>
      <c r="AD1588" s="197"/>
      <c r="AE1588" s="197"/>
      <c r="AF1588" s="197"/>
      <c r="AG1588" s="197"/>
      <c r="AH1588" s="197"/>
      <c r="AI1588" s="197"/>
      <c r="AJ1588" s="197"/>
      <c r="AK1588" s="197"/>
      <c r="AL1588" s="197"/>
      <c r="AM1588" s="197"/>
      <c r="AN1588" s="197"/>
      <c r="AO1588" s="197"/>
      <c r="AP1588" s="197"/>
      <c r="AQ1588" s="197"/>
      <c r="AR1588" s="197"/>
      <c r="AS1588" s="197"/>
      <c r="AT1588" s="197"/>
      <c r="AU1588" s="197"/>
      <c r="AV1588" s="197"/>
      <c r="AW1588" s="197"/>
    </row>
    <row r="1589" spans="28:49" s="196" customFormat="1">
      <c r="AB1589" s="201"/>
      <c r="AC1589" s="201"/>
      <c r="AD1589" s="197"/>
      <c r="AE1589" s="197"/>
      <c r="AF1589" s="197"/>
      <c r="AG1589" s="197"/>
      <c r="AH1589" s="197"/>
      <c r="AI1589" s="197"/>
      <c r="AJ1589" s="197"/>
      <c r="AK1589" s="197"/>
      <c r="AL1589" s="197"/>
      <c r="AM1589" s="197"/>
      <c r="AN1589" s="197"/>
      <c r="AO1589" s="197"/>
      <c r="AP1589" s="197"/>
      <c r="AQ1589" s="197"/>
      <c r="AR1589" s="197"/>
      <c r="AS1589" s="197"/>
      <c r="AT1589" s="197"/>
      <c r="AU1589" s="197"/>
      <c r="AV1589" s="197"/>
      <c r="AW1589" s="197"/>
    </row>
    <row r="1590" spans="28:49" s="196" customFormat="1">
      <c r="AB1590" s="201"/>
      <c r="AC1590" s="201"/>
      <c r="AD1590" s="197"/>
      <c r="AE1590" s="197"/>
      <c r="AF1590" s="197"/>
      <c r="AG1590" s="197"/>
      <c r="AH1590" s="197"/>
      <c r="AI1590" s="197"/>
      <c r="AJ1590" s="197"/>
      <c r="AK1590" s="197"/>
      <c r="AL1590" s="197"/>
      <c r="AM1590" s="197"/>
      <c r="AN1590" s="197"/>
      <c r="AO1590" s="197"/>
      <c r="AP1590" s="197"/>
      <c r="AQ1590" s="197"/>
      <c r="AR1590" s="197"/>
      <c r="AS1590" s="197"/>
      <c r="AT1590" s="197"/>
      <c r="AU1590" s="197"/>
      <c r="AV1590" s="197"/>
      <c r="AW1590" s="197"/>
    </row>
    <row r="1591" spans="28:49" s="196" customFormat="1">
      <c r="AB1591" s="201"/>
      <c r="AC1591" s="201"/>
      <c r="AD1591" s="197"/>
      <c r="AE1591" s="197"/>
      <c r="AF1591" s="197"/>
      <c r="AG1591" s="197"/>
      <c r="AH1591" s="197"/>
      <c r="AI1591" s="197"/>
      <c r="AJ1591" s="197"/>
      <c r="AK1591" s="197"/>
      <c r="AL1591" s="197"/>
      <c r="AM1591" s="197"/>
      <c r="AN1591" s="197"/>
      <c r="AO1591" s="197"/>
      <c r="AP1591" s="197"/>
      <c r="AQ1591" s="197"/>
      <c r="AR1591" s="197"/>
      <c r="AS1591" s="197"/>
      <c r="AT1591" s="197"/>
      <c r="AU1591" s="197"/>
      <c r="AV1591" s="197"/>
      <c r="AW1591" s="197"/>
    </row>
    <row r="1592" spans="28:49" s="196" customFormat="1">
      <c r="AB1592" s="201"/>
      <c r="AC1592" s="201"/>
      <c r="AD1592" s="197"/>
      <c r="AE1592" s="197"/>
      <c r="AF1592" s="197"/>
      <c r="AG1592" s="197"/>
      <c r="AH1592" s="197"/>
      <c r="AI1592" s="197"/>
      <c r="AJ1592" s="197"/>
      <c r="AK1592" s="197"/>
      <c r="AL1592" s="197"/>
      <c r="AM1592" s="197"/>
      <c r="AN1592" s="197"/>
      <c r="AO1592" s="197"/>
      <c r="AP1592" s="197"/>
      <c r="AQ1592" s="197"/>
      <c r="AR1592" s="197"/>
      <c r="AS1592" s="197"/>
      <c r="AT1592" s="197"/>
      <c r="AU1592" s="197"/>
      <c r="AV1592" s="197"/>
      <c r="AW1592" s="197"/>
    </row>
    <row r="1593" spans="28:49" s="196" customFormat="1">
      <c r="AB1593" s="201"/>
      <c r="AC1593" s="201"/>
      <c r="AD1593" s="197"/>
      <c r="AE1593" s="197"/>
      <c r="AF1593" s="197"/>
      <c r="AG1593" s="197"/>
      <c r="AH1593" s="197"/>
      <c r="AI1593" s="197"/>
      <c r="AJ1593" s="197"/>
      <c r="AK1593" s="197"/>
      <c r="AL1593" s="197"/>
      <c r="AM1593" s="197"/>
      <c r="AN1593" s="197"/>
      <c r="AO1593" s="197"/>
      <c r="AP1593" s="197"/>
      <c r="AQ1593" s="197"/>
      <c r="AR1593" s="197"/>
      <c r="AS1593" s="197"/>
      <c r="AT1593" s="197"/>
      <c r="AU1593" s="197"/>
      <c r="AV1593" s="197"/>
      <c r="AW1593" s="197"/>
    </row>
    <row r="1594" spans="28:49" s="196" customFormat="1">
      <c r="AB1594" s="201"/>
      <c r="AC1594" s="201"/>
      <c r="AD1594" s="197"/>
      <c r="AE1594" s="197"/>
      <c r="AF1594" s="197"/>
      <c r="AG1594" s="197"/>
      <c r="AH1594" s="197"/>
      <c r="AI1594" s="197"/>
      <c r="AJ1594" s="197"/>
      <c r="AK1594" s="197"/>
      <c r="AL1594" s="197"/>
      <c r="AM1594" s="197"/>
      <c r="AN1594" s="197"/>
      <c r="AO1594" s="197"/>
      <c r="AP1594" s="197"/>
      <c r="AQ1594" s="197"/>
      <c r="AR1594" s="197"/>
      <c r="AS1594" s="197"/>
      <c r="AT1594" s="197"/>
      <c r="AU1594" s="197"/>
      <c r="AV1594" s="197"/>
      <c r="AW1594" s="197"/>
    </row>
    <row r="1595" spans="28:49" s="196" customFormat="1">
      <c r="AB1595" s="201"/>
      <c r="AC1595" s="201"/>
      <c r="AD1595" s="197"/>
      <c r="AE1595" s="197"/>
      <c r="AF1595" s="197"/>
      <c r="AG1595" s="197"/>
      <c r="AH1595" s="197"/>
      <c r="AI1595" s="197"/>
      <c r="AJ1595" s="197"/>
      <c r="AK1595" s="197"/>
      <c r="AL1595" s="197"/>
      <c r="AM1595" s="197"/>
      <c r="AN1595" s="197"/>
      <c r="AO1595" s="197"/>
      <c r="AP1595" s="197"/>
      <c r="AQ1595" s="197"/>
      <c r="AR1595" s="197"/>
      <c r="AS1595" s="197"/>
      <c r="AT1595" s="197"/>
      <c r="AU1595" s="197"/>
      <c r="AV1595" s="197"/>
      <c r="AW1595" s="197"/>
    </row>
    <row r="1596" spans="28:49" s="196" customFormat="1">
      <c r="AB1596" s="201"/>
      <c r="AC1596" s="201"/>
      <c r="AD1596" s="197"/>
      <c r="AE1596" s="197"/>
      <c r="AF1596" s="197"/>
      <c r="AG1596" s="197"/>
      <c r="AH1596" s="197"/>
      <c r="AI1596" s="197"/>
      <c r="AJ1596" s="197"/>
      <c r="AK1596" s="197"/>
      <c r="AL1596" s="197"/>
      <c r="AM1596" s="197"/>
      <c r="AN1596" s="197"/>
      <c r="AO1596" s="197"/>
      <c r="AP1596" s="197"/>
      <c r="AQ1596" s="197"/>
      <c r="AR1596" s="197"/>
      <c r="AS1596" s="197"/>
      <c r="AT1596" s="197"/>
      <c r="AU1596" s="197"/>
      <c r="AV1596" s="197"/>
      <c r="AW1596" s="197"/>
    </row>
    <row r="1597" spans="28:49" s="196" customFormat="1">
      <c r="AB1597" s="201"/>
      <c r="AC1597" s="201"/>
      <c r="AD1597" s="197"/>
      <c r="AE1597" s="197"/>
      <c r="AF1597" s="197"/>
      <c r="AG1597" s="197"/>
      <c r="AH1597" s="197"/>
      <c r="AI1597" s="197"/>
      <c r="AJ1597" s="197"/>
      <c r="AK1597" s="197"/>
      <c r="AL1597" s="197"/>
      <c r="AM1597" s="197"/>
      <c r="AN1597" s="197"/>
      <c r="AO1597" s="197"/>
      <c r="AP1597" s="197"/>
      <c r="AQ1597" s="197"/>
      <c r="AR1597" s="197"/>
      <c r="AS1597" s="197"/>
      <c r="AT1597" s="197"/>
      <c r="AU1597" s="197"/>
      <c r="AV1597" s="197"/>
      <c r="AW1597" s="197"/>
    </row>
    <row r="1598" spans="28:49" s="196" customFormat="1">
      <c r="AB1598" s="201"/>
      <c r="AC1598" s="201"/>
      <c r="AD1598" s="197"/>
      <c r="AE1598" s="197"/>
      <c r="AF1598" s="197"/>
      <c r="AG1598" s="197"/>
      <c r="AH1598" s="197"/>
      <c r="AI1598" s="197"/>
      <c r="AJ1598" s="197"/>
      <c r="AK1598" s="197"/>
      <c r="AL1598" s="197"/>
      <c r="AM1598" s="197"/>
      <c r="AN1598" s="197"/>
      <c r="AO1598" s="197"/>
      <c r="AP1598" s="197"/>
      <c r="AQ1598" s="197"/>
      <c r="AR1598" s="197"/>
      <c r="AS1598" s="197"/>
      <c r="AT1598" s="197"/>
      <c r="AU1598" s="197"/>
      <c r="AV1598" s="197"/>
      <c r="AW1598" s="197"/>
    </row>
    <row r="1599" spans="28:49" s="196" customFormat="1">
      <c r="AB1599" s="201"/>
      <c r="AC1599" s="201"/>
      <c r="AD1599" s="197"/>
      <c r="AE1599" s="197"/>
      <c r="AF1599" s="197"/>
      <c r="AG1599" s="197"/>
      <c r="AH1599" s="197"/>
      <c r="AI1599" s="197"/>
      <c r="AJ1599" s="197"/>
      <c r="AK1599" s="197"/>
      <c r="AL1599" s="197"/>
      <c r="AM1599" s="197"/>
      <c r="AN1599" s="197"/>
      <c r="AO1599" s="197"/>
      <c r="AP1599" s="197"/>
      <c r="AQ1599" s="197"/>
      <c r="AR1599" s="197"/>
      <c r="AS1599" s="197"/>
      <c r="AT1599" s="197"/>
      <c r="AU1599" s="197"/>
      <c r="AV1599" s="197"/>
      <c r="AW1599" s="197"/>
    </row>
    <row r="1600" spans="28:49" s="196" customFormat="1">
      <c r="AB1600" s="201"/>
      <c r="AC1600" s="201"/>
      <c r="AD1600" s="197"/>
      <c r="AE1600" s="197"/>
      <c r="AF1600" s="197"/>
      <c r="AG1600" s="197"/>
      <c r="AH1600" s="197"/>
      <c r="AI1600" s="197"/>
      <c r="AJ1600" s="197"/>
      <c r="AK1600" s="197"/>
      <c r="AL1600" s="197"/>
      <c r="AM1600" s="197"/>
      <c r="AN1600" s="197"/>
      <c r="AO1600" s="197"/>
      <c r="AP1600" s="197"/>
      <c r="AQ1600" s="197"/>
      <c r="AR1600" s="197"/>
      <c r="AS1600" s="197"/>
      <c r="AT1600" s="197"/>
      <c r="AU1600" s="197"/>
      <c r="AV1600" s="197"/>
      <c r="AW1600" s="197"/>
    </row>
    <row r="1601" spans="28:49" s="196" customFormat="1">
      <c r="AB1601" s="201"/>
      <c r="AC1601" s="201"/>
      <c r="AD1601" s="197"/>
      <c r="AE1601" s="197"/>
      <c r="AF1601" s="197"/>
      <c r="AG1601" s="197"/>
      <c r="AH1601" s="197"/>
      <c r="AI1601" s="197"/>
      <c r="AJ1601" s="197"/>
      <c r="AK1601" s="197"/>
      <c r="AL1601" s="197"/>
      <c r="AM1601" s="197"/>
      <c r="AN1601" s="197"/>
      <c r="AO1601" s="197"/>
      <c r="AP1601" s="197"/>
      <c r="AQ1601" s="197"/>
      <c r="AR1601" s="197"/>
      <c r="AS1601" s="197"/>
      <c r="AT1601" s="197"/>
      <c r="AU1601" s="197"/>
      <c r="AV1601" s="197"/>
      <c r="AW1601" s="197"/>
    </row>
    <row r="1602" spans="28:49" s="196" customFormat="1">
      <c r="AB1602" s="201"/>
      <c r="AC1602" s="201"/>
      <c r="AD1602" s="197"/>
      <c r="AE1602" s="197"/>
      <c r="AF1602" s="197"/>
      <c r="AG1602" s="197"/>
      <c r="AH1602" s="197"/>
      <c r="AI1602" s="197"/>
      <c r="AJ1602" s="197"/>
      <c r="AK1602" s="197"/>
      <c r="AL1602" s="197"/>
      <c r="AM1602" s="197"/>
      <c r="AN1602" s="197"/>
      <c r="AO1602" s="197"/>
      <c r="AP1602" s="197"/>
      <c r="AQ1602" s="197"/>
      <c r="AR1602" s="197"/>
      <c r="AS1602" s="197"/>
      <c r="AT1602" s="197"/>
      <c r="AU1602" s="197"/>
      <c r="AV1602" s="197"/>
      <c r="AW1602" s="197"/>
    </row>
    <row r="1603" spans="28:49" s="196" customFormat="1">
      <c r="AB1603" s="201"/>
      <c r="AC1603" s="201"/>
      <c r="AD1603" s="197"/>
      <c r="AE1603" s="197"/>
      <c r="AF1603" s="197"/>
      <c r="AG1603" s="197"/>
      <c r="AH1603" s="197"/>
      <c r="AI1603" s="197"/>
      <c r="AJ1603" s="197"/>
      <c r="AK1603" s="197"/>
      <c r="AL1603" s="197"/>
      <c r="AM1603" s="197"/>
      <c r="AN1603" s="197"/>
      <c r="AO1603" s="197"/>
      <c r="AP1603" s="197"/>
      <c r="AQ1603" s="197"/>
      <c r="AR1603" s="197"/>
      <c r="AS1603" s="197"/>
      <c r="AT1603" s="197"/>
      <c r="AU1603" s="197"/>
      <c r="AV1603" s="197"/>
      <c r="AW1603" s="197"/>
    </row>
    <row r="1604" spans="28:49" s="196" customFormat="1">
      <c r="AB1604" s="201"/>
      <c r="AC1604" s="201"/>
      <c r="AD1604" s="197"/>
      <c r="AE1604" s="197"/>
      <c r="AF1604" s="197"/>
      <c r="AG1604" s="197"/>
      <c r="AH1604" s="197"/>
      <c r="AI1604" s="197"/>
      <c r="AJ1604" s="197"/>
      <c r="AK1604" s="197"/>
      <c r="AL1604" s="197"/>
      <c r="AM1604" s="197"/>
      <c r="AN1604" s="197"/>
      <c r="AO1604" s="197"/>
      <c r="AP1604" s="197"/>
      <c r="AQ1604" s="197"/>
      <c r="AR1604" s="197"/>
      <c r="AS1604" s="197"/>
      <c r="AT1604" s="197"/>
      <c r="AU1604" s="197"/>
      <c r="AV1604" s="197"/>
      <c r="AW1604" s="197"/>
    </row>
    <row r="1605" spans="28:49" s="196" customFormat="1">
      <c r="AB1605" s="201"/>
      <c r="AC1605" s="201"/>
      <c r="AD1605" s="197"/>
      <c r="AE1605" s="197"/>
      <c r="AF1605" s="197"/>
      <c r="AG1605" s="197"/>
      <c r="AH1605" s="197"/>
      <c r="AI1605" s="197"/>
      <c r="AJ1605" s="197"/>
      <c r="AK1605" s="197"/>
      <c r="AL1605" s="197"/>
      <c r="AM1605" s="197"/>
      <c r="AN1605" s="197"/>
      <c r="AO1605" s="197"/>
      <c r="AP1605" s="197"/>
      <c r="AQ1605" s="197"/>
      <c r="AR1605" s="197"/>
      <c r="AS1605" s="197"/>
      <c r="AT1605" s="197"/>
      <c r="AU1605" s="197"/>
      <c r="AV1605" s="197"/>
      <c r="AW1605" s="197"/>
    </row>
    <row r="1606" spans="28:49" s="196" customFormat="1">
      <c r="AB1606" s="201"/>
      <c r="AC1606" s="201"/>
      <c r="AD1606" s="197"/>
      <c r="AE1606" s="197"/>
      <c r="AF1606" s="197"/>
      <c r="AG1606" s="197"/>
      <c r="AH1606" s="197"/>
      <c r="AI1606" s="197"/>
      <c r="AJ1606" s="197"/>
      <c r="AK1606" s="197"/>
      <c r="AL1606" s="197"/>
      <c r="AM1606" s="197"/>
      <c r="AN1606" s="197"/>
      <c r="AO1606" s="197"/>
      <c r="AP1606" s="197"/>
      <c r="AQ1606" s="197"/>
      <c r="AR1606" s="197"/>
      <c r="AS1606" s="197"/>
      <c r="AT1606" s="197"/>
      <c r="AU1606" s="197"/>
      <c r="AV1606" s="197"/>
      <c r="AW1606" s="197"/>
    </row>
    <row r="1607" spans="28:49" s="196" customFormat="1">
      <c r="AB1607" s="201"/>
      <c r="AC1607" s="201"/>
      <c r="AD1607" s="197"/>
      <c r="AE1607" s="197"/>
      <c r="AF1607" s="197"/>
      <c r="AG1607" s="197"/>
      <c r="AH1607" s="197"/>
      <c r="AI1607" s="197"/>
      <c r="AJ1607" s="197"/>
      <c r="AK1607" s="197"/>
      <c r="AL1607" s="197"/>
      <c r="AM1607" s="197"/>
      <c r="AN1607" s="197"/>
      <c r="AO1607" s="197"/>
      <c r="AP1607" s="197"/>
      <c r="AQ1607" s="197"/>
      <c r="AR1607" s="197"/>
      <c r="AS1607" s="197"/>
      <c r="AT1607" s="197"/>
      <c r="AU1607" s="197"/>
      <c r="AV1607" s="197"/>
      <c r="AW1607" s="197"/>
    </row>
    <row r="1608" spans="28:49" s="196" customFormat="1">
      <c r="AB1608" s="201"/>
      <c r="AC1608" s="201"/>
      <c r="AD1608" s="197"/>
      <c r="AE1608" s="197"/>
      <c r="AF1608" s="197"/>
      <c r="AG1608" s="197"/>
      <c r="AH1608" s="197"/>
      <c r="AI1608" s="197"/>
      <c r="AJ1608" s="197"/>
      <c r="AK1608" s="197"/>
      <c r="AL1608" s="197"/>
      <c r="AM1608" s="197"/>
      <c r="AN1608" s="197"/>
      <c r="AO1608" s="197"/>
      <c r="AP1608" s="197"/>
      <c r="AQ1608" s="197"/>
      <c r="AR1608" s="197"/>
      <c r="AS1608" s="197"/>
      <c r="AT1608" s="197"/>
      <c r="AU1608" s="197"/>
      <c r="AV1608" s="197"/>
      <c r="AW1608" s="197"/>
    </row>
    <row r="1609" spans="28:49" s="196" customFormat="1">
      <c r="AB1609" s="201"/>
      <c r="AC1609" s="201"/>
      <c r="AD1609" s="197"/>
      <c r="AE1609" s="197"/>
      <c r="AF1609" s="197"/>
      <c r="AG1609" s="197"/>
      <c r="AH1609" s="197"/>
      <c r="AI1609" s="197"/>
      <c r="AJ1609" s="197"/>
      <c r="AK1609" s="197"/>
      <c r="AL1609" s="197"/>
      <c r="AM1609" s="197"/>
      <c r="AN1609" s="197"/>
      <c r="AO1609" s="197"/>
      <c r="AP1609" s="197"/>
      <c r="AQ1609" s="197"/>
      <c r="AR1609" s="197"/>
      <c r="AS1609" s="197"/>
      <c r="AT1609" s="197"/>
      <c r="AU1609" s="197"/>
      <c r="AV1609" s="197"/>
      <c r="AW1609" s="197"/>
    </row>
    <row r="1610" spans="28:49" s="196" customFormat="1">
      <c r="AB1610" s="201"/>
      <c r="AC1610" s="201"/>
      <c r="AD1610" s="197"/>
      <c r="AE1610" s="197"/>
      <c r="AF1610" s="197"/>
      <c r="AG1610" s="197"/>
      <c r="AH1610" s="197"/>
      <c r="AI1610" s="197"/>
      <c r="AJ1610" s="197"/>
      <c r="AK1610" s="197"/>
      <c r="AL1610" s="197"/>
      <c r="AM1610" s="197"/>
      <c r="AN1610" s="197"/>
      <c r="AO1610" s="197"/>
      <c r="AP1610" s="197"/>
      <c r="AQ1610" s="197"/>
      <c r="AR1610" s="197"/>
      <c r="AS1610" s="197"/>
      <c r="AT1610" s="197"/>
      <c r="AU1610" s="197"/>
      <c r="AV1610" s="197"/>
      <c r="AW1610" s="197"/>
    </row>
    <row r="1611" spans="28:49" s="196" customFormat="1">
      <c r="AB1611" s="201"/>
      <c r="AC1611" s="201"/>
      <c r="AD1611" s="197"/>
      <c r="AE1611" s="197"/>
      <c r="AF1611" s="197"/>
      <c r="AG1611" s="197"/>
      <c r="AH1611" s="197"/>
      <c r="AI1611" s="197"/>
      <c r="AJ1611" s="197"/>
      <c r="AK1611" s="197"/>
      <c r="AL1611" s="197"/>
      <c r="AM1611" s="197"/>
      <c r="AN1611" s="197"/>
      <c r="AO1611" s="197"/>
      <c r="AP1611" s="197"/>
      <c r="AQ1611" s="197"/>
      <c r="AR1611" s="197"/>
      <c r="AS1611" s="197"/>
      <c r="AT1611" s="197"/>
      <c r="AU1611" s="197"/>
      <c r="AV1611" s="197"/>
      <c r="AW1611" s="197"/>
    </row>
    <row r="1612" spans="28:49" s="196" customFormat="1">
      <c r="AB1612" s="201"/>
      <c r="AC1612" s="201"/>
      <c r="AD1612" s="197"/>
      <c r="AE1612" s="197"/>
      <c r="AF1612" s="197"/>
      <c r="AG1612" s="197"/>
      <c r="AH1612" s="197"/>
      <c r="AI1612" s="197"/>
      <c r="AJ1612" s="197"/>
      <c r="AK1612" s="197"/>
      <c r="AL1612" s="197"/>
      <c r="AM1612" s="197"/>
      <c r="AN1612" s="197"/>
      <c r="AO1612" s="197"/>
      <c r="AP1612" s="197"/>
      <c r="AQ1612" s="197"/>
      <c r="AR1612" s="197"/>
      <c r="AS1612" s="197"/>
      <c r="AT1612" s="197"/>
      <c r="AU1612" s="197"/>
      <c r="AV1612" s="197"/>
      <c r="AW1612" s="197"/>
    </row>
    <row r="1613" spans="28:49" s="196" customFormat="1">
      <c r="AB1613" s="201"/>
      <c r="AC1613" s="201"/>
      <c r="AD1613" s="197"/>
      <c r="AE1613" s="197"/>
      <c r="AF1613" s="197"/>
      <c r="AG1613" s="197"/>
      <c r="AH1613" s="197"/>
      <c r="AI1613" s="197"/>
      <c r="AJ1613" s="197"/>
      <c r="AK1613" s="197"/>
      <c r="AL1613" s="197"/>
      <c r="AM1613" s="197"/>
      <c r="AN1613" s="197"/>
      <c r="AO1613" s="197"/>
      <c r="AP1613" s="197"/>
      <c r="AQ1613" s="197"/>
      <c r="AR1613" s="197"/>
      <c r="AS1613" s="197"/>
      <c r="AT1613" s="197"/>
      <c r="AU1613" s="197"/>
      <c r="AV1613" s="197"/>
      <c r="AW1613" s="197"/>
    </row>
    <row r="1614" spans="28:49" s="196" customFormat="1">
      <c r="AB1614" s="201"/>
      <c r="AC1614" s="201"/>
      <c r="AD1614" s="197"/>
      <c r="AE1614" s="197"/>
      <c r="AF1614" s="197"/>
      <c r="AG1614" s="197"/>
      <c r="AH1614" s="197"/>
      <c r="AI1614" s="197"/>
      <c r="AJ1614" s="197"/>
      <c r="AK1614" s="197"/>
      <c r="AL1614" s="197"/>
      <c r="AM1614" s="197"/>
      <c r="AN1614" s="197"/>
      <c r="AO1614" s="197"/>
      <c r="AP1614" s="197"/>
      <c r="AQ1614" s="197"/>
      <c r="AR1614" s="197"/>
      <c r="AS1614" s="197"/>
      <c r="AT1614" s="197"/>
      <c r="AU1614" s="197"/>
      <c r="AV1614" s="197"/>
      <c r="AW1614" s="197"/>
    </row>
    <row r="1615" spans="28:49" s="196" customFormat="1">
      <c r="AB1615" s="201"/>
      <c r="AC1615" s="201"/>
      <c r="AD1615" s="197"/>
      <c r="AE1615" s="197"/>
      <c r="AF1615" s="197"/>
      <c r="AG1615" s="197"/>
      <c r="AH1615" s="197"/>
      <c r="AI1615" s="197"/>
      <c r="AJ1615" s="197"/>
      <c r="AK1615" s="197"/>
      <c r="AL1615" s="197"/>
      <c r="AM1615" s="197"/>
      <c r="AN1615" s="197"/>
      <c r="AO1615" s="197"/>
      <c r="AP1615" s="197"/>
      <c r="AQ1615" s="197"/>
      <c r="AR1615" s="197"/>
      <c r="AS1615" s="197"/>
      <c r="AT1615" s="197"/>
      <c r="AU1615" s="197"/>
      <c r="AV1615" s="197"/>
      <c r="AW1615" s="197"/>
    </row>
    <row r="1616" spans="28:49" s="196" customFormat="1">
      <c r="AB1616" s="201"/>
      <c r="AC1616" s="201"/>
      <c r="AD1616" s="197"/>
      <c r="AE1616" s="197"/>
      <c r="AF1616" s="197"/>
      <c r="AG1616" s="197"/>
      <c r="AH1616" s="197"/>
      <c r="AI1616" s="197"/>
      <c r="AJ1616" s="197"/>
      <c r="AK1616" s="197"/>
      <c r="AL1616" s="197"/>
      <c r="AM1616" s="197"/>
      <c r="AN1616" s="197"/>
      <c r="AO1616" s="197"/>
      <c r="AP1616" s="197"/>
      <c r="AQ1616" s="197"/>
      <c r="AR1616" s="197"/>
      <c r="AS1616" s="197"/>
      <c r="AT1616" s="197"/>
      <c r="AU1616" s="197"/>
      <c r="AV1616" s="197"/>
      <c r="AW1616" s="197"/>
    </row>
    <row r="1617" spans="28:49" s="196" customFormat="1">
      <c r="AB1617" s="201"/>
      <c r="AC1617" s="201"/>
      <c r="AD1617" s="197"/>
      <c r="AE1617" s="197"/>
      <c r="AF1617" s="197"/>
      <c r="AG1617" s="197"/>
      <c r="AH1617" s="197"/>
      <c r="AI1617" s="197"/>
      <c r="AJ1617" s="197"/>
      <c r="AK1617" s="197"/>
      <c r="AL1617" s="197"/>
      <c r="AM1617" s="197"/>
      <c r="AN1617" s="197"/>
      <c r="AO1617" s="197"/>
      <c r="AP1617" s="197"/>
      <c r="AQ1617" s="197"/>
      <c r="AR1617" s="197"/>
      <c r="AS1617" s="197"/>
      <c r="AT1617" s="197"/>
      <c r="AU1617" s="197"/>
      <c r="AV1617" s="197"/>
      <c r="AW1617" s="197"/>
    </row>
    <row r="1618" spans="28:49" s="196" customFormat="1">
      <c r="AB1618" s="201"/>
      <c r="AC1618" s="201"/>
      <c r="AD1618" s="197"/>
      <c r="AE1618" s="197"/>
      <c r="AF1618" s="197"/>
      <c r="AG1618" s="197"/>
      <c r="AH1618" s="197"/>
      <c r="AI1618" s="197"/>
      <c r="AJ1618" s="197"/>
      <c r="AK1618" s="197"/>
      <c r="AL1618" s="197"/>
      <c r="AM1618" s="197"/>
      <c r="AN1618" s="197"/>
      <c r="AO1618" s="197"/>
      <c r="AP1618" s="197"/>
      <c r="AQ1618" s="197"/>
      <c r="AR1618" s="197"/>
      <c r="AS1618" s="197"/>
      <c r="AT1618" s="197"/>
      <c r="AU1618" s="197"/>
      <c r="AV1618" s="197"/>
      <c r="AW1618" s="197"/>
    </row>
    <row r="1619" spans="28:49" s="196" customFormat="1">
      <c r="AB1619" s="201"/>
      <c r="AC1619" s="201"/>
      <c r="AD1619" s="197"/>
      <c r="AE1619" s="197"/>
      <c r="AF1619" s="197"/>
      <c r="AG1619" s="197"/>
      <c r="AH1619" s="197"/>
      <c r="AI1619" s="197"/>
      <c r="AJ1619" s="197"/>
      <c r="AK1619" s="197"/>
      <c r="AL1619" s="197"/>
      <c r="AM1619" s="197"/>
      <c r="AN1619" s="197"/>
      <c r="AO1619" s="197"/>
      <c r="AP1619" s="197"/>
      <c r="AQ1619" s="197"/>
      <c r="AR1619" s="197"/>
      <c r="AS1619" s="197"/>
      <c r="AT1619" s="197"/>
      <c r="AU1619" s="197"/>
      <c r="AV1619" s="197"/>
      <c r="AW1619" s="197"/>
    </row>
    <row r="1620" spans="28:49" s="196" customFormat="1">
      <c r="AB1620" s="201"/>
      <c r="AC1620" s="201"/>
      <c r="AD1620" s="197"/>
      <c r="AE1620" s="197"/>
      <c r="AF1620" s="197"/>
      <c r="AG1620" s="197"/>
      <c r="AH1620" s="197"/>
      <c r="AI1620" s="197"/>
      <c r="AJ1620" s="197"/>
      <c r="AK1620" s="197"/>
      <c r="AL1620" s="197"/>
      <c r="AM1620" s="197"/>
      <c r="AN1620" s="197"/>
      <c r="AO1620" s="197"/>
      <c r="AP1620" s="197"/>
      <c r="AQ1620" s="197"/>
      <c r="AR1620" s="197"/>
      <c r="AS1620" s="197"/>
      <c r="AT1620" s="197"/>
      <c r="AU1620" s="197"/>
      <c r="AV1620" s="197"/>
      <c r="AW1620" s="197"/>
    </row>
    <row r="1621" spans="28:49" s="196" customFormat="1">
      <c r="AB1621" s="201"/>
      <c r="AC1621" s="201"/>
      <c r="AD1621" s="197"/>
      <c r="AE1621" s="197"/>
      <c r="AF1621" s="197"/>
      <c r="AG1621" s="197"/>
      <c r="AH1621" s="197"/>
      <c r="AI1621" s="197"/>
      <c r="AJ1621" s="197"/>
      <c r="AK1621" s="197"/>
      <c r="AL1621" s="197"/>
      <c r="AM1621" s="197"/>
      <c r="AN1621" s="197"/>
      <c r="AO1621" s="197"/>
      <c r="AP1621" s="197"/>
      <c r="AQ1621" s="197"/>
      <c r="AR1621" s="197"/>
      <c r="AS1621" s="197"/>
      <c r="AT1621" s="197"/>
      <c r="AU1621" s="197"/>
      <c r="AV1621" s="197"/>
      <c r="AW1621" s="197"/>
    </row>
    <row r="1622" spans="28:49" s="196" customFormat="1">
      <c r="AB1622" s="201"/>
      <c r="AC1622" s="201"/>
      <c r="AD1622" s="197"/>
      <c r="AE1622" s="197"/>
      <c r="AF1622" s="197"/>
      <c r="AG1622" s="197"/>
      <c r="AH1622" s="197"/>
      <c r="AI1622" s="197"/>
      <c r="AJ1622" s="197"/>
      <c r="AK1622" s="197"/>
      <c r="AL1622" s="197"/>
      <c r="AM1622" s="197"/>
      <c r="AN1622" s="197"/>
      <c r="AO1622" s="197"/>
      <c r="AP1622" s="197"/>
      <c r="AQ1622" s="197"/>
      <c r="AR1622" s="197"/>
      <c r="AS1622" s="197"/>
      <c r="AT1622" s="197"/>
      <c r="AU1622" s="197"/>
      <c r="AV1622" s="197"/>
      <c r="AW1622" s="197"/>
    </row>
    <row r="1623" spans="28:49" s="196" customFormat="1">
      <c r="AB1623" s="201"/>
      <c r="AC1623" s="201"/>
      <c r="AD1623" s="197"/>
      <c r="AE1623" s="197"/>
      <c r="AF1623" s="197"/>
      <c r="AG1623" s="197"/>
      <c r="AH1623" s="197"/>
      <c r="AI1623" s="197"/>
      <c r="AJ1623" s="197"/>
      <c r="AK1623" s="197"/>
      <c r="AL1623" s="197"/>
      <c r="AM1623" s="197"/>
      <c r="AN1623" s="197"/>
      <c r="AO1623" s="197"/>
      <c r="AP1623" s="197"/>
      <c r="AQ1623" s="197"/>
      <c r="AR1623" s="197"/>
      <c r="AS1623" s="197"/>
      <c r="AT1623" s="197"/>
      <c r="AU1623" s="197"/>
      <c r="AV1623" s="197"/>
      <c r="AW1623" s="197"/>
    </row>
    <row r="1624" spans="28:49" s="196" customFormat="1">
      <c r="AB1624" s="201"/>
      <c r="AC1624" s="201"/>
      <c r="AD1624" s="197"/>
      <c r="AE1624" s="197"/>
      <c r="AF1624" s="197"/>
      <c r="AG1624" s="197"/>
      <c r="AH1624" s="197"/>
      <c r="AI1624" s="197"/>
      <c r="AJ1624" s="197"/>
      <c r="AK1624" s="197"/>
      <c r="AL1624" s="197"/>
      <c r="AM1624" s="197"/>
      <c r="AN1624" s="197"/>
      <c r="AO1624" s="197"/>
      <c r="AP1624" s="197"/>
      <c r="AQ1624" s="197"/>
      <c r="AR1624" s="197"/>
      <c r="AS1624" s="197"/>
      <c r="AT1624" s="197"/>
      <c r="AU1624" s="197"/>
      <c r="AV1624" s="197"/>
      <c r="AW1624" s="197"/>
    </row>
    <row r="1625" spans="28:49" s="196" customFormat="1">
      <c r="AB1625" s="201"/>
      <c r="AC1625" s="201"/>
      <c r="AD1625" s="197"/>
      <c r="AE1625" s="197"/>
      <c r="AF1625" s="197"/>
      <c r="AG1625" s="197"/>
      <c r="AH1625" s="197"/>
      <c r="AI1625" s="197"/>
      <c r="AJ1625" s="197"/>
      <c r="AK1625" s="197"/>
      <c r="AL1625" s="197"/>
      <c r="AM1625" s="197"/>
      <c r="AN1625" s="197"/>
      <c r="AO1625" s="197"/>
      <c r="AP1625" s="197"/>
      <c r="AQ1625" s="197"/>
      <c r="AR1625" s="197"/>
      <c r="AS1625" s="197"/>
      <c r="AT1625" s="197"/>
      <c r="AU1625" s="197"/>
      <c r="AV1625" s="197"/>
      <c r="AW1625" s="197"/>
    </row>
    <row r="1626" spans="28:49" s="196" customFormat="1">
      <c r="AB1626" s="201"/>
      <c r="AC1626" s="201"/>
      <c r="AD1626" s="197"/>
      <c r="AE1626" s="197"/>
      <c r="AF1626" s="197"/>
      <c r="AG1626" s="197"/>
      <c r="AH1626" s="197"/>
      <c r="AI1626" s="197"/>
      <c r="AJ1626" s="197"/>
      <c r="AK1626" s="197"/>
      <c r="AL1626" s="197"/>
      <c r="AM1626" s="197"/>
      <c r="AN1626" s="197"/>
      <c r="AO1626" s="197"/>
      <c r="AP1626" s="197"/>
      <c r="AQ1626" s="197"/>
      <c r="AR1626" s="197"/>
      <c r="AS1626" s="197"/>
      <c r="AT1626" s="197"/>
      <c r="AU1626" s="197"/>
      <c r="AV1626" s="197"/>
      <c r="AW1626" s="197"/>
    </row>
    <row r="1627" spans="28:49" s="196" customFormat="1">
      <c r="AB1627" s="201"/>
      <c r="AC1627" s="201"/>
      <c r="AD1627" s="197"/>
      <c r="AE1627" s="197"/>
      <c r="AF1627" s="197"/>
      <c r="AG1627" s="197"/>
      <c r="AH1627" s="197"/>
      <c r="AI1627" s="197"/>
      <c r="AJ1627" s="197"/>
      <c r="AK1627" s="197"/>
      <c r="AL1627" s="197"/>
      <c r="AM1627" s="197"/>
      <c r="AN1627" s="197"/>
      <c r="AO1627" s="197"/>
      <c r="AP1627" s="197"/>
      <c r="AQ1627" s="197"/>
      <c r="AR1627" s="197"/>
      <c r="AS1627" s="197"/>
      <c r="AT1627" s="197"/>
      <c r="AU1627" s="197"/>
      <c r="AV1627" s="197"/>
      <c r="AW1627" s="197"/>
    </row>
    <row r="1628" spans="28:49" s="196" customFormat="1">
      <c r="AB1628" s="201"/>
      <c r="AC1628" s="201"/>
      <c r="AD1628" s="197"/>
      <c r="AE1628" s="197"/>
      <c r="AF1628" s="197"/>
      <c r="AG1628" s="197"/>
      <c r="AH1628" s="197"/>
      <c r="AI1628" s="197"/>
      <c r="AJ1628" s="197"/>
      <c r="AK1628" s="197"/>
      <c r="AL1628" s="197"/>
      <c r="AM1628" s="197"/>
      <c r="AN1628" s="197"/>
      <c r="AO1628" s="197"/>
      <c r="AP1628" s="197"/>
      <c r="AQ1628" s="197"/>
      <c r="AR1628" s="197"/>
      <c r="AS1628" s="197"/>
      <c r="AT1628" s="197"/>
      <c r="AU1628" s="197"/>
      <c r="AV1628" s="197"/>
      <c r="AW1628" s="197"/>
    </row>
    <row r="1629" spans="28:49" s="196" customFormat="1">
      <c r="AB1629" s="201"/>
      <c r="AC1629" s="201"/>
      <c r="AD1629" s="197"/>
      <c r="AE1629" s="197"/>
      <c r="AF1629" s="197"/>
      <c r="AG1629" s="197"/>
      <c r="AH1629" s="197"/>
      <c r="AI1629" s="197"/>
      <c r="AJ1629" s="197"/>
      <c r="AK1629" s="197"/>
      <c r="AL1629" s="197"/>
      <c r="AM1629" s="197"/>
      <c r="AN1629" s="197"/>
      <c r="AO1629" s="197"/>
      <c r="AP1629" s="197"/>
      <c r="AQ1629" s="197"/>
      <c r="AR1629" s="197"/>
      <c r="AS1629" s="197"/>
      <c r="AT1629" s="197"/>
      <c r="AU1629" s="197"/>
      <c r="AV1629" s="197"/>
      <c r="AW1629" s="197"/>
    </row>
    <row r="1630" spans="28:49" s="196" customFormat="1">
      <c r="AB1630" s="201"/>
      <c r="AC1630" s="201"/>
      <c r="AD1630" s="197"/>
      <c r="AE1630" s="197"/>
      <c r="AF1630" s="197"/>
      <c r="AG1630" s="197"/>
      <c r="AH1630" s="197"/>
      <c r="AI1630" s="197"/>
      <c r="AJ1630" s="197"/>
      <c r="AK1630" s="197"/>
      <c r="AL1630" s="197"/>
      <c r="AM1630" s="197"/>
      <c r="AN1630" s="197"/>
      <c r="AO1630" s="197"/>
      <c r="AP1630" s="197"/>
      <c r="AQ1630" s="197"/>
      <c r="AR1630" s="197"/>
      <c r="AS1630" s="197"/>
      <c r="AT1630" s="197"/>
      <c r="AU1630" s="197"/>
      <c r="AV1630" s="197"/>
      <c r="AW1630" s="197"/>
    </row>
    <row r="1631" spans="28:49" s="196" customFormat="1">
      <c r="AB1631" s="201"/>
      <c r="AC1631" s="201"/>
      <c r="AD1631" s="197"/>
      <c r="AE1631" s="197"/>
      <c r="AF1631" s="197"/>
      <c r="AG1631" s="197"/>
      <c r="AH1631" s="197"/>
      <c r="AI1631" s="197"/>
      <c r="AJ1631" s="197"/>
      <c r="AK1631" s="197"/>
      <c r="AL1631" s="197"/>
      <c r="AM1631" s="197"/>
      <c r="AN1631" s="197"/>
      <c r="AO1631" s="197"/>
      <c r="AP1631" s="197"/>
      <c r="AQ1631" s="197"/>
      <c r="AR1631" s="197"/>
      <c r="AS1631" s="197"/>
      <c r="AT1631" s="197"/>
      <c r="AU1631" s="197"/>
      <c r="AV1631" s="197"/>
      <c r="AW1631" s="197"/>
    </row>
    <row r="1632" spans="28:49" s="196" customFormat="1">
      <c r="AB1632" s="201"/>
      <c r="AC1632" s="201"/>
      <c r="AD1632" s="197"/>
      <c r="AE1632" s="197"/>
      <c r="AF1632" s="197"/>
      <c r="AG1632" s="197"/>
      <c r="AH1632" s="197"/>
      <c r="AI1632" s="197"/>
      <c r="AJ1632" s="197"/>
      <c r="AK1632" s="197"/>
      <c r="AL1632" s="197"/>
      <c r="AM1632" s="197"/>
      <c r="AN1632" s="197"/>
      <c r="AO1632" s="197"/>
      <c r="AP1632" s="197"/>
      <c r="AQ1632" s="197"/>
      <c r="AR1632" s="197"/>
      <c r="AS1632" s="197"/>
      <c r="AT1632" s="197"/>
      <c r="AU1632" s="197"/>
      <c r="AV1632" s="197"/>
      <c r="AW1632" s="197"/>
    </row>
    <row r="1633" spans="28:49" s="196" customFormat="1">
      <c r="AB1633" s="201"/>
      <c r="AC1633" s="201"/>
      <c r="AD1633" s="197"/>
      <c r="AE1633" s="197"/>
      <c r="AF1633" s="197"/>
      <c r="AG1633" s="197"/>
      <c r="AH1633" s="197"/>
      <c r="AI1633" s="197"/>
      <c r="AJ1633" s="197"/>
      <c r="AK1633" s="197"/>
      <c r="AL1633" s="197"/>
      <c r="AM1633" s="197"/>
      <c r="AN1633" s="197"/>
      <c r="AO1633" s="197"/>
      <c r="AP1633" s="197"/>
      <c r="AQ1633" s="197"/>
      <c r="AR1633" s="197"/>
      <c r="AS1633" s="197"/>
      <c r="AT1633" s="197"/>
      <c r="AU1633" s="197"/>
      <c r="AV1633" s="197"/>
      <c r="AW1633" s="197"/>
    </row>
    <row r="1634" spans="28:49" s="196" customFormat="1">
      <c r="AB1634" s="201"/>
      <c r="AC1634" s="201"/>
      <c r="AD1634" s="197"/>
      <c r="AE1634" s="197"/>
      <c r="AF1634" s="197"/>
      <c r="AG1634" s="197"/>
      <c r="AH1634" s="197"/>
      <c r="AI1634" s="197"/>
      <c r="AJ1634" s="197"/>
      <c r="AK1634" s="197"/>
      <c r="AL1634" s="197"/>
      <c r="AM1634" s="197"/>
      <c r="AN1634" s="197"/>
      <c r="AO1634" s="197"/>
      <c r="AP1634" s="197"/>
      <c r="AQ1634" s="197"/>
      <c r="AR1634" s="197"/>
      <c r="AS1634" s="197"/>
      <c r="AT1634" s="197"/>
      <c r="AU1634" s="197"/>
      <c r="AV1634" s="197"/>
      <c r="AW1634" s="197"/>
    </row>
    <row r="1635" spans="28:49" s="196" customFormat="1">
      <c r="AB1635" s="201"/>
      <c r="AC1635" s="201"/>
      <c r="AD1635" s="197"/>
      <c r="AE1635" s="197"/>
      <c r="AF1635" s="197"/>
      <c r="AG1635" s="197"/>
      <c r="AH1635" s="197"/>
      <c r="AI1635" s="197"/>
      <c r="AJ1635" s="197"/>
      <c r="AK1635" s="197"/>
      <c r="AL1635" s="197"/>
      <c r="AM1635" s="197"/>
      <c r="AN1635" s="197"/>
      <c r="AO1635" s="197"/>
      <c r="AP1635" s="197"/>
      <c r="AQ1635" s="197"/>
      <c r="AR1635" s="197"/>
      <c r="AS1635" s="197"/>
      <c r="AT1635" s="197"/>
      <c r="AU1635" s="197"/>
      <c r="AV1635" s="197"/>
      <c r="AW1635" s="197"/>
    </row>
    <row r="1636" spans="28:49" s="196" customFormat="1">
      <c r="AB1636" s="201"/>
      <c r="AC1636" s="201"/>
      <c r="AD1636" s="197"/>
      <c r="AE1636" s="197"/>
      <c r="AF1636" s="197"/>
      <c r="AG1636" s="197"/>
      <c r="AH1636" s="197"/>
      <c r="AI1636" s="197"/>
      <c r="AJ1636" s="197"/>
      <c r="AK1636" s="197"/>
      <c r="AL1636" s="197"/>
      <c r="AM1636" s="197"/>
      <c r="AN1636" s="197"/>
      <c r="AO1636" s="197"/>
      <c r="AP1636" s="197"/>
      <c r="AQ1636" s="197"/>
      <c r="AR1636" s="197"/>
      <c r="AS1636" s="197"/>
      <c r="AT1636" s="197"/>
      <c r="AU1636" s="197"/>
      <c r="AV1636" s="197"/>
      <c r="AW1636" s="197"/>
    </row>
    <row r="1637" spans="28:49" s="196" customFormat="1">
      <c r="AB1637" s="201"/>
      <c r="AC1637" s="201"/>
      <c r="AD1637" s="197"/>
      <c r="AE1637" s="197"/>
      <c r="AF1637" s="197"/>
      <c r="AG1637" s="197"/>
      <c r="AH1637" s="197"/>
      <c r="AI1637" s="197"/>
      <c r="AJ1637" s="197"/>
      <c r="AK1637" s="197"/>
      <c r="AL1637" s="197"/>
      <c r="AM1637" s="197"/>
      <c r="AN1637" s="197"/>
      <c r="AO1637" s="197"/>
      <c r="AP1637" s="197"/>
      <c r="AQ1637" s="197"/>
      <c r="AR1637" s="197"/>
      <c r="AS1637" s="197"/>
      <c r="AT1637" s="197"/>
      <c r="AU1637" s="197"/>
      <c r="AV1637" s="197"/>
      <c r="AW1637" s="197"/>
    </row>
    <row r="1638" spans="28:49" s="196" customFormat="1">
      <c r="AB1638" s="201"/>
      <c r="AC1638" s="201"/>
      <c r="AD1638" s="197"/>
      <c r="AE1638" s="197"/>
      <c r="AF1638" s="197"/>
      <c r="AG1638" s="197"/>
      <c r="AH1638" s="197"/>
      <c r="AI1638" s="197"/>
      <c r="AJ1638" s="197"/>
      <c r="AK1638" s="197"/>
      <c r="AL1638" s="197"/>
      <c r="AM1638" s="197"/>
      <c r="AN1638" s="197"/>
      <c r="AO1638" s="197"/>
      <c r="AP1638" s="197"/>
      <c r="AQ1638" s="197"/>
      <c r="AR1638" s="197"/>
      <c r="AS1638" s="197"/>
      <c r="AT1638" s="197"/>
      <c r="AU1638" s="197"/>
      <c r="AV1638" s="197"/>
      <c r="AW1638" s="197"/>
    </row>
    <row r="1639" spans="28:49" s="196" customFormat="1">
      <c r="AB1639" s="201"/>
      <c r="AC1639" s="201"/>
      <c r="AD1639" s="197"/>
      <c r="AE1639" s="197"/>
      <c r="AF1639" s="197"/>
      <c r="AG1639" s="197"/>
      <c r="AH1639" s="197"/>
      <c r="AI1639" s="197"/>
      <c r="AJ1639" s="197"/>
      <c r="AK1639" s="197"/>
      <c r="AL1639" s="197"/>
      <c r="AM1639" s="197"/>
      <c r="AN1639" s="197"/>
      <c r="AO1639" s="197"/>
      <c r="AP1639" s="197"/>
      <c r="AQ1639" s="197"/>
      <c r="AR1639" s="197"/>
      <c r="AS1639" s="197"/>
      <c r="AT1639" s="197"/>
      <c r="AU1639" s="197"/>
      <c r="AV1639" s="197"/>
      <c r="AW1639" s="197"/>
    </row>
    <row r="1640" spans="28:49" s="196" customFormat="1">
      <c r="AB1640" s="201"/>
      <c r="AC1640" s="201"/>
      <c r="AD1640" s="197"/>
      <c r="AE1640" s="197"/>
      <c r="AF1640" s="197"/>
      <c r="AG1640" s="197"/>
      <c r="AH1640" s="197"/>
      <c r="AI1640" s="197"/>
      <c r="AJ1640" s="197"/>
      <c r="AK1640" s="197"/>
      <c r="AL1640" s="197"/>
      <c r="AM1640" s="197"/>
      <c r="AN1640" s="197"/>
      <c r="AO1640" s="197"/>
      <c r="AP1640" s="197"/>
      <c r="AQ1640" s="197"/>
      <c r="AR1640" s="197"/>
      <c r="AS1640" s="197"/>
      <c r="AT1640" s="197"/>
      <c r="AU1640" s="197"/>
      <c r="AV1640" s="197"/>
      <c r="AW1640" s="197"/>
    </row>
    <row r="1641" spans="28:49" s="196" customFormat="1">
      <c r="AB1641" s="201"/>
      <c r="AC1641" s="201"/>
      <c r="AD1641" s="197"/>
      <c r="AE1641" s="197"/>
      <c r="AF1641" s="197"/>
      <c r="AG1641" s="197"/>
      <c r="AH1641" s="197"/>
      <c r="AI1641" s="197"/>
      <c r="AJ1641" s="197"/>
      <c r="AK1641" s="197"/>
      <c r="AL1641" s="197"/>
      <c r="AM1641" s="197"/>
      <c r="AN1641" s="197"/>
      <c r="AO1641" s="197"/>
      <c r="AP1641" s="197"/>
      <c r="AQ1641" s="197"/>
      <c r="AR1641" s="197"/>
      <c r="AS1641" s="197"/>
      <c r="AT1641" s="197"/>
      <c r="AU1641" s="197"/>
      <c r="AV1641" s="197"/>
      <c r="AW1641" s="197"/>
    </row>
    <row r="1642" spans="28:49" s="196" customFormat="1">
      <c r="AB1642" s="201"/>
      <c r="AC1642" s="201"/>
      <c r="AD1642" s="197"/>
      <c r="AE1642" s="197"/>
      <c r="AF1642" s="197"/>
      <c r="AG1642" s="197"/>
      <c r="AH1642" s="197"/>
      <c r="AI1642" s="197"/>
      <c r="AJ1642" s="197"/>
      <c r="AK1642" s="197"/>
      <c r="AL1642" s="197"/>
      <c r="AM1642" s="197"/>
      <c r="AN1642" s="197"/>
      <c r="AO1642" s="197"/>
      <c r="AP1642" s="197"/>
      <c r="AQ1642" s="197"/>
      <c r="AR1642" s="197"/>
      <c r="AS1642" s="197"/>
      <c r="AT1642" s="197"/>
      <c r="AU1642" s="197"/>
      <c r="AV1642" s="197"/>
      <c r="AW1642" s="197"/>
    </row>
    <row r="1643" spans="28:49" s="196" customFormat="1">
      <c r="AB1643" s="201"/>
      <c r="AC1643" s="201"/>
      <c r="AD1643" s="197"/>
      <c r="AE1643" s="197"/>
      <c r="AF1643" s="197"/>
      <c r="AG1643" s="197"/>
      <c r="AH1643" s="197"/>
      <c r="AI1643" s="197"/>
      <c r="AJ1643" s="197"/>
      <c r="AK1643" s="197"/>
      <c r="AL1643" s="197"/>
      <c r="AM1643" s="197"/>
      <c r="AN1643" s="197"/>
      <c r="AO1643" s="197"/>
      <c r="AP1643" s="197"/>
      <c r="AQ1643" s="197"/>
      <c r="AR1643" s="197"/>
      <c r="AS1643" s="197"/>
      <c r="AT1643" s="197"/>
      <c r="AU1643" s="197"/>
      <c r="AV1643" s="197"/>
      <c r="AW1643" s="197"/>
    </row>
    <row r="1644" spans="28:49" s="196" customFormat="1">
      <c r="AB1644" s="201"/>
      <c r="AC1644" s="201"/>
      <c r="AD1644" s="197"/>
      <c r="AE1644" s="197"/>
      <c r="AF1644" s="197"/>
      <c r="AG1644" s="197"/>
      <c r="AH1644" s="197"/>
      <c r="AI1644" s="197"/>
      <c r="AJ1644" s="197"/>
      <c r="AK1644" s="197"/>
      <c r="AL1644" s="197"/>
      <c r="AM1644" s="197"/>
      <c r="AN1644" s="197"/>
      <c r="AO1644" s="197"/>
      <c r="AP1644" s="197"/>
      <c r="AQ1644" s="197"/>
      <c r="AR1644" s="197"/>
      <c r="AS1644" s="197"/>
      <c r="AT1644" s="197"/>
      <c r="AU1644" s="197"/>
      <c r="AV1644" s="197"/>
      <c r="AW1644" s="197"/>
    </row>
    <row r="1645" spans="28:49" s="196" customFormat="1">
      <c r="AB1645" s="201"/>
      <c r="AC1645" s="201"/>
      <c r="AD1645" s="197"/>
      <c r="AE1645" s="197"/>
      <c r="AF1645" s="197"/>
      <c r="AG1645" s="197"/>
      <c r="AH1645" s="197"/>
      <c r="AI1645" s="197"/>
      <c r="AJ1645" s="197"/>
      <c r="AK1645" s="197"/>
      <c r="AL1645" s="197"/>
      <c r="AM1645" s="197"/>
      <c r="AN1645" s="197"/>
      <c r="AO1645" s="197"/>
      <c r="AP1645" s="197"/>
      <c r="AQ1645" s="197"/>
      <c r="AR1645" s="197"/>
      <c r="AS1645" s="197"/>
      <c r="AT1645" s="197"/>
      <c r="AU1645" s="197"/>
      <c r="AV1645" s="197"/>
      <c r="AW1645" s="197"/>
    </row>
    <row r="1646" spans="28:49" s="196" customFormat="1">
      <c r="AB1646" s="201"/>
      <c r="AC1646" s="201"/>
      <c r="AD1646" s="197"/>
      <c r="AE1646" s="197"/>
      <c r="AF1646" s="197"/>
      <c r="AG1646" s="197"/>
      <c r="AH1646" s="197"/>
      <c r="AI1646" s="197"/>
      <c r="AJ1646" s="197"/>
      <c r="AK1646" s="197"/>
      <c r="AL1646" s="197"/>
      <c r="AM1646" s="197"/>
      <c r="AN1646" s="197"/>
      <c r="AO1646" s="197"/>
      <c r="AP1646" s="197"/>
      <c r="AQ1646" s="197"/>
      <c r="AR1646" s="197"/>
      <c r="AS1646" s="197"/>
      <c r="AT1646" s="197"/>
      <c r="AU1646" s="197"/>
      <c r="AV1646" s="197"/>
      <c r="AW1646" s="197"/>
    </row>
    <row r="1647" spans="28:49" s="196" customFormat="1">
      <c r="AB1647" s="201"/>
      <c r="AC1647" s="201"/>
      <c r="AD1647" s="197"/>
      <c r="AE1647" s="197"/>
      <c r="AF1647" s="197"/>
      <c r="AG1647" s="197"/>
      <c r="AH1647" s="197"/>
      <c r="AI1647" s="197"/>
      <c r="AJ1647" s="197"/>
      <c r="AK1647" s="197"/>
      <c r="AL1647" s="197"/>
      <c r="AM1647" s="197"/>
      <c r="AN1647" s="197"/>
      <c r="AO1647" s="197"/>
      <c r="AP1647" s="197"/>
      <c r="AQ1647" s="197"/>
      <c r="AR1647" s="197"/>
      <c r="AS1647" s="197"/>
      <c r="AT1647" s="197"/>
      <c r="AU1647" s="197"/>
      <c r="AV1647" s="197"/>
      <c r="AW1647" s="197"/>
    </row>
    <row r="1648" spans="28:49" s="196" customFormat="1">
      <c r="AB1648" s="201"/>
      <c r="AC1648" s="201"/>
      <c r="AD1648" s="197"/>
      <c r="AE1648" s="197"/>
      <c r="AF1648" s="197"/>
      <c r="AG1648" s="197"/>
      <c r="AH1648" s="197"/>
      <c r="AI1648" s="197"/>
      <c r="AJ1648" s="197"/>
      <c r="AK1648" s="197"/>
      <c r="AL1648" s="197"/>
      <c r="AM1648" s="197"/>
      <c r="AN1648" s="197"/>
      <c r="AO1648" s="197"/>
      <c r="AP1648" s="197"/>
      <c r="AQ1648" s="197"/>
      <c r="AR1648" s="197"/>
      <c r="AS1648" s="197"/>
      <c r="AT1648" s="197"/>
      <c r="AU1648" s="197"/>
      <c r="AV1648" s="197"/>
      <c r="AW1648" s="197"/>
    </row>
    <row r="1649" spans="28:49" s="196" customFormat="1">
      <c r="AB1649" s="201"/>
      <c r="AC1649" s="201"/>
      <c r="AD1649" s="197"/>
      <c r="AE1649" s="197"/>
      <c r="AF1649" s="197"/>
      <c r="AG1649" s="197"/>
      <c r="AH1649" s="197"/>
      <c r="AI1649" s="197"/>
      <c r="AJ1649" s="197"/>
      <c r="AK1649" s="197"/>
      <c r="AL1649" s="197"/>
      <c r="AM1649" s="197"/>
      <c r="AN1649" s="197"/>
      <c r="AO1649" s="197"/>
      <c r="AP1649" s="197"/>
      <c r="AQ1649" s="197"/>
      <c r="AR1649" s="197"/>
      <c r="AS1649" s="197"/>
      <c r="AT1649" s="197"/>
      <c r="AU1649" s="197"/>
      <c r="AV1649" s="197"/>
      <c r="AW1649" s="197"/>
    </row>
    <row r="1650" spans="28:49" s="196" customFormat="1">
      <c r="AB1650" s="201"/>
      <c r="AC1650" s="201"/>
      <c r="AD1650" s="197"/>
      <c r="AE1650" s="197"/>
      <c r="AF1650" s="197"/>
      <c r="AG1650" s="197"/>
      <c r="AH1650" s="197"/>
      <c r="AI1650" s="197"/>
      <c r="AJ1650" s="197"/>
      <c r="AK1650" s="197"/>
      <c r="AL1650" s="197"/>
      <c r="AM1650" s="197"/>
      <c r="AN1650" s="197"/>
      <c r="AO1650" s="197"/>
      <c r="AP1650" s="197"/>
      <c r="AQ1650" s="197"/>
      <c r="AR1650" s="197"/>
      <c r="AS1650" s="197"/>
      <c r="AT1650" s="197"/>
      <c r="AU1650" s="197"/>
      <c r="AV1650" s="197"/>
      <c r="AW1650" s="197"/>
    </row>
    <row r="1651" spans="28:49" s="196" customFormat="1">
      <c r="AB1651" s="201"/>
      <c r="AC1651" s="201"/>
      <c r="AD1651" s="197"/>
      <c r="AE1651" s="197"/>
      <c r="AF1651" s="197"/>
      <c r="AG1651" s="197"/>
      <c r="AH1651" s="197"/>
      <c r="AI1651" s="197"/>
      <c r="AJ1651" s="197"/>
      <c r="AK1651" s="197"/>
      <c r="AL1651" s="197"/>
      <c r="AM1651" s="197"/>
      <c r="AN1651" s="197"/>
      <c r="AO1651" s="197"/>
      <c r="AP1651" s="197"/>
      <c r="AQ1651" s="197"/>
      <c r="AR1651" s="197"/>
      <c r="AS1651" s="197"/>
      <c r="AT1651" s="197"/>
      <c r="AU1651" s="197"/>
      <c r="AV1651" s="197"/>
      <c r="AW1651" s="197"/>
    </row>
    <row r="1652" spans="28:49" s="196" customFormat="1">
      <c r="AB1652" s="201"/>
      <c r="AC1652" s="201"/>
      <c r="AD1652" s="197"/>
      <c r="AE1652" s="197"/>
      <c r="AF1652" s="197"/>
      <c r="AG1652" s="197"/>
      <c r="AH1652" s="197"/>
      <c r="AI1652" s="197"/>
      <c r="AJ1652" s="197"/>
      <c r="AK1652" s="197"/>
      <c r="AL1652" s="197"/>
      <c r="AM1652" s="197"/>
      <c r="AN1652" s="197"/>
      <c r="AO1652" s="197"/>
      <c r="AP1652" s="197"/>
      <c r="AQ1652" s="197"/>
      <c r="AR1652" s="197"/>
      <c r="AS1652" s="197"/>
      <c r="AT1652" s="197"/>
      <c r="AU1652" s="197"/>
      <c r="AV1652" s="197"/>
      <c r="AW1652" s="197"/>
    </row>
    <row r="1653" spans="28:49" s="196" customFormat="1">
      <c r="AB1653" s="201"/>
      <c r="AC1653" s="201"/>
      <c r="AD1653" s="197"/>
      <c r="AE1653" s="197"/>
      <c r="AF1653" s="197"/>
      <c r="AG1653" s="197"/>
      <c r="AH1653" s="197"/>
      <c r="AI1653" s="197"/>
      <c r="AJ1653" s="197"/>
      <c r="AK1653" s="197"/>
      <c r="AL1653" s="197"/>
      <c r="AM1653" s="197"/>
      <c r="AN1653" s="197"/>
      <c r="AO1653" s="197"/>
      <c r="AP1653" s="197"/>
      <c r="AQ1653" s="197"/>
      <c r="AR1653" s="197"/>
      <c r="AS1653" s="197"/>
      <c r="AT1653" s="197"/>
      <c r="AU1653" s="197"/>
      <c r="AV1653" s="197"/>
      <c r="AW1653" s="197"/>
    </row>
    <row r="1654" spans="28:49" s="196" customFormat="1">
      <c r="AB1654" s="201"/>
      <c r="AC1654" s="201"/>
      <c r="AD1654" s="197"/>
      <c r="AE1654" s="197"/>
      <c r="AF1654" s="197"/>
      <c r="AG1654" s="197"/>
      <c r="AH1654" s="197"/>
      <c r="AI1654" s="197"/>
      <c r="AJ1654" s="197"/>
      <c r="AK1654" s="197"/>
      <c r="AL1654" s="197"/>
      <c r="AM1654" s="197"/>
      <c r="AN1654" s="197"/>
      <c r="AO1654" s="197"/>
      <c r="AP1654" s="197"/>
      <c r="AQ1654" s="197"/>
      <c r="AR1654" s="197"/>
      <c r="AS1654" s="197"/>
      <c r="AT1654" s="197"/>
      <c r="AU1654" s="197"/>
      <c r="AV1654" s="197"/>
      <c r="AW1654" s="197"/>
    </row>
    <row r="1655" spans="28:49" s="196" customFormat="1">
      <c r="AB1655" s="201"/>
      <c r="AC1655" s="201"/>
      <c r="AD1655" s="197"/>
      <c r="AE1655" s="197"/>
      <c r="AF1655" s="197"/>
      <c r="AG1655" s="197"/>
      <c r="AH1655" s="197"/>
      <c r="AI1655" s="197"/>
      <c r="AJ1655" s="197"/>
      <c r="AK1655" s="197"/>
      <c r="AL1655" s="197"/>
      <c r="AM1655" s="197"/>
      <c r="AN1655" s="197"/>
      <c r="AO1655" s="197"/>
      <c r="AP1655" s="197"/>
      <c r="AQ1655" s="197"/>
      <c r="AR1655" s="197"/>
      <c r="AS1655" s="197"/>
      <c r="AT1655" s="197"/>
      <c r="AU1655" s="197"/>
      <c r="AV1655" s="197"/>
      <c r="AW1655" s="197"/>
    </row>
    <row r="1656" spans="28:49" s="196" customFormat="1">
      <c r="AB1656" s="201"/>
      <c r="AC1656" s="201"/>
      <c r="AD1656" s="197"/>
      <c r="AE1656" s="197"/>
      <c r="AF1656" s="197"/>
      <c r="AG1656" s="197"/>
      <c r="AH1656" s="197"/>
      <c r="AI1656" s="197"/>
      <c r="AJ1656" s="197"/>
      <c r="AK1656" s="197"/>
      <c r="AL1656" s="197"/>
      <c r="AM1656" s="197"/>
      <c r="AN1656" s="197"/>
      <c r="AO1656" s="197"/>
      <c r="AP1656" s="197"/>
      <c r="AQ1656" s="197"/>
      <c r="AR1656" s="197"/>
      <c r="AS1656" s="197"/>
      <c r="AT1656" s="197"/>
      <c r="AU1656" s="197"/>
      <c r="AV1656" s="197"/>
      <c r="AW1656" s="197"/>
    </row>
    <row r="1657" spans="28:49" s="196" customFormat="1">
      <c r="AB1657" s="201"/>
      <c r="AC1657" s="201"/>
      <c r="AD1657" s="197"/>
      <c r="AE1657" s="197"/>
      <c r="AF1657" s="197"/>
      <c r="AG1657" s="197"/>
      <c r="AH1657" s="197"/>
      <c r="AI1657" s="197"/>
      <c r="AJ1657" s="197"/>
      <c r="AK1657" s="197"/>
      <c r="AL1657" s="197"/>
      <c r="AM1657" s="197"/>
      <c r="AN1657" s="197"/>
      <c r="AO1657" s="197"/>
      <c r="AP1657" s="197"/>
      <c r="AQ1657" s="197"/>
      <c r="AR1657" s="197"/>
      <c r="AS1657" s="197"/>
      <c r="AT1657" s="197"/>
      <c r="AU1657" s="197"/>
      <c r="AV1657" s="197"/>
      <c r="AW1657" s="197"/>
    </row>
    <row r="1658" spans="28:49" s="196" customFormat="1">
      <c r="AB1658" s="201"/>
      <c r="AC1658" s="201"/>
      <c r="AD1658" s="197"/>
      <c r="AE1658" s="197"/>
      <c r="AF1658" s="197"/>
      <c r="AG1658" s="197"/>
      <c r="AH1658" s="197"/>
      <c r="AI1658" s="197"/>
      <c r="AJ1658" s="197"/>
      <c r="AK1658" s="197"/>
      <c r="AL1658" s="197"/>
      <c r="AM1658" s="197"/>
      <c r="AN1658" s="197"/>
      <c r="AO1658" s="197"/>
      <c r="AP1658" s="197"/>
      <c r="AQ1658" s="197"/>
      <c r="AR1658" s="197"/>
      <c r="AS1658" s="197"/>
      <c r="AT1658" s="197"/>
      <c r="AU1658" s="197"/>
      <c r="AV1658" s="197"/>
      <c r="AW1658" s="197"/>
    </row>
    <row r="1659" spans="28:49" s="196" customFormat="1">
      <c r="AB1659" s="201"/>
      <c r="AC1659" s="201"/>
      <c r="AD1659" s="197"/>
      <c r="AE1659" s="197"/>
      <c r="AF1659" s="197"/>
      <c r="AG1659" s="197"/>
      <c r="AH1659" s="197"/>
      <c r="AI1659" s="197"/>
      <c r="AJ1659" s="197"/>
      <c r="AK1659" s="197"/>
      <c r="AL1659" s="197"/>
      <c r="AM1659" s="197"/>
      <c r="AN1659" s="197"/>
      <c r="AO1659" s="197"/>
      <c r="AP1659" s="197"/>
      <c r="AQ1659" s="197"/>
      <c r="AR1659" s="197"/>
      <c r="AS1659" s="197"/>
      <c r="AT1659" s="197"/>
      <c r="AU1659" s="197"/>
      <c r="AV1659" s="197"/>
      <c r="AW1659" s="197"/>
    </row>
    <row r="1660" spans="28:49" s="196" customFormat="1">
      <c r="AB1660" s="201"/>
      <c r="AC1660" s="201"/>
      <c r="AD1660" s="197"/>
      <c r="AE1660" s="197"/>
      <c r="AF1660" s="197"/>
      <c r="AG1660" s="197"/>
      <c r="AH1660" s="197"/>
      <c r="AI1660" s="197"/>
      <c r="AJ1660" s="197"/>
      <c r="AK1660" s="197"/>
      <c r="AL1660" s="197"/>
      <c r="AM1660" s="197"/>
      <c r="AN1660" s="197"/>
      <c r="AO1660" s="197"/>
      <c r="AP1660" s="197"/>
      <c r="AQ1660" s="197"/>
      <c r="AR1660" s="197"/>
      <c r="AS1660" s="197"/>
      <c r="AT1660" s="197"/>
      <c r="AU1660" s="197"/>
      <c r="AV1660" s="197"/>
      <c r="AW1660" s="197"/>
    </row>
    <row r="1661" spans="28:49" s="196" customFormat="1">
      <c r="AB1661" s="201"/>
      <c r="AC1661" s="201"/>
      <c r="AD1661" s="197"/>
      <c r="AE1661" s="197"/>
      <c r="AF1661" s="197"/>
      <c r="AG1661" s="197"/>
      <c r="AH1661" s="197"/>
      <c r="AI1661" s="197"/>
      <c r="AJ1661" s="197"/>
      <c r="AK1661" s="197"/>
      <c r="AL1661" s="197"/>
      <c r="AM1661" s="197"/>
      <c r="AN1661" s="197"/>
      <c r="AO1661" s="197"/>
      <c r="AP1661" s="197"/>
      <c r="AQ1661" s="197"/>
      <c r="AR1661" s="197"/>
      <c r="AS1661" s="197"/>
      <c r="AT1661" s="197"/>
      <c r="AU1661" s="197"/>
      <c r="AV1661" s="197"/>
      <c r="AW1661" s="197"/>
    </row>
    <row r="1662" spans="28:49" s="196" customFormat="1">
      <c r="AB1662" s="201"/>
      <c r="AC1662" s="201"/>
      <c r="AD1662" s="197"/>
      <c r="AE1662" s="197"/>
      <c r="AF1662" s="197"/>
      <c r="AG1662" s="197"/>
      <c r="AH1662" s="197"/>
      <c r="AI1662" s="197"/>
      <c r="AJ1662" s="197"/>
      <c r="AK1662" s="197"/>
      <c r="AL1662" s="197"/>
      <c r="AM1662" s="197"/>
      <c r="AN1662" s="197"/>
      <c r="AO1662" s="197"/>
      <c r="AP1662" s="197"/>
      <c r="AQ1662" s="197"/>
      <c r="AR1662" s="197"/>
      <c r="AS1662" s="197"/>
      <c r="AT1662" s="197"/>
      <c r="AU1662" s="197"/>
      <c r="AV1662" s="197"/>
      <c r="AW1662" s="197"/>
    </row>
    <row r="1663" spans="28:49" s="196" customFormat="1">
      <c r="AB1663" s="201"/>
      <c r="AC1663" s="201"/>
      <c r="AD1663" s="197"/>
      <c r="AE1663" s="197"/>
      <c r="AF1663" s="197"/>
      <c r="AG1663" s="197"/>
      <c r="AH1663" s="197"/>
      <c r="AI1663" s="197"/>
      <c r="AJ1663" s="197"/>
      <c r="AK1663" s="197"/>
      <c r="AL1663" s="197"/>
      <c r="AM1663" s="197"/>
      <c r="AN1663" s="197"/>
      <c r="AO1663" s="197"/>
      <c r="AP1663" s="197"/>
      <c r="AQ1663" s="197"/>
      <c r="AR1663" s="197"/>
      <c r="AS1663" s="197"/>
      <c r="AT1663" s="197"/>
      <c r="AU1663" s="197"/>
      <c r="AV1663" s="197"/>
      <c r="AW1663" s="197"/>
    </row>
    <row r="1664" spans="28:49" s="196" customFormat="1">
      <c r="AB1664" s="201"/>
      <c r="AC1664" s="201"/>
      <c r="AD1664" s="197"/>
      <c r="AE1664" s="197"/>
      <c r="AF1664" s="197"/>
      <c r="AG1664" s="197"/>
      <c r="AH1664" s="197"/>
      <c r="AI1664" s="197"/>
      <c r="AJ1664" s="197"/>
      <c r="AK1664" s="197"/>
      <c r="AL1664" s="197"/>
      <c r="AM1664" s="197"/>
      <c r="AN1664" s="197"/>
      <c r="AO1664" s="197"/>
      <c r="AP1664" s="197"/>
      <c r="AQ1664" s="197"/>
      <c r="AR1664" s="197"/>
      <c r="AS1664" s="197"/>
      <c r="AT1664" s="197"/>
      <c r="AU1664" s="197"/>
      <c r="AV1664" s="197"/>
      <c r="AW1664" s="197"/>
    </row>
    <row r="1665" spans="28:49" s="196" customFormat="1">
      <c r="AB1665" s="201"/>
      <c r="AC1665" s="201"/>
      <c r="AD1665" s="197"/>
      <c r="AE1665" s="197"/>
      <c r="AF1665" s="197"/>
      <c r="AG1665" s="197"/>
      <c r="AH1665" s="197"/>
      <c r="AI1665" s="197"/>
      <c r="AJ1665" s="197"/>
      <c r="AK1665" s="197"/>
      <c r="AL1665" s="197"/>
      <c r="AM1665" s="197"/>
      <c r="AN1665" s="197"/>
      <c r="AO1665" s="197"/>
      <c r="AP1665" s="197"/>
      <c r="AQ1665" s="197"/>
      <c r="AR1665" s="197"/>
      <c r="AS1665" s="197"/>
      <c r="AT1665" s="197"/>
      <c r="AU1665" s="197"/>
      <c r="AV1665" s="197"/>
      <c r="AW1665" s="197"/>
    </row>
    <row r="1666" spans="28:49" s="196" customFormat="1">
      <c r="AB1666" s="201"/>
      <c r="AC1666" s="201"/>
      <c r="AD1666" s="197"/>
      <c r="AE1666" s="197"/>
      <c r="AF1666" s="197"/>
      <c r="AG1666" s="197"/>
      <c r="AH1666" s="197"/>
      <c r="AI1666" s="197"/>
      <c r="AJ1666" s="197"/>
      <c r="AK1666" s="197"/>
      <c r="AL1666" s="197"/>
      <c r="AM1666" s="197"/>
      <c r="AN1666" s="197"/>
      <c r="AO1666" s="197"/>
      <c r="AP1666" s="197"/>
      <c r="AQ1666" s="197"/>
      <c r="AR1666" s="197"/>
      <c r="AS1666" s="197"/>
      <c r="AT1666" s="197"/>
      <c r="AU1666" s="197"/>
      <c r="AV1666" s="197"/>
      <c r="AW1666" s="197"/>
    </row>
    <row r="1667" spans="28:49" s="196" customFormat="1">
      <c r="AB1667" s="201"/>
      <c r="AC1667" s="201"/>
      <c r="AD1667" s="197"/>
      <c r="AE1667" s="197"/>
      <c r="AF1667" s="197"/>
      <c r="AG1667" s="197"/>
      <c r="AH1667" s="197"/>
      <c r="AI1667" s="197"/>
      <c r="AJ1667" s="197"/>
      <c r="AK1667" s="197"/>
      <c r="AL1667" s="197"/>
      <c r="AM1667" s="197"/>
      <c r="AN1667" s="197"/>
      <c r="AO1667" s="197"/>
      <c r="AP1667" s="197"/>
      <c r="AQ1667" s="197"/>
      <c r="AR1667" s="197"/>
      <c r="AS1667" s="197"/>
      <c r="AT1667" s="197"/>
      <c r="AU1667" s="197"/>
      <c r="AV1667" s="197"/>
      <c r="AW1667" s="197"/>
    </row>
    <row r="1668" spans="28:49" s="196" customFormat="1">
      <c r="AB1668" s="201"/>
      <c r="AC1668" s="201"/>
      <c r="AD1668" s="197"/>
      <c r="AE1668" s="197"/>
      <c r="AF1668" s="197"/>
      <c r="AG1668" s="197"/>
      <c r="AH1668" s="197"/>
      <c r="AI1668" s="197"/>
      <c r="AJ1668" s="197"/>
      <c r="AK1668" s="197"/>
      <c r="AL1668" s="197"/>
      <c r="AM1668" s="197"/>
      <c r="AN1668" s="197"/>
      <c r="AO1668" s="197"/>
      <c r="AP1668" s="197"/>
      <c r="AQ1668" s="197"/>
      <c r="AR1668" s="197"/>
      <c r="AS1668" s="197"/>
      <c r="AT1668" s="197"/>
      <c r="AU1668" s="197"/>
      <c r="AV1668" s="197"/>
      <c r="AW1668" s="197"/>
    </row>
    <row r="1669" spans="28:49" s="196" customFormat="1">
      <c r="AB1669" s="201"/>
      <c r="AC1669" s="201"/>
      <c r="AD1669" s="197"/>
      <c r="AE1669" s="197"/>
      <c r="AF1669" s="197"/>
      <c r="AG1669" s="197"/>
      <c r="AH1669" s="197"/>
      <c r="AI1669" s="197"/>
      <c r="AJ1669" s="197"/>
      <c r="AK1669" s="197"/>
      <c r="AL1669" s="197"/>
      <c r="AM1669" s="197"/>
      <c r="AN1669" s="197"/>
      <c r="AO1669" s="197"/>
      <c r="AP1669" s="197"/>
      <c r="AQ1669" s="197"/>
      <c r="AR1669" s="197"/>
      <c r="AS1669" s="197"/>
      <c r="AT1669" s="197"/>
      <c r="AU1669" s="197"/>
      <c r="AV1669" s="197"/>
      <c r="AW1669" s="197"/>
    </row>
    <row r="1670" spans="28:49" s="196" customFormat="1">
      <c r="AB1670" s="201"/>
      <c r="AC1670" s="201"/>
      <c r="AD1670" s="197"/>
      <c r="AE1670" s="197"/>
      <c r="AF1670" s="197"/>
      <c r="AG1670" s="197"/>
      <c r="AH1670" s="197"/>
      <c r="AI1670" s="197"/>
      <c r="AJ1670" s="197"/>
      <c r="AK1670" s="197"/>
      <c r="AL1670" s="197"/>
      <c r="AM1670" s="197"/>
      <c r="AN1670" s="197"/>
      <c r="AO1670" s="197"/>
      <c r="AP1670" s="197"/>
      <c r="AQ1670" s="197"/>
      <c r="AR1670" s="197"/>
      <c r="AS1670" s="197"/>
      <c r="AT1670" s="197"/>
      <c r="AU1670" s="197"/>
      <c r="AV1670" s="197"/>
      <c r="AW1670" s="197"/>
    </row>
    <row r="1671" spans="28:49" s="196" customFormat="1">
      <c r="AB1671" s="201"/>
      <c r="AC1671" s="201"/>
      <c r="AD1671" s="197"/>
      <c r="AE1671" s="197"/>
      <c r="AF1671" s="197"/>
      <c r="AG1671" s="197"/>
      <c r="AH1671" s="197"/>
      <c r="AI1671" s="197"/>
      <c r="AJ1671" s="197"/>
      <c r="AK1671" s="197"/>
      <c r="AL1671" s="197"/>
      <c r="AM1671" s="197"/>
      <c r="AN1671" s="197"/>
      <c r="AO1671" s="197"/>
      <c r="AP1671" s="197"/>
      <c r="AQ1671" s="197"/>
      <c r="AR1671" s="197"/>
      <c r="AS1671" s="197"/>
      <c r="AT1671" s="197"/>
      <c r="AU1671" s="197"/>
      <c r="AV1671" s="197"/>
      <c r="AW1671" s="197"/>
    </row>
    <row r="1672" spans="28:49" s="196" customFormat="1">
      <c r="AB1672" s="201"/>
      <c r="AC1672" s="201"/>
      <c r="AD1672" s="197"/>
      <c r="AE1672" s="197"/>
      <c r="AF1672" s="197"/>
      <c r="AG1672" s="197"/>
      <c r="AH1672" s="197"/>
      <c r="AI1672" s="197"/>
      <c r="AJ1672" s="197"/>
      <c r="AK1672" s="197"/>
      <c r="AL1672" s="197"/>
      <c r="AM1672" s="197"/>
      <c r="AN1672" s="197"/>
      <c r="AO1672" s="197"/>
      <c r="AP1672" s="197"/>
      <c r="AQ1672" s="197"/>
      <c r="AR1672" s="197"/>
      <c r="AS1672" s="197"/>
      <c r="AT1672" s="197"/>
      <c r="AU1672" s="197"/>
      <c r="AV1672" s="197"/>
      <c r="AW1672" s="197"/>
    </row>
    <row r="1673" spans="28:49" s="196" customFormat="1">
      <c r="AB1673" s="201"/>
      <c r="AC1673" s="201"/>
      <c r="AD1673" s="197"/>
      <c r="AE1673" s="197"/>
      <c r="AF1673" s="197"/>
      <c r="AG1673" s="197"/>
      <c r="AH1673" s="197"/>
      <c r="AI1673" s="197"/>
      <c r="AJ1673" s="197"/>
      <c r="AK1673" s="197"/>
      <c r="AL1673" s="197"/>
      <c r="AM1673" s="197"/>
      <c r="AN1673" s="197"/>
      <c r="AO1673" s="197"/>
      <c r="AP1673" s="197"/>
      <c r="AQ1673" s="197"/>
      <c r="AR1673" s="197"/>
      <c r="AS1673" s="197"/>
      <c r="AT1673" s="197"/>
      <c r="AU1673" s="197"/>
      <c r="AV1673" s="197"/>
      <c r="AW1673" s="197"/>
    </row>
    <row r="1674" spans="28:49" s="196" customFormat="1">
      <c r="AB1674" s="201"/>
      <c r="AC1674" s="201"/>
      <c r="AD1674" s="197"/>
      <c r="AE1674" s="197"/>
      <c r="AF1674" s="197"/>
      <c r="AG1674" s="197"/>
      <c r="AH1674" s="197"/>
      <c r="AI1674" s="197"/>
      <c r="AJ1674" s="197"/>
      <c r="AK1674" s="197"/>
      <c r="AL1674" s="197"/>
      <c r="AM1674" s="197"/>
      <c r="AN1674" s="197"/>
      <c r="AO1674" s="197"/>
      <c r="AP1674" s="197"/>
      <c r="AQ1674" s="197"/>
      <c r="AR1674" s="197"/>
      <c r="AS1674" s="197"/>
      <c r="AT1674" s="197"/>
      <c r="AU1674" s="197"/>
      <c r="AV1674" s="197"/>
      <c r="AW1674" s="197"/>
    </row>
    <row r="1675" spans="28:49" s="196" customFormat="1">
      <c r="AB1675" s="201"/>
      <c r="AC1675" s="201"/>
      <c r="AD1675" s="197"/>
      <c r="AE1675" s="197"/>
      <c r="AF1675" s="197"/>
      <c r="AG1675" s="197"/>
      <c r="AH1675" s="197"/>
      <c r="AI1675" s="197"/>
      <c r="AJ1675" s="197"/>
      <c r="AK1675" s="197"/>
      <c r="AL1675" s="197"/>
      <c r="AM1675" s="197"/>
      <c r="AN1675" s="197"/>
      <c r="AO1675" s="197"/>
      <c r="AP1675" s="197"/>
      <c r="AQ1675" s="197"/>
      <c r="AR1675" s="197"/>
      <c r="AS1675" s="197"/>
      <c r="AT1675" s="197"/>
      <c r="AU1675" s="197"/>
      <c r="AV1675" s="197"/>
      <c r="AW1675" s="197"/>
    </row>
    <row r="1676" spans="28:49" s="196" customFormat="1">
      <c r="AB1676" s="201"/>
      <c r="AC1676" s="201"/>
      <c r="AD1676" s="197"/>
      <c r="AE1676" s="197"/>
      <c r="AF1676" s="197"/>
      <c r="AG1676" s="197"/>
      <c r="AH1676" s="197"/>
      <c r="AI1676" s="197"/>
      <c r="AJ1676" s="197"/>
      <c r="AK1676" s="197"/>
      <c r="AL1676" s="197"/>
      <c r="AM1676" s="197"/>
      <c r="AN1676" s="197"/>
      <c r="AO1676" s="197"/>
      <c r="AP1676" s="197"/>
      <c r="AQ1676" s="197"/>
      <c r="AR1676" s="197"/>
      <c r="AS1676" s="197"/>
      <c r="AT1676" s="197"/>
      <c r="AU1676" s="197"/>
      <c r="AV1676" s="197"/>
      <c r="AW1676" s="197"/>
    </row>
    <row r="1677" spans="28:49" s="196" customFormat="1">
      <c r="AB1677" s="201"/>
      <c r="AC1677" s="201"/>
      <c r="AD1677" s="197"/>
      <c r="AE1677" s="197"/>
      <c r="AF1677" s="197"/>
      <c r="AG1677" s="197"/>
      <c r="AH1677" s="197"/>
      <c r="AI1677" s="197"/>
      <c r="AJ1677" s="197"/>
      <c r="AK1677" s="197"/>
      <c r="AL1677" s="197"/>
      <c r="AM1677" s="197"/>
      <c r="AN1677" s="197"/>
      <c r="AO1677" s="197"/>
      <c r="AP1677" s="197"/>
      <c r="AQ1677" s="197"/>
      <c r="AR1677" s="197"/>
      <c r="AS1677" s="197"/>
      <c r="AT1677" s="197"/>
      <c r="AU1677" s="197"/>
      <c r="AV1677" s="197"/>
      <c r="AW1677" s="197"/>
    </row>
    <row r="1678" spans="28:49" s="196" customFormat="1">
      <c r="AB1678" s="201"/>
      <c r="AC1678" s="201"/>
      <c r="AD1678" s="197"/>
      <c r="AE1678" s="197"/>
      <c r="AF1678" s="197"/>
      <c r="AG1678" s="197"/>
      <c r="AH1678" s="197"/>
      <c r="AI1678" s="197"/>
      <c r="AJ1678" s="197"/>
      <c r="AK1678" s="197"/>
      <c r="AL1678" s="197"/>
      <c r="AM1678" s="197"/>
      <c r="AN1678" s="197"/>
      <c r="AO1678" s="197"/>
      <c r="AP1678" s="197"/>
      <c r="AQ1678" s="197"/>
      <c r="AR1678" s="197"/>
      <c r="AS1678" s="197"/>
      <c r="AT1678" s="197"/>
      <c r="AU1678" s="197"/>
      <c r="AV1678" s="197"/>
      <c r="AW1678" s="197"/>
    </row>
    <row r="1679" spans="28:49" s="196" customFormat="1">
      <c r="AB1679" s="201"/>
      <c r="AC1679" s="201"/>
      <c r="AD1679" s="197"/>
      <c r="AE1679" s="197"/>
      <c r="AF1679" s="197"/>
      <c r="AG1679" s="197"/>
      <c r="AH1679" s="197"/>
      <c r="AI1679" s="197"/>
      <c r="AJ1679" s="197"/>
      <c r="AK1679" s="197"/>
      <c r="AL1679" s="197"/>
      <c r="AM1679" s="197"/>
      <c r="AN1679" s="197"/>
      <c r="AO1679" s="197"/>
      <c r="AP1679" s="197"/>
      <c r="AQ1679" s="197"/>
      <c r="AR1679" s="197"/>
      <c r="AS1679" s="197"/>
      <c r="AT1679" s="197"/>
      <c r="AU1679" s="197"/>
      <c r="AV1679" s="197"/>
      <c r="AW1679" s="197"/>
    </row>
    <row r="1680" spans="28:49" s="196" customFormat="1">
      <c r="AB1680" s="201"/>
      <c r="AC1680" s="201"/>
      <c r="AD1680" s="197"/>
      <c r="AE1680" s="197"/>
      <c r="AF1680" s="197"/>
      <c r="AG1680" s="197"/>
      <c r="AH1680" s="197"/>
      <c r="AI1680" s="197"/>
      <c r="AJ1680" s="197"/>
      <c r="AK1680" s="197"/>
      <c r="AL1680" s="197"/>
      <c r="AM1680" s="197"/>
      <c r="AN1680" s="197"/>
      <c r="AO1680" s="197"/>
      <c r="AP1680" s="197"/>
      <c r="AQ1680" s="197"/>
      <c r="AR1680" s="197"/>
      <c r="AS1680" s="197"/>
      <c r="AT1680" s="197"/>
      <c r="AU1680" s="197"/>
      <c r="AV1680" s="197"/>
      <c r="AW1680" s="197"/>
    </row>
    <row r="1681" spans="28:49" s="196" customFormat="1">
      <c r="AB1681" s="201"/>
      <c r="AC1681" s="201"/>
      <c r="AD1681" s="197"/>
      <c r="AE1681" s="197"/>
      <c r="AF1681" s="197"/>
      <c r="AG1681" s="197"/>
      <c r="AH1681" s="197"/>
      <c r="AI1681" s="197"/>
      <c r="AJ1681" s="197"/>
      <c r="AK1681" s="197"/>
      <c r="AL1681" s="197"/>
      <c r="AM1681" s="197"/>
      <c r="AN1681" s="197"/>
      <c r="AO1681" s="197"/>
      <c r="AP1681" s="197"/>
      <c r="AQ1681" s="197"/>
      <c r="AR1681" s="197"/>
      <c r="AS1681" s="197"/>
      <c r="AT1681" s="197"/>
      <c r="AU1681" s="197"/>
      <c r="AV1681" s="197"/>
      <c r="AW1681" s="197"/>
    </row>
    <row r="1682" spans="28:49" s="196" customFormat="1">
      <c r="AB1682" s="201"/>
      <c r="AC1682" s="201"/>
      <c r="AD1682" s="197"/>
      <c r="AE1682" s="197"/>
      <c r="AF1682" s="197"/>
      <c r="AG1682" s="197"/>
      <c r="AH1682" s="197"/>
      <c r="AI1682" s="197"/>
      <c r="AJ1682" s="197"/>
      <c r="AK1682" s="197"/>
      <c r="AL1682" s="197"/>
      <c r="AM1682" s="197"/>
      <c r="AN1682" s="197"/>
      <c r="AO1682" s="197"/>
      <c r="AP1682" s="197"/>
      <c r="AQ1682" s="197"/>
      <c r="AR1682" s="197"/>
      <c r="AS1682" s="197"/>
      <c r="AT1682" s="197"/>
      <c r="AU1682" s="197"/>
      <c r="AV1682" s="197"/>
      <c r="AW1682" s="197"/>
    </row>
    <row r="1683" spans="28:49" s="196" customFormat="1">
      <c r="AB1683" s="201"/>
      <c r="AC1683" s="201"/>
      <c r="AD1683" s="197"/>
      <c r="AE1683" s="197"/>
      <c r="AF1683" s="197"/>
      <c r="AG1683" s="197"/>
      <c r="AH1683" s="197"/>
      <c r="AI1683" s="197"/>
      <c r="AJ1683" s="197"/>
      <c r="AK1683" s="197"/>
      <c r="AL1683" s="197"/>
      <c r="AM1683" s="197"/>
      <c r="AN1683" s="197"/>
      <c r="AO1683" s="197"/>
      <c r="AP1683" s="197"/>
      <c r="AQ1683" s="197"/>
      <c r="AR1683" s="197"/>
      <c r="AS1683" s="197"/>
      <c r="AT1683" s="197"/>
      <c r="AU1683" s="197"/>
      <c r="AV1683" s="197"/>
      <c r="AW1683" s="197"/>
    </row>
    <row r="1684" spans="28:49" s="196" customFormat="1">
      <c r="AB1684" s="201"/>
      <c r="AC1684" s="201"/>
      <c r="AD1684" s="197"/>
      <c r="AE1684" s="197"/>
      <c r="AF1684" s="197"/>
      <c r="AG1684" s="197"/>
      <c r="AH1684" s="197"/>
      <c r="AI1684" s="197"/>
      <c r="AJ1684" s="197"/>
      <c r="AK1684" s="197"/>
      <c r="AL1684" s="197"/>
      <c r="AM1684" s="197"/>
      <c r="AN1684" s="197"/>
      <c r="AO1684" s="197"/>
      <c r="AP1684" s="197"/>
      <c r="AQ1684" s="197"/>
      <c r="AR1684" s="197"/>
      <c r="AS1684" s="197"/>
      <c r="AT1684" s="197"/>
      <c r="AU1684" s="197"/>
      <c r="AV1684" s="197"/>
      <c r="AW1684" s="197"/>
    </row>
    <row r="1685" spans="28:49" s="196" customFormat="1">
      <c r="AB1685" s="201"/>
      <c r="AC1685" s="201"/>
      <c r="AD1685" s="197"/>
      <c r="AE1685" s="197"/>
      <c r="AF1685" s="197"/>
      <c r="AG1685" s="197"/>
      <c r="AH1685" s="197"/>
      <c r="AI1685" s="197"/>
      <c r="AJ1685" s="197"/>
      <c r="AK1685" s="197"/>
      <c r="AL1685" s="197"/>
      <c r="AM1685" s="197"/>
      <c r="AN1685" s="197"/>
      <c r="AO1685" s="197"/>
      <c r="AP1685" s="197"/>
      <c r="AQ1685" s="197"/>
      <c r="AR1685" s="197"/>
      <c r="AS1685" s="197"/>
      <c r="AT1685" s="197"/>
      <c r="AU1685" s="197"/>
      <c r="AV1685" s="197"/>
      <c r="AW1685" s="197"/>
    </row>
    <row r="1686" spans="28:49" s="196" customFormat="1">
      <c r="AB1686" s="201"/>
      <c r="AC1686" s="201"/>
      <c r="AD1686" s="197"/>
      <c r="AE1686" s="197"/>
      <c r="AF1686" s="197"/>
      <c r="AG1686" s="197"/>
      <c r="AH1686" s="197"/>
      <c r="AI1686" s="197"/>
      <c r="AJ1686" s="197"/>
      <c r="AK1686" s="197"/>
      <c r="AL1686" s="197"/>
      <c r="AM1686" s="197"/>
      <c r="AN1686" s="197"/>
      <c r="AO1686" s="197"/>
      <c r="AP1686" s="197"/>
      <c r="AQ1686" s="197"/>
      <c r="AR1686" s="197"/>
      <c r="AS1686" s="197"/>
      <c r="AT1686" s="197"/>
      <c r="AU1686" s="197"/>
      <c r="AV1686" s="197"/>
      <c r="AW1686" s="197"/>
    </row>
    <row r="1687" spans="28:49" s="196" customFormat="1">
      <c r="AB1687" s="201"/>
      <c r="AC1687" s="201"/>
      <c r="AD1687" s="197"/>
      <c r="AE1687" s="197"/>
      <c r="AF1687" s="197"/>
      <c r="AG1687" s="197"/>
      <c r="AH1687" s="197"/>
      <c r="AI1687" s="197"/>
      <c r="AJ1687" s="197"/>
      <c r="AK1687" s="197"/>
      <c r="AL1687" s="197"/>
      <c r="AM1687" s="197"/>
      <c r="AN1687" s="197"/>
      <c r="AO1687" s="197"/>
      <c r="AP1687" s="197"/>
      <c r="AQ1687" s="197"/>
      <c r="AR1687" s="197"/>
      <c r="AS1687" s="197"/>
      <c r="AT1687" s="197"/>
      <c r="AU1687" s="197"/>
      <c r="AV1687" s="197"/>
      <c r="AW1687" s="197"/>
    </row>
    <row r="1688" spans="28:49" s="196" customFormat="1">
      <c r="AB1688" s="201"/>
      <c r="AC1688" s="201"/>
      <c r="AD1688" s="197"/>
      <c r="AE1688" s="197"/>
      <c r="AF1688" s="197"/>
      <c r="AG1688" s="197"/>
      <c r="AH1688" s="197"/>
      <c r="AI1688" s="197"/>
      <c r="AJ1688" s="197"/>
      <c r="AK1688" s="197"/>
      <c r="AL1688" s="197"/>
      <c r="AM1688" s="197"/>
      <c r="AN1688" s="197"/>
      <c r="AO1688" s="197"/>
      <c r="AP1688" s="197"/>
      <c r="AQ1688" s="197"/>
      <c r="AR1688" s="197"/>
      <c r="AS1688" s="197"/>
      <c r="AT1688" s="197"/>
      <c r="AU1688" s="197"/>
      <c r="AV1688" s="197"/>
      <c r="AW1688" s="197"/>
    </row>
    <row r="1689" spans="28:49" s="196" customFormat="1">
      <c r="AB1689" s="201"/>
      <c r="AC1689" s="201"/>
      <c r="AD1689" s="197"/>
      <c r="AE1689" s="197"/>
      <c r="AF1689" s="197"/>
      <c r="AG1689" s="197"/>
      <c r="AH1689" s="197"/>
      <c r="AI1689" s="197"/>
      <c r="AJ1689" s="197"/>
      <c r="AK1689" s="197"/>
      <c r="AL1689" s="197"/>
      <c r="AM1689" s="197"/>
      <c r="AN1689" s="197"/>
      <c r="AO1689" s="197"/>
      <c r="AP1689" s="197"/>
      <c r="AQ1689" s="197"/>
      <c r="AR1689" s="197"/>
      <c r="AS1689" s="197"/>
      <c r="AT1689" s="197"/>
      <c r="AU1689" s="197"/>
      <c r="AV1689" s="197"/>
      <c r="AW1689" s="197"/>
    </row>
    <row r="1690" spans="28:49" s="196" customFormat="1">
      <c r="AB1690" s="201"/>
      <c r="AC1690" s="201"/>
      <c r="AD1690" s="197"/>
      <c r="AE1690" s="197"/>
      <c r="AF1690" s="197"/>
      <c r="AG1690" s="197"/>
      <c r="AH1690" s="197"/>
      <c r="AI1690" s="197"/>
      <c r="AJ1690" s="197"/>
      <c r="AK1690" s="197"/>
      <c r="AL1690" s="197"/>
      <c r="AM1690" s="197"/>
      <c r="AN1690" s="197"/>
      <c r="AO1690" s="197"/>
      <c r="AP1690" s="197"/>
      <c r="AQ1690" s="197"/>
      <c r="AR1690" s="197"/>
      <c r="AS1690" s="197"/>
      <c r="AT1690" s="197"/>
      <c r="AU1690" s="197"/>
      <c r="AV1690" s="197"/>
      <c r="AW1690" s="197"/>
    </row>
    <row r="1691" spans="28:49" s="196" customFormat="1">
      <c r="AB1691" s="201"/>
      <c r="AC1691" s="201"/>
      <c r="AD1691" s="197"/>
      <c r="AE1691" s="197"/>
      <c r="AF1691" s="197"/>
      <c r="AG1691" s="197"/>
      <c r="AH1691" s="197"/>
      <c r="AI1691" s="197"/>
      <c r="AJ1691" s="197"/>
      <c r="AK1691" s="197"/>
      <c r="AL1691" s="197"/>
      <c r="AM1691" s="197"/>
      <c r="AN1691" s="197"/>
      <c r="AO1691" s="197"/>
      <c r="AP1691" s="197"/>
      <c r="AQ1691" s="197"/>
      <c r="AR1691" s="197"/>
      <c r="AS1691" s="197"/>
      <c r="AT1691" s="197"/>
      <c r="AU1691" s="197"/>
      <c r="AV1691" s="197"/>
      <c r="AW1691" s="197"/>
    </row>
    <row r="1692" spans="28:49" s="196" customFormat="1">
      <c r="AB1692" s="201"/>
      <c r="AC1692" s="201"/>
      <c r="AD1692" s="197"/>
      <c r="AE1692" s="197"/>
      <c r="AF1692" s="197"/>
      <c r="AG1692" s="197"/>
      <c r="AH1692" s="197"/>
      <c r="AI1692" s="197"/>
      <c r="AJ1692" s="197"/>
      <c r="AK1692" s="197"/>
      <c r="AL1692" s="197"/>
      <c r="AM1692" s="197"/>
      <c r="AN1692" s="197"/>
      <c r="AO1692" s="197"/>
      <c r="AP1692" s="197"/>
      <c r="AQ1692" s="197"/>
      <c r="AR1692" s="197"/>
      <c r="AS1692" s="197"/>
      <c r="AT1692" s="197"/>
      <c r="AU1692" s="197"/>
      <c r="AV1692" s="197"/>
      <c r="AW1692" s="197"/>
    </row>
    <row r="1693" spans="28:49" s="196" customFormat="1">
      <c r="AB1693" s="201"/>
      <c r="AC1693" s="201"/>
      <c r="AD1693" s="197"/>
      <c r="AE1693" s="197"/>
      <c r="AF1693" s="197"/>
      <c r="AG1693" s="197"/>
      <c r="AH1693" s="197"/>
      <c r="AI1693" s="197"/>
      <c r="AJ1693" s="197"/>
      <c r="AK1693" s="197"/>
      <c r="AL1693" s="197"/>
      <c r="AM1693" s="197"/>
      <c r="AN1693" s="197"/>
      <c r="AO1693" s="197"/>
      <c r="AP1693" s="197"/>
      <c r="AQ1693" s="197"/>
      <c r="AR1693" s="197"/>
      <c r="AS1693" s="197"/>
      <c r="AT1693" s="197"/>
      <c r="AU1693" s="197"/>
      <c r="AV1693" s="197"/>
      <c r="AW1693" s="197"/>
    </row>
    <row r="1694" spans="28:49" s="196" customFormat="1">
      <c r="AB1694" s="201"/>
      <c r="AC1694" s="201"/>
      <c r="AD1694" s="197"/>
      <c r="AE1694" s="197"/>
      <c r="AF1694" s="197"/>
      <c r="AG1694" s="197"/>
      <c r="AH1694" s="197"/>
      <c r="AI1694" s="197"/>
      <c r="AJ1694" s="197"/>
      <c r="AK1694" s="197"/>
      <c r="AL1694" s="197"/>
      <c r="AM1694" s="197"/>
      <c r="AN1694" s="197"/>
      <c r="AO1694" s="197"/>
      <c r="AP1694" s="197"/>
      <c r="AQ1694" s="197"/>
      <c r="AR1694" s="197"/>
      <c r="AS1694" s="197"/>
      <c r="AT1694" s="197"/>
      <c r="AU1694" s="197"/>
      <c r="AV1694" s="197"/>
      <c r="AW1694" s="197"/>
    </row>
    <row r="1695" spans="28:49" s="196" customFormat="1">
      <c r="AB1695" s="201"/>
      <c r="AC1695" s="201"/>
      <c r="AD1695" s="197"/>
      <c r="AE1695" s="197"/>
      <c r="AF1695" s="197"/>
      <c r="AG1695" s="197"/>
      <c r="AH1695" s="197"/>
      <c r="AI1695" s="197"/>
      <c r="AJ1695" s="197"/>
      <c r="AK1695" s="197"/>
      <c r="AL1695" s="197"/>
      <c r="AM1695" s="197"/>
      <c r="AN1695" s="197"/>
      <c r="AO1695" s="197"/>
      <c r="AP1695" s="197"/>
      <c r="AQ1695" s="197"/>
      <c r="AR1695" s="197"/>
      <c r="AS1695" s="197"/>
      <c r="AT1695" s="197"/>
      <c r="AU1695" s="197"/>
      <c r="AV1695" s="197"/>
      <c r="AW1695" s="197"/>
    </row>
    <row r="1696" spans="28:49" s="196" customFormat="1">
      <c r="AB1696" s="201"/>
      <c r="AC1696" s="201"/>
      <c r="AD1696" s="197"/>
      <c r="AE1696" s="197"/>
      <c r="AF1696" s="197"/>
      <c r="AG1696" s="197"/>
      <c r="AH1696" s="197"/>
      <c r="AI1696" s="197"/>
      <c r="AJ1696" s="197"/>
      <c r="AK1696" s="197"/>
      <c r="AL1696" s="197"/>
      <c r="AM1696" s="197"/>
      <c r="AN1696" s="197"/>
      <c r="AO1696" s="197"/>
      <c r="AP1696" s="197"/>
      <c r="AQ1696" s="197"/>
      <c r="AR1696" s="197"/>
      <c r="AS1696" s="197"/>
      <c r="AT1696" s="197"/>
      <c r="AU1696" s="197"/>
      <c r="AV1696" s="197"/>
      <c r="AW1696" s="197"/>
    </row>
    <row r="1697" spans="28:49" s="196" customFormat="1">
      <c r="AB1697" s="201"/>
      <c r="AC1697" s="201"/>
      <c r="AD1697" s="197"/>
      <c r="AE1697" s="197"/>
      <c r="AF1697" s="197"/>
      <c r="AG1697" s="197"/>
      <c r="AH1697" s="197"/>
      <c r="AI1697" s="197"/>
      <c r="AJ1697" s="197"/>
      <c r="AK1697" s="197"/>
      <c r="AL1697" s="197"/>
      <c r="AM1697" s="197"/>
      <c r="AN1697" s="197"/>
      <c r="AO1697" s="197"/>
      <c r="AP1697" s="197"/>
      <c r="AQ1697" s="197"/>
      <c r="AR1697" s="197"/>
      <c r="AS1697" s="197"/>
      <c r="AT1697" s="197"/>
      <c r="AU1697" s="197"/>
      <c r="AV1697" s="197"/>
      <c r="AW1697" s="197"/>
    </row>
    <row r="1698" spans="28:49" s="196" customFormat="1">
      <c r="AB1698" s="201"/>
      <c r="AC1698" s="201"/>
      <c r="AD1698" s="197"/>
      <c r="AE1698" s="197"/>
      <c r="AF1698" s="197"/>
      <c r="AG1698" s="197"/>
      <c r="AH1698" s="197"/>
      <c r="AI1698" s="197"/>
      <c r="AJ1698" s="197"/>
      <c r="AK1698" s="197"/>
      <c r="AL1698" s="197"/>
      <c r="AM1698" s="197"/>
      <c r="AN1698" s="197"/>
      <c r="AO1698" s="197"/>
      <c r="AP1698" s="197"/>
      <c r="AQ1698" s="197"/>
      <c r="AR1698" s="197"/>
      <c r="AS1698" s="197"/>
      <c r="AT1698" s="197"/>
      <c r="AU1698" s="197"/>
      <c r="AV1698" s="197"/>
      <c r="AW1698" s="197"/>
    </row>
    <row r="1699" spans="28:49" s="196" customFormat="1">
      <c r="AB1699" s="201"/>
      <c r="AC1699" s="201"/>
      <c r="AD1699" s="197"/>
      <c r="AE1699" s="197"/>
      <c r="AF1699" s="197"/>
      <c r="AG1699" s="197"/>
      <c r="AH1699" s="197"/>
      <c r="AI1699" s="197"/>
      <c r="AJ1699" s="197"/>
      <c r="AK1699" s="197"/>
      <c r="AL1699" s="197"/>
      <c r="AM1699" s="197"/>
      <c r="AN1699" s="197"/>
      <c r="AO1699" s="197"/>
      <c r="AP1699" s="197"/>
      <c r="AQ1699" s="197"/>
      <c r="AR1699" s="197"/>
      <c r="AS1699" s="197"/>
      <c r="AT1699" s="197"/>
      <c r="AU1699" s="197"/>
      <c r="AV1699" s="197"/>
      <c r="AW1699" s="197"/>
    </row>
    <row r="1700" spans="28:49" s="196" customFormat="1">
      <c r="AB1700" s="201"/>
      <c r="AC1700" s="201"/>
      <c r="AD1700" s="197"/>
      <c r="AE1700" s="197"/>
      <c r="AF1700" s="197"/>
      <c r="AG1700" s="197"/>
      <c r="AH1700" s="197"/>
      <c r="AI1700" s="197"/>
      <c r="AJ1700" s="197"/>
      <c r="AK1700" s="197"/>
      <c r="AL1700" s="197"/>
      <c r="AM1700" s="197"/>
      <c r="AN1700" s="197"/>
      <c r="AO1700" s="197"/>
      <c r="AP1700" s="197"/>
      <c r="AQ1700" s="197"/>
      <c r="AR1700" s="197"/>
      <c r="AS1700" s="197"/>
      <c r="AT1700" s="197"/>
      <c r="AU1700" s="197"/>
      <c r="AV1700" s="197"/>
      <c r="AW1700" s="197"/>
    </row>
    <row r="1701" spans="28:49" s="196" customFormat="1">
      <c r="AB1701" s="201"/>
      <c r="AC1701" s="201"/>
      <c r="AD1701" s="197"/>
      <c r="AE1701" s="197"/>
      <c r="AF1701" s="197"/>
      <c r="AG1701" s="197"/>
      <c r="AH1701" s="197"/>
      <c r="AI1701" s="197"/>
      <c r="AJ1701" s="197"/>
      <c r="AK1701" s="197"/>
      <c r="AL1701" s="197"/>
      <c r="AM1701" s="197"/>
      <c r="AN1701" s="197"/>
      <c r="AO1701" s="197"/>
      <c r="AP1701" s="197"/>
      <c r="AQ1701" s="197"/>
      <c r="AR1701" s="197"/>
      <c r="AS1701" s="197"/>
      <c r="AT1701" s="197"/>
      <c r="AU1701" s="197"/>
      <c r="AV1701" s="197"/>
      <c r="AW1701" s="197"/>
    </row>
    <row r="1702" spans="28:49" s="196" customFormat="1">
      <c r="AB1702" s="201"/>
      <c r="AC1702" s="201"/>
      <c r="AD1702" s="197"/>
      <c r="AE1702" s="197"/>
      <c r="AF1702" s="197"/>
      <c r="AG1702" s="197"/>
      <c r="AH1702" s="197"/>
      <c r="AI1702" s="197"/>
      <c r="AJ1702" s="197"/>
      <c r="AK1702" s="197"/>
      <c r="AL1702" s="197"/>
      <c r="AM1702" s="197"/>
      <c r="AN1702" s="197"/>
      <c r="AO1702" s="197"/>
      <c r="AP1702" s="197"/>
      <c r="AQ1702" s="197"/>
      <c r="AR1702" s="197"/>
      <c r="AS1702" s="197"/>
      <c r="AT1702" s="197"/>
      <c r="AU1702" s="197"/>
      <c r="AV1702" s="197"/>
      <c r="AW1702" s="197"/>
    </row>
    <row r="1703" spans="28:49" s="196" customFormat="1">
      <c r="AB1703" s="201"/>
      <c r="AC1703" s="201"/>
      <c r="AD1703" s="197"/>
      <c r="AE1703" s="197"/>
      <c r="AF1703" s="197"/>
      <c r="AG1703" s="197"/>
      <c r="AH1703" s="197"/>
      <c r="AI1703" s="197"/>
      <c r="AJ1703" s="197"/>
      <c r="AK1703" s="197"/>
      <c r="AL1703" s="197"/>
      <c r="AM1703" s="197"/>
      <c r="AN1703" s="197"/>
      <c r="AO1703" s="197"/>
      <c r="AP1703" s="197"/>
      <c r="AQ1703" s="197"/>
      <c r="AR1703" s="197"/>
      <c r="AS1703" s="197"/>
      <c r="AT1703" s="197"/>
      <c r="AU1703" s="197"/>
      <c r="AV1703" s="197"/>
      <c r="AW1703" s="197"/>
    </row>
    <row r="1704" spans="28:49" s="196" customFormat="1">
      <c r="AB1704" s="201"/>
      <c r="AC1704" s="201"/>
      <c r="AD1704" s="197"/>
      <c r="AE1704" s="197"/>
      <c r="AF1704" s="197"/>
      <c r="AG1704" s="197"/>
      <c r="AH1704" s="197"/>
      <c r="AI1704" s="197"/>
      <c r="AJ1704" s="197"/>
      <c r="AK1704" s="197"/>
      <c r="AL1704" s="197"/>
      <c r="AM1704" s="197"/>
      <c r="AN1704" s="197"/>
      <c r="AO1704" s="197"/>
      <c r="AP1704" s="197"/>
      <c r="AQ1704" s="197"/>
      <c r="AR1704" s="197"/>
      <c r="AS1704" s="197"/>
      <c r="AT1704" s="197"/>
      <c r="AU1704" s="197"/>
      <c r="AV1704" s="197"/>
      <c r="AW1704" s="197"/>
    </row>
    <row r="1705" spans="28:49" s="196" customFormat="1">
      <c r="AB1705" s="201"/>
      <c r="AC1705" s="201"/>
      <c r="AD1705" s="197"/>
      <c r="AE1705" s="197"/>
      <c r="AF1705" s="197"/>
      <c r="AG1705" s="197"/>
      <c r="AH1705" s="197"/>
      <c r="AI1705" s="197"/>
      <c r="AJ1705" s="197"/>
      <c r="AK1705" s="197"/>
      <c r="AL1705" s="197"/>
      <c r="AM1705" s="197"/>
      <c r="AN1705" s="197"/>
      <c r="AO1705" s="197"/>
      <c r="AP1705" s="197"/>
      <c r="AQ1705" s="197"/>
      <c r="AR1705" s="197"/>
      <c r="AS1705" s="197"/>
      <c r="AT1705" s="197"/>
      <c r="AU1705" s="197"/>
      <c r="AV1705" s="197"/>
      <c r="AW1705" s="197"/>
    </row>
    <row r="1706" spans="28:49" s="196" customFormat="1">
      <c r="AB1706" s="201"/>
      <c r="AC1706" s="201"/>
      <c r="AD1706" s="197"/>
      <c r="AE1706" s="197"/>
      <c r="AF1706" s="197"/>
      <c r="AG1706" s="197"/>
      <c r="AH1706" s="197"/>
      <c r="AI1706" s="197"/>
      <c r="AJ1706" s="197"/>
      <c r="AK1706" s="197"/>
      <c r="AL1706" s="197"/>
      <c r="AM1706" s="197"/>
      <c r="AN1706" s="197"/>
      <c r="AO1706" s="197"/>
      <c r="AP1706" s="197"/>
      <c r="AQ1706" s="197"/>
      <c r="AR1706" s="197"/>
      <c r="AS1706" s="197"/>
      <c r="AT1706" s="197"/>
      <c r="AU1706" s="197"/>
      <c r="AV1706" s="197"/>
      <c r="AW1706" s="197"/>
    </row>
    <row r="1707" spans="28:49" s="196" customFormat="1">
      <c r="AB1707" s="201"/>
      <c r="AC1707" s="201"/>
      <c r="AD1707" s="197"/>
      <c r="AE1707" s="197"/>
      <c r="AF1707" s="197"/>
      <c r="AG1707" s="197"/>
      <c r="AH1707" s="197"/>
      <c r="AI1707" s="197"/>
      <c r="AJ1707" s="197"/>
      <c r="AK1707" s="197"/>
      <c r="AL1707" s="197"/>
      <c r="AM1707" s="197"/>
      <c r="AN1707" s="197"/>
      <c r="AO1707" s="197"/>
      <c r="AP1707" s="197"/>
      <c r="AQ1707" s="197"/>
      <c r="AR1707" s="197"/>
      <c r="AS1707" s="197"/>
      <c r="AT1707" s="197"/>
      <c r="AU1707" s="197"/>
      <c r="AV1707" s="197"/>
      <c r="AW1707" s="197"/>
    </row>
    <row r="1708" spans="28:49" s="196" customFormat="1">
      <c r="AB1708" s="201"/>
      <c r="AC1708" s="201"/>
      <c r="AD1708" s="197"/>
      <c r="AE1708" s="197"/>
      <c r="AF1708" s="197"/>
      <c r="AG1708" s="197"/>
      <c r="AH1708" s="197"/>
      <c r="AI1708" s="197"/>
      <c r="AJ1708" s="197"/>
      <c r="AK1708" s="197"/>
      <c r="AL1708" s="197"/>
      <c r="AM1708" s="197"/>
      <c r="AN1708" s="197"/>
      <c r="AO1708" s="197"/>
      <c r="AP1708" s="197"/>
      <c r="AQ1708" s="197"/>
      <c r="AR1708" s="197"/>
      <c r="AS1708" s="197"/>
      <c r="AT1708" s="197"/>
      <c r="AU1708" s="197"/>
      <c r="AV1708" s="197"/>
      <c r="AW1708" s="197"/>
    </row>
    <row r="1709" spans="28:49" s="196" customFormat="1">
      <c r="AB1709" s="201"/>
      <c r="AC1709" s="201"/>
      <c r="AD1709" s="197"/>
      <c r="AE1709" s="197"/>
      <c r="AF1709" s="197"/>
      <c r="AG1709" s="197"/>
      <c r="AH1709" s="197"/>
      <c r="AI1709" s="197"/>
      <c r="AJ1709" s="197"/>
      <c r="AK1709" s="197"/>
      <c r="AL1709" s="197"/>
      <c r="AM1709" s="197"/>
      <c r="AN1709" s="197"/>
      <c r="AO1709" s="197"/>
      <c r="AP1709" s="197"/>
      <c r="AQ1709" s="197"/>
      <c r="AR1709" s="197"/>
      <c r="AS1709" s="197"/>
      <c r="AT1709" s="197"/>
      <c r="AU1709" s="197"/>
      <c r="AV1709" s="197"/>
      <c r="AW1709" s="197"/>
    </row>
    <row r="1710" spans="28:49" s="196" customFormat="1">
      <c r="AB1710" s="201"/>
      <c r="AC1710" s="201"/>
      <c r="AD1710" s="197"/>
      <c r="AE1710" s="197"/>
      <c r="AF1710" s="197"/>
      <c r="AG1710" s="197"/>
      <c r="AH1710" s="197"/>
      <c r="AI1710" s="197"/>
      <c r="AJ1710" s="197"/>
      <c r="AK1710" s="197"/>
      <c r="AL1710" s="197"/>
      <c r="AM1710" s="197"/>
      <c r="AN1710" s="197"/>
      <c r="AO1710" s="197"/>
      <c r="AP1710" s="197"/>
      <c r="AQ1710" s="197"/>
      <c r="AR1710" s="197"/>
      <c r="AS1710" s="197"/>
      <c r="AT1710" s="197"/>
      <c r="AU1710" s="197"/>
      <c r="AV1710" s="197"/>
      <c r="AW1710" s="197"/>
    </row>
    <row r="1711" spans="28:49" s="196" customFormat="1">
      <c r="AB1711" s="201"/>
      <c r="AC1711" s="201"/>
      <c r="AD1711" s="197"/>
      <c r="AE1711" s="197"/>
      <c r="AF1711" s="197"/>
      <c r="AG1711" s="197"/>
      <c r="AH1711" s="197"/>
      <c r="AI1711" s="197"/>
      <c r="AJ1711" s="197"/>
      <c r="AK1711" s="197"/>
      <c r="AL1711" s="197"/>
      <c r="AM1711" s="197"/>
      <c r="AN1711" s="197"/>
      <c r="AO1711" s="197"/>
      <c r="AP1711" s="197"/>
      <c r="AQ1711" s="197"/>
      <c r="AR1711" s="197"/>
      <c r="AS1711" s="197"/>
      <c r="AT1711" s="197"/>
      <c r="AU1711" s="197"/>
      <c r="AV1711" s="197"/>
      <c r="AW1711" s="197"/>
    </row>
    <row r="1712" spans="28:49" s="196" customFormat="1">
      <c r="AB1712" s="201"/>
      <c r="AC1712" s="201"/>
      <c r="AD1712" s="197"/>
      <c r="AE1712" s="197"/>
      <c r="AF1712" s="197"/>
      <c r="AG1712" s="197"/>
      <c r="AH1712" s="197"/>
      <c r="AI1712" s="197"/>
      <c r="AJ1712" s="197"/>
      <c r="AK1712" s="197"/>
      <c r="AL1712" s="197"/>
      <c r="AM1712" s="197"/>
      <c r="AN1712" s="197"/>
      <c r="AO1712" s="197"/>
      <c r="AP1712" s="197"/>
      <c r="AQ1712" s="197"/>
      <c r="AR1712" s="197"/>
      <c r="AS1712" s="197"/>
      <c r="AT1712" s="197"/>
      <c r="AU1712" s="197"/>
      <c r="AV1712" s="197"/>
      <c r="AW1712" s="197"/>
    </row>
    <row r="1713" spans="28:49" s="196" customFormat="1">
      <c r="AB1713" s="201"/>
      <c r="AC1713" s="201"/>
      <c r="AD1713" s="197"/>
      <c r="AE1713" s="197"/>
      <c r="AF1713" s="197"/>
      <c r="AG1713" s="197"/>
      <c r="AH1713" s="197"/>
      <c r="AI1713" s="197"/>
      <c r="AJ1713" s="197"/>
      <c r="AK1713" s="197"/>
      <c r="AL1713" s="197"/>
      <c r="AM1713" s="197"/>
      <c r="AN1713" s="197"/>
      <c r="AO1713" s="197"/>
      <c r="AP1713" s="197"/>
      <c r="AQ1713" s="197"/>
      <c r="AR1713" s="197"/>
      <c r="AS1713" s="197"/>
      <c r="AT1713" s="197"/>
      <c r="AU1713" s="197"/>
      <c r="AV1713" s="197"/>
      <c r="AW1713" s="197"/>
    </row>
    <row r="1714" spans="28:49" s="196" customFormat="1">
      <c r="AB1714" s="201"/>
      <c r="AC1714" s="201"/>
      <c r="AD1714" s="197"/>
      <c r="AE1714" s="197"/>
      <c r="AF1714" s="197"/>
      <c r="AG1714" s="197"/>
      <c r="AH1714" s="197"/>
      <c r="AI1714" s="197"/>
      <c r="AJ1714" s="197"/>
      <c r="AK1714" s="197"/>
      <c r="AL1714" s="197"/>
      <c r="AM1714" s="197"/>
      <c r="AN1714" s="197"/>
      <c r="AO1714" s="197"/>
      <c r="AP1714" s="197"/>
      <c r="AQ1714" s="197"/>
      <c r="AR1714" s="197"/>
      <c r="AS1714" s="197"/>
      <c r="AT1714" s="197"/>
      <c r="AU1714" s="197"/>
      <c r="AV1714" s="197"/>
      <c r="AW1714" s="197"/>
    </row>
    <row r="1715" spans="28:49" s="196" customFormat="1">
      <c r="AB1715" s="201"/>
      <c r="AC1715" s="201"/>
      <c r="AD1715" s="197"/>
      <c r="AE1715" s="197"/>
      <c r="AF1715" s="197"/>
      <c r="AG1715" s="197"/>
      <c r="AH1715" s="197"/>
      <c r="AI1715" s="197"/>
      <c r="AJ1715" s="197"/>
      <c r="AK1715" s="197"/>
      <c r="AL1715" s="197"/>
      <c r="AM1715" s="197"/>
      <c r="AN1715" s="197"/>
      <c r="AO1715" s="197"/>
      <c r="AP1715" s="197"/>
      <c r="AQ1715" s="197"/>
      <c r="AR1715" s="197"/>
      <c r="AS1715" s="197"/>
      <c r="AT1715" s="197"/>
      <c r="AU1715" s="197"/>
      <c r="AV1715" s="197"/>
      <c r="AW1715" s="197"/>
    </row>
    <row r="1716" spans="28:49" s="196" customFormat="1">
      <c r="AB1716" s="201"/>
      <c r="AC1716" s="201"/>
      <c r="AD1716" s="197"/>
      <c r="AE1716" s="197"/>
      <c r="AF1716" s="197"/>
      <c r="AG1716" s="197"/>
      <c r="AH1716" s="197"/>
      <c r="AI1716" s="197"/>
      <c r="AJ1716" s="197"/>
      <c r="AK1716" s="197"/>
      <c r="AL1716" s="197"/>
      <c r="AM1716" s="197"/>
      <c r="AN1716" s="197"/>
      <c r="AO1716" s="197"/>
      <c r="AP1716" s="197"/>
      <c r="AQ1716" s="197"/>
      <c r="AR1716" s="197"/>
      <c r="AS1716" s="197"/>
      <c r="AT1716" s="197"/>
      <c r="AU1716" s="197"/>
      <c r="AV1716" s="197"/>
      <c r="AW1716" s="197"/>
    </row>
    <row r="1717" spans="28:49" s="196" customFormat="1">
      <c r="AB1717" s="201"/>
      <c r="AC1717" s="201"/>
      <c r="AD1717" s="197"/>
      <c r="AE1717" s="197"/>
      <c r="AF1717" s="197"/>
      <c r="AG1717" s="197"/>
      <c r="AH1717" s="197"/>
      <c r="AI1717" s="197"/>
      <c r="AJ1717" s="197"/>
      <c r="AK1717" s="197"/>
      <c r="AL1717" s="197"/>
      <c r="AM1717" s="197"/>
      <c r="AN1717" s="197"/>
      <c r="AO1717" s="197"/>
      <c r="AP1717" s="197"/>
      <c r="AQ1717" s="197"/>
      <c r="AR1717" s="197"/>
      <c r="AS1717" s="197"/>
      <c r="AT1717" s="197"/>
      <c r="AU1717" s="197"/>
      <c r="AV1717" s="197"/>
      <c r="AW1717" s="197"/>
    </row>
    <row r="1718" spans="28:49" s="196" customFormat="1">
      <c r="AB1718" s="201"/>
      <c r="AC1718" s="201"/>
      <c r="AD1718" s="197"/>
      <c r="AE1718" s="197"/>
      <c r="AF1718" s="197"/>
      <c r="AG1718" s="197"/>
      <c r="AH1718" s="197"/>
      <c r="AI1718" s="197"/>
      <c r="AJ1718" s="197"/>
      <c r="AK1718" s="197"/>
      <c r="AL1718" s="197"/>
      <c r="AM1718" s="197"/>
      <c r="AN1718" s="197"/>
      <c r="AO1718" s="197"/>
      <c r="AP1718" s="197"/>
      <c r="AQ1718" s="197"/>
      <c r="AR1718" s="197"/>
      <c r="AS1718" s="197"/>
      <c r="AT1718" s="197"/>
      <c r="AU1718" s="197"/>
      <c r="AV1718" s="197"/>
      <c r="AW1718" s="197"/>
    </row>
    <row r="1719" spans="28:49" s="196" customFormat="1">
      <c r="AB1719" s="201"/>
      <c r="AC1719" s="201"/>
      <c r="AD1719" s="197"/>
      <c r="AE1719" s="197"/>
      <c r="AF1719" s="197"/>
      <c r="AG1719" s="197"/>
      <c r="AH1719" s="197"/>
      <c r="AI1719" s="197"/>
      <c r="AJ1719" s="197"/>
      <c r="AK1719" s="197"/>
      <c r="AL1719" s="197"/>
      <c r="AM1719" s="197"/>
      <c r="AN1719" s="197"/>
      <c r="AO1719" s="197"/>
      <c r="AP1719" s="197"/>
      <c r="AQ1719" s="197"/>
      <c r="AR1719" s="197"/>
      <c r="AS1719" s="197"/>
      <c r="AT1719" s="197"/>
      <c r="AU1719" s="197"/>
      <c r="AV1719" s="197"/>
      <c r="AW1719" s="197"/>
    </row>
    <row r="1720" spans="28:49" s="196" customFormat="1">
      <c r="AB1720" s="201"/>
      <c r="AC1720" s="201"/>
      <c r="AD1720" s="197"/>
      <c r="AE1720" s="197"/>
      <c r="AF1720" s="197"/>
      <c r="AG1720" s="197"/>
      <c r="AH1720" s="197"/>
      <c r="AI1720" s="197"/>
      <c r="AJ1720" s="197"/>
      <c r="AK1720" s="197"/>
      <c r="AL1720" s="197"/>
      <c r="AM1720" s="197"/>
      <c r="AN1720" s="197"/>
      <c r="AO1720" s="197"/>
      <c r="AP1720" s="197"/>
      <c r="AQ1720" s="197"/>
      <c r="AR1720" s="197"/>
      <c r="AS1720" s="197"/>
      <c r="AT1720" s="197"/>
      <c r="AU1720" s="197"/>
      <c r="AV1720" s="197"/>
      <c r="AW1720" s="197"/>
    </row>
    <row r="1721" spans="28:49" s="196" customFormat="1">
      <c r="AB1721" s="201"/>
      <c r="AC1721" s="201"/>
      <c r="AD1721" s="197"/>
      <c r="AE1721" s="197"/>
      <c r="AF1721" s="197"/>
      <c r="AG1721" s="197"/>
      <c r="AH1721" s="197"/>
      <c r="AI1721" s="197"/>
      <c r="AJ1721" s="197"/>
      <c r="AK1721" s="197"/>
      <c r="AL1721" s="197"/>
      <c r="AM1721" s="197"/>
      <c r="AN1721" s="197"/>
      <c r="AO1721" s="197"/>
      <c r="AP1721" s="197"/>
      <c r="AQ1721" s="197"/>
      <c r="AR1721" s="197"/>
      <c r="AS1721" s="197"/>
      <c r="AT1721" s="197"/>
      <c r="AU1721" s="197"/>
      <c r="AV1721" s="197"/>
      <c r="AW1721" s="197"/>
    </row>
    <row r="1722" spans="28:49" s="196" customFormat="1">
      <c r="AB1722" s="201"/>
      <c r="AC1722" s="201"/>
      <c r="AD1722" s="197"/>
      <c r="AE1722" s="197"/>
      <c r="AF1722" s="197"/>
      <c r="AG1722" s="197"/>
      <c r="AH1722" s="197"/>
      <c r="AI1722" s="197"/>
      <c r="AJ1722" s="197"/>
      <c r="AK1722" s="197"/>
      <c r="AL1722" s="197"/>
      <c r="AM1722" s="197"/>
      <c r="AN1722" s="197"/>
      <c r="AO1722" s="197"/>
      <c r="AP1722" s="197"/>
      <c r="AQ1722" s="197"/>
      <c r="AR1722" s="197"/>
      <c r="AS1722" s="197"/>
      <c r="AT1722" s="197"/>
      <c r="AU1722" s="197"/>
      <c r="AV1722" s="197"/>
      <c r="AW1722" s="197"/>
    </row>
    <row r="1723" spans="28:49" s="196" customFormat="1">
      <c r="AB1723" s="201"/>
      <c r="AC1723" s="201"/>
      <c r="AD1723" s="197"/>
      <c r="AE1723" s="197"/>
      <c r="AF1723" s="197"/>
      <c r="AG1723" s="197"/>
      <c r="AH1723" s="197"/>
      <c r="AI1723" s="197"/>
      <c r="AJ1723" s="197"/>
      <c r="AK1723" s="197"/>
      <c r="AL1723" s="197"/>
      <c r="AM1723" s="197"/>
      <c r="AN1723" s="197"/>
      <c r="AO1723" s="197"/>
      <c r="AP1723" s="197"/>
      <c r="AQ1723" s="197"/>
      <c r="AR1723" s="197"/>
      <c r="AS1723" s="197"/>
      <c r="AT1723" s="197"/>
      <c r="AU1723" s="197"/>
      <c r="AV1723" s="197"/>
      <c r="AW1723" s="197"/>
    </row>
    <row r="1724" spans="28:49" s="196" customFormat="1">
      <c r="AB1724" s="201"/>
      <c r="AC1724" s="201"/>
      <c r="AD1724" s="197"/>
      <c r="AE1724" s="197"/>
      <c r="AF1724" s="197"/>
      <c r="AG1724" s="197"/>
      <c r="AH1724" s="197"/>
      <c r="AI1724" s="197"/>
      <c r="AJ1724" s="197"/>
      <c r="AK1724" s="197"/>
      <c r="AL1724" s="197"/>
      <c r="AM1724" s="197"/>
      <c r="AN1724" s="197"/>
      <c r="AO1724" s="197"/>
      <c r="AP1724" s="197"/>
      <c r="AQ1724" s="197"/>
      <c r="AR1724" s="197"/>
      <c r="AS1724" s="197"/>
      <c r="AT1724" s="197"/>
      <c r="AU1724" s="197"/>
      <c r="AV1724" s="197"/>
      <c r="AW1724" s="197"/>
    </row>
    <row r="1725" spans="28:49" s="196" customFormat="1">
      <c r="AB1725" s="201"/>
      <c r="AC1725" s="201"/>
      <c r="AD1725" s="197"/>
      <c r="AE1725" s="197"/>
      <c r="AF1725" s="197"/>
      <c r="AG1725" s="197"/>
      <c r="AH1725" s="197"/>
      <c r="AI1725" s="197"/>
      <c r="AJ1725" s="197"/>
      <c r="AK1725" s="197"/>
      <c r="AL1725" s="197"/>
      <c r="AM1725" s="197"/>
      <c r="AN1725" s="197"/>
      <c r="AO1725" s="197"/>
      <c r="AP1725" s="197"/>
      <c r="AQ1725" s="197"/>
      <c r="AR1725" s="197"/>
      <c r="AS1725" s="197"/>
      <c r="AT1725" s="197"/>
      <c r="AU1725" s="197"/>
      <c r="AV1725" s="197"/>
      <c r="AW1725" s="197"/>
    </row>
    <row r="1726" spans="28:49" s="196" customFormat="1">
      <c r="AB1726" s="201"/>
      <c r="AC1726" s="201"/>
      <c r="AD1726" s="197"/>
      <c r="AE1726" s="197"/>
      <c r="AF1726" s="197"/>
      <c r="AG1726" s="197"/>
      <c r="AH1726" s="197"/>
      <c r="AI1726" s="197"/>
      <c r="AJ1726" s="197"/>
      <c r="AK1726" s="197"/>
      <c r="AL1726" s="197"/>
      <c r="AM1726" s="197"/>
      <c r="AN1726" s="197"/>
      <c r="AO1726" s="197"/>
      <c r="AP1726" s="197"/>
      <c r="AQ1726" s="197"/>
      <c r="AR1726" s="197"/>
      <c r="AS1726" s="197"/>
      <c r="AT1726" s="197"/>
      <c r="AU1726" s="197"/>
      <c r="AV1726" s="197"/>
      <c r="AW1726" s="197"/>
    </row>
    <row r="1727" spans="28:49" s="196" customFormat="1">
      <c r="AB1727" s="201"/>
      <c r="AC1727" s="201"/>
      <c r="AD1727" s="197"/>
      <c r="AE1727" s="197"/>
      <c r="AF1727" s="197"/>
      <c r="AG1727" s="197"/>
      <c r="AH1727" s="197"/>
      <c r="AI1727" s="197"/>
      <c r="AJ1727" s="197"/>
      <c r="AK1727" s="197"/>
      <c r="AL1727" s="197"/>
      <c r="AM1727" s="197"/>
      <c r="AN1727" s="197"/>
      <c r="AO1727" s="197"/>
      <c r="AP1727" s="197"/>
      <c r="AQ1727" s="197"/>
      <c r="AR1727" s="197"/>
      <c r="AS1727" s="197"/>
      <c r="AT1727" s="197"/>
      <c r="AU1727" s="197"/>
      <c r="AV1727" s="197"/>
      <c r="AW1727" s="197"/>
    </row>
    <row r="1728" spans="28:49" s="196" customFormat="1">
      <c r="AB1728" s="201"/>
      <c r="AC1728" s="201"/>
      <c r="AD1728" s="197"/>
      <c r="AE1728" s="197"/>
      <c r="AF1728" s="197"/>
      <c r="AG1728" s="197"/>
      <c r="AH1728" s="197"/>
      <c r="AI1728" s="197"/>
      <c r="AJ1728" s="197"/>
      <c r="AK1728" s="197"/>
      <c r="AL1728" s="197"/>
      <c r="AM1728" s="197"/>
      <c r="AN1728" s="197"/>
      <c r="AO1728" s="197"/>
      <c r="AP1728" s="197"/>
      <c r="AQ1728" s="197"/>
      <c r="AR1728" s="197"/>
      <c r="AS1728" s="197"/>
      <c r="AT1728" s="197"/>
      <c r="AU1728" s="197"/>
      <c r="AV1728" s="197"/>
      <c r="AW1728" s="197"/>
    </row>
    <row r="1729" spans="28:49" s="196" customFormat="1">
      <c r="AB1729" s="201"/>
      <c r="AC1729" s="201"/>
      <c r="AD1729" s="197"/>
      <c r="AE1729" s="197"/>
      <c r="AF1729" s="197"/>
      <c r="AG1729" s="197"/>
      <c r="AH1729" s="197"/>
      <c r="AI1729" s="197"/>
      <c r="AJ1729" s="197"/>
      <c r="AK1729" s="197"/>
      <c r="AL1729" s="197"/>
      <c r="AM1729" s="197"/>
      <c r="AN1729" s="197"/>
      <c r="AO1729" s="197"/>
      <c r="AP1729" s="197"/>
      <c r="AQ1729" s="197"/>
      <c r="AR1729" s="197"/>
      <c r="AS1729" s="197"/>
      <c r="AT1729" s="197"/>
      <c r="AU1729" s="197"/>
      <c r="AV1729" s="197"/>
      <c r="AW1729" s="197"/>
    </row>
    <row r="1730" spans="28:49" s="196" customFormat="1">
      <c r="AB1730" s="201"/>
      <c r="AC1730" s="201"/>
      <c r="AD1730" s="197"/>
      <c r="AE1730" s="197"/>
      <c r="AF1730" s="197"/>
      <c r="AG1730" s="197"/>
      <c r="AH1730" s="197"/>
      <c r="AI1730" s="197"/>
      <c r="AJ1730" s="197"/>
      <c r="AK1730" s="197"/>
      <c r="AL1730" s="197"/>
      <c r="AM1730" s="197"/>
      <c r="AN1730" s="197"/>
      <c r="AO1730" s="197"/>
      <c r="AP1730" s="197"/>
      <c r="AQ1730" s="197"/>
      <c r="AR1730" s="197"/>
      <c r="AS1730" s="197"/>
      <c r="AT1730" s="197"/>
      <c r="AU1730" s="197"/>
      <c r="AV1730" s="197"/>
      <c r="AW1730" s="197"/>
    </row>
    <row r="1731" spans="28:49" s="196" customFormat="1">
      <c r="AB1731" s="201"/>
      <c r="AC1731" s="201"/>
      <c r="AD1731" s="197"/>
      <c r="AE1731" s="197"/>
      <c r="AF1731" s="197"/>
      <c r="AG1731" s="197"/>
      <c r="AH1731" s="197"/>
      <c r="AI1731" s="197"/>
      <c r="AJ1731" s="197"/>
      <c r="AK1731" s="197"/>
      <c r="AL1731" s="197"/>
      <c r="AM1731" s="197"/>
      <c r="AN1731" s="197"/>
      <c r="AO1731" s="197"/>
      <c r="AP1731" s="197"/>
      <c r="AQ1731" s="197"/>
      <c r="AR1731" s="197"/>
      <c r="AS1731" s="197"/>
      <c r="AT1731" s="197"/>
      <c r="AU1731" s="197"/>
      <c r="AV1731" s="197"/>
      <c r="AW1731" s="197"/>
    </row>
    <row r="1732" spans="28:49" s="196" customFormat="1">
      <c r="AB1732" s="201"/>
      <c r="AC1732" s="201"/>
      <c r="AD1732" s="197"/>
      <c r="AE1732" s="197"/>
      <c r="AF1732" s="197"/>
      <c r="AG1732" s="197"/>
      <c r="AH1732" s="197"/>
      <c r="AI1732" s="197"/>
      <c r="AJ1732" s="197"/>
      <c r="AK1732" s="197"/>
      <c r="AL1732" s="197"/>
      <c r="AM1732" s="197"/>
      <c r="AN1732" s="197"/>
      <c r="AO1732" s="197"/>
      <c r="AP1732" s="197"/>
      <c r="AQ1732" s="197"/>
      <c r="AR1732" s="197"/>
      <c r="AS1732" s="197"/>
      <c r="AT1732" s="197"/>
      <c r="AU1732" s="197"/>
      <c r="AV1732" s="197"/>
      <c r="AW1732" s="197"/>
    </row>
    <row r="1733" spans="28:49" s="196" customFormat="1">
      <c r="AB1733" s="201"/>
      <c r="AC1733" s="201"/>
      <c r="AD1733" s="197"/>
      <c r="AE1733" s="197"/>
      <c r="AF1733" s="197"/>
      <c r="AG1733" s="197"/>
      <c r="AH1733" s="197"/>
      <c r="AI1733" s="197"/>
      <c r="AJ1733" s="197"/>
      <c r="AK1733" s="197"/>
      <c r="AL1733" s="197"/>
      <c r="AM1733" s="197"/>
      <c r="AN1733" s="197"/>
      <c r="AO1733" s="197"/>
      <c r="AP1733" s="197"/>
      <c r="AQ1733" s="197"/>
      <c r="AR1733" s="197"/>
      <c r="AS1733" s="197"/>
      <c r="AT1733" s="197"/>
      <c r="AU1733" s="197"/>
      <c r="AV1733" s="197"/>
      <c r="AW1733" s="197"/>
    </row>
    <row r="1734" spans="28:49" s="196" customFormat="1">
      <c r="AB1734" s="201"/>
      <c r="AC1734" s="201"/>
      <c r="AD1734" s="197"/>
      <c r="AE1734" s="197"/>
      <c r="AF1734" s="197"/>
      <c r="AG1734" s="197"/>
      <c r="AH1734" s="197"/>
      <c r="AI1734" s="197"/>
      <c r="AJ1734" s="197"/>
      <c r="AK1734" s="197"/>
      <c r="AL1734" s="197"/>
      <c r="AM1734" s="197"/>
      <c r="AN1734" s="197"/>
      <c r="AO1734" s="197"/>
      <c r="AP1734" s="197"/>
      <c r="AQ1734" s="197"/>
      <c r="AR1734" s="197"/>
      <c r="AS1734" s="197"/>
      <c r="AT1734" s="197"/>
      <c r="AU1734" s="197"/>
      <c r="AV1734" s="197"/>
      <c r="AW1734" s="197"/>
    </row>
    <row r="1735" spans="28:49" s="196" customFormat="1">
      <c r="AB1735" s="201"/>
      <c r="AC1735" s="201"/>
      <c r="AD1735" s="197"/>
      <c r="AE1735" s="197"/>
      <c r="AF1735" s="197"/>
      <c r="AG1735" s="197"/>
      <c r="AH1735" s="197"/>
      <c r="AI1735" s="197"/>
      <c r="AJ1735" s="197"/>
      <c r="AK1735" s="197"/>
      <c r="AL1735" s="197"/>
      <c r="AM1735" s="197"/>
      <c r="AN1735" s="197"/>
      <c r="AO1735" s="197"/>
      <c r="AP1735" s="197"/>
      <c r="AQ1735" s="197"/>
      <c r="AR1735" s="197"/>
      <c r="AS1735" s="197"/>
      <c r="AT1735" s="197"/>
      <c r="AU1735" s="197"/>
      <c r="AV1735" s="197"/>
      <c r="AW1735" s="197"/>
    </row>
    <row r="1736" spans="28:49" s="196" customFormat="1">
      <c r="AB1736" s="201"/>
      <c r="AC1736" s="201"/>
      <c r="AD1736" s="197"/>
      <c r="AE1736" s="197"/>
      <c r="AF1736" s="197"/>
      <c r="AG1736" s="197"/>
      <c r="AH1736" s="197"/>
      <c r="AI1736" s="197"/>
      <c r="AJ1736" s="197"/>
      <c r="AK1736" s="197"/>
      <c r="AL1736" s="197"/>
      <c r="AM1736" s="197"/>
      <c r="AN1736" s="197"/>
      <c r="AO1736" s="197"/>
      <c r="AP1736" s="197"/>
      <c r="AQ1736" s="197"/>
      <c r="AR1736" s="197"/>
      <c r="AS1736" s="197"/>
      <c r="AT1736" s="197"/>
      <c r="AU1736" s="197"/>
      <c r="AV1736" s="197"/>
      <c r="AW1736" s="197"/>
    </row>
    <row r="1737" spans="28:49" s="196" customFormat="1">
      <c r="AB1737" s="201"/>
      <c r="AC1737" s="201"/>
      <c r="AD1737" s="197"/>
      <c r="AE1737" s="197"/>
      <c r="AF1737" s="197"/>
      <c r="AG1737" s="197"/>
      <c r="AH1737" s="197"/>
      <c r="AI1737" s="197"/>
      <c r="AJ1737" s="197"/>
      <c r="AK1737" s="197"/>
      <c r="AL1737" s="197"/>
      <c r="AM1737" s="197"/>
      <c r="AN1737" s="197"/>
      <c r="AO1737" s="197"/>
      <c r="AP1737" s="197"/>
      <c r="AQ1737" s="197"/>
      <c r="AR1737" s="197"/>
      <c r="AS1737" s="197"/>
      <c r="AT1737" s="197"/>
      <c r="AU1737" s="197"/>
      <c r="AV1737" s="197"/>
      <c r="AW1737" s="197"/>
    </row>
    <row r="1738" spans="28:49" s="196" customFormat="1">
      <c r="AB1738" s="201"/>
      <c r="AC1738" s="201"/>
      <c r="AD1738" s="197"/>
      <c r="AE1738" s="197"/>
      <c r="AF1738" s="197"/>
      <c r="AG1738" s="197"/>
      <c r="AH1738" s="197"/>
      <c r="AI1738" s="197"/>
      <c r="AJ1738" s="197"/>
      <c r="AK1738" s="197"/>
      <c r="AL1738" s="197"/>
      <c r="AM1738" s="197"/>
      <c r="AN1738" s="197"/>
      <c r="AO1738" s="197"/>
      <c r="AP1738" s="197"/>
      <c r="AQ1738" s="197"/>
      <c r="AR1738" s="197"/>
      <c r="AS1738" s="197"/>
      <c r="AT1738" s="197"/>
      <c r="AU1738" s="197"/>
      <c r="AV1738" s="197"/>
      <c r="AW1738" s="197"/>
    </row>
    <row r="1739" spans="28:49" s="196" customFormat="1">
      <c r="AB1739" s="201"/>
      <c r="AC1739" s="201"/>
      <c r="AD1739" s="197"/>
      <c r="AE1739" s="197"/>
      <c r="AF1739" s="197"/>
      <c r="AG1739" s="197"/>
      <c r="AH1739" s="197"/>
      <c r="AI1739" s="197"/>
      <c r="AJ1739" s="197"/>
      <c r="AK1739" s="197"/>
      <c r="AL1739" s="197"/>
      <c r="AM1739" s="197"/>
      <c r="AN1739" s="197"/>
      <c r="AO1739" s="197"/>
      <c r="AP1739" s="197"/>
      <c r="AQ1739" s="197"/>
      <c r="AR1739" s="197"/>
      <c r="AS1739" s="197"/>
      <c r="AT1739" s="197"/>
      <c r="AU1739" s="197"/>
      <c r="AV1739" s="197"/>
      <c r="AW1739" s="197"/>
    </row>
    <row r="1740" spans="28:49" s="196" customFormat="1">
      <c r="AB1740" s="201"/>
      <c r="AC1740" s="201"/>
      <c r="AD1740" s="197"/>
      <c r="AE1740" s="197"/>
      <c r="AF1740" s="197"/>
      <c r="AG1740" s="197"/>
      <c r="AH1740" s="197"/>
      <c r="AI1740" s="197"/>
      <c r="AJ1740" s="197"/>
      <c r="AK1740" s="197"/>
      <c r="AL1740" s="197"/>
      <c r="AM1740" s="197"/>
      <c r="AN1740" s="197"/>
      <c r="AO1740" s="197"/>
      <c r="AP1740" s="197"/>
      <c r="AQ1740" s="197"/>
      <c r="AR1740" s="197"/>
      <c r="AS1740" s="197"/>
      <c r="AT1740" s="197"/>
      <c r="AU1740" s="197"/>
      <c r="AV1740" s="197"/>
      <c r="AW1740" s="197"/>
    </row>
    <row r="1741" spans="28:49" s="196" customFormat="1">
      <c r="AB1741" s="201"/>
      <c r="AC1741" s="201"/>
      <c r="AD1741" s="197"/>
      <c r="AE1741" s="197"/>
      <c r="AF1741" s="197"/>
      <c r="AG1741" s="197"/>
      <c r="AH1741" s="197"/>
      <c r="AI1741" s="197"/>
      <c r="AJ1741" s="197"/>
      <c r="AK1741" s="197"/>
      <c r="AL1741" s="197"/>
      <c r="AM1741" s="197"/>
      <c r="AN1741" s="197"/>
      <c r="AO1741" s="197"/>
      <c r="AP1741" s="197"/>
      <c r="AQ1741" s="197"/>
      <c r="AR1741" s="197"/>
      <c r="AS1741" s="197"/>
      <c r="AT1741" s="197"/>
      <c r="AU1741" s="197"/>
      <c r="AV1741" s="197"/>
      <c r="AW1741" s="197"/>
    </row>
    <row r="1742" spans="28:49" s="196" customFormat="1">
      <c r="AB1742" s="201"/>
      <c r="AC1742" s="201"/>
      <c r="AD1742" s="197"/>
      <c r="AE1742" s="197"/>
      <c r="AF1742" s="197"/>
      <c r="AG1742" s="197"/>
      <c r="AH1742" s="197"/>
      <c r="AI1742" s="197"/>
      <c r="AJ1742" s="197"/>
      <c r="AK1742" s="197"/>
      <c r="AL1742" s="197"/>
      <c r="AM1742" s="197"/>
      <c r="AN1742" s="197"/>
      <c r="AO1742" s="197"/>
      <c r="AP1742" s="197"/>
      <c r="AQ1742" s="197"/>
      <c r="AR1742" s="197"/>
      <c r="AS1742" s="197"/>
      <c r="AT1742" s="197"/>
      <c r="AU1742" s="197"/>
      <c r="AV1742" s="197"/>
      <c r="AW1742" s="197"/>
    </row>
    <row r="1743" spans="28:49" s="196" customFormat="1">
      <c r="AB1743" s="201"/>
      <c r="AC1743" s="201"/>
      <c r="AD1743" s="197"/>
      <c r="AE1743" s="197"/>
      <c r="AF1743" s="197"/>
      <c r="AG1743" s="197"/>
      <c r="AH1743" s="197"/>
      <c r="AI1743" s="197"/>
      <c r="AJ1743" s="197"/>
      <c r="AK1743" s="197"/>
      <c r="AL1743" s="197"/>
      <c r="AM1743" s="197"/>
      <c r="AN1743" s="197"/>
      <c r="AO1743" s="197"/>
      <c r="AP1743" s="197"/>
      <c r="AQ1743" s="197"/>
      <c r="AR1743" s="197"/>
      <c r="AS1743" s="197"/>
      <c r="AT1743" s="197"/>
      <c r="AU1743" s="197"/>
      <c r="AV1743" s="197"/>
      <c r="AW1743" s="197"/>
    </row>
    <row r="1744" spans="28:49" s="196" customFormat="1">
      <c r="AB1744" s="201"/>
      <c r="AC1744" s="201"/>
      <c r="AD1744" s="197"/>
      <c r="AE1744" s="197"/>
      <c r="AF1744" s="197"/>
      <c r="AG1744" s="197"/>
      <c r="AH1744" s="197"/>
      <c r="AI1744" s="197"/>
      <c r="AJ1744" s="197"/>
      <c r="AK1744" s="197"/>
      <c r="AL1744" s="197"/>
      <c r="AM1744" s="197"/>
      <c r="AN1744" s="197"/>
      <c r="AO1744" s="197"/>
      <c r="AP1744" s="197"/>
      <c r="AQ1744" s="197"/>
      <c r="AR1744" s="197"/>
      <c r="AS1744" s="197"/>
      <c r="AT1744" s="197"/>
      <c r="AU1744" s="197"/>
      <c r="AV1744" s="197"/>
      <c r="AW1744" s="197"/>
    </row>
    <row r="1745" spans="28:49" s="196" customFormat="1">
      <c r="AB1745" s="201"/>
      <c r="AC1745" s="201"/>
      <c r="AD1745" s="197"/>
      <c r="AE1745" s="197"/>
      <c r="AF1745" s="197"/>
      <c r="AG1745" s="197"/>
      <c r="AH1745" s="197"/>
      <c r="AI1745" s="197"/>
      <c r="AJ1745" s="197"/>
      <c r="AK1745" s="197"/>
      <c r="AL1745" s="197"/>
      <c r="AM1745" s="197"/>
      <c r="AN1745" s="197"/>
      <c r="AO1745" s="197"/>
      <c r="AP1745" s="197"/>
      <c r="AQ1745" s="197"/>
      <c r="AR1745" s="197"/>
      <c r="AS1745" s="197"/>
      <c r="AT1745" s="197"/>
      <c r="AU1745" s="197"/>
      <c r="AV1745" s="197"/>
      <c r="AW1745" s="197"/>
    </row>
    <row r="1746" spans="28:49" s="196" customFormat="1">
      <c r="AB1746" s="201"/>
      <c r="AC1746" s="201"/>
      <c r="AD1746" s="197"/>
      <c r="AE1746" s="197"/>
      <c r="AF1746" s="197"/>
      <c r="AG1746" s="197"/>
      <c r="AH1746" s="197"/>
      <c r="AI1746" s="197"/>
      <c r="AJ1746" s="197"/>
      <c r="AK1746" s="197"/>
      <c r="AL1746" s="197"/>
      <c r="AM1746" s="197"/>
      <c r="AN1746" s="197"/>
      <c r="AO1746" s="197"/>
      <c r="AP1746" s="197"/>
      <c r="AQ1746" s="197"/>
      <c r="AR1746" s="197"/>
      <c r="AS1746" s="197"/>
      <c r="AT1746" s="197"/>
      <c r="AU1746" s="197"/>
      <c r="AV1746" s="197"/>
      <c r="AW1746" s="197"/>
    </row>
    <row r="1747" spans="28:49" s="196" customFormat="1">
      <c r="AB1747" s="201"/>
      <c r="AC1747" s="201"/>
      <c r="AD1747" s="197"/>
      <c r="AE1747" s="197"/>
      <c r="AF1747" s="197"/>
      <c r="AG1747" s="197"/>
      <c r="AH1747" s="197"/>
      <c r="AI1747" s="197"/>
      <c r="AJ1747" s="197"/>
      <c r="AK1747" s="197"/>
      <c r="AL1747" s="197"/>
      <c r="AM1747" s="197"/>
      <c r="AN1747" s="197"/>
      <c r="AO1747" s="197"/>
      <c r="AP1747" s="197"/>
      <c r="AQ1747" s="197"/>
      <c r="AR1747" s="197"/>
      <c r="AS1747" s="197"/>
      <c r="AT1747" s="197"/>
      <c r="AU1747" s="197"/>
      <c r="AV1747" s="197"/>
      <c r="AW1747" s="197"/>
    </row>
    <row r="1748" spans="28:49" s="196" customFormat="1">
      <c r="AB1748" s="201"/>
      <c r="AC1748" s="201"/>
      <c r="AD1748" s="197"/>
      <c r="AE1748" s="197"/>
      <c r="AF1748" s="197"/>
      <c r="AG1748" s="197"/>
      <c r="AH1748" s="197"/>
      <c r="AI1748" s="197"/>
      <c r="AJ1748" s="197"/>
      <c r="AK1748" s="197"/>
      <c r="AL1748" s="197"/>
      <c r="AM1748" s="197"/>
      <c r="AN1748" s="197"/>
      <c r="AO1748" s="197"/>
      <c r="AP1748" s="197"/>
      <c r="AQ1748" s="197"/>
      <c r="AR1748" s="197"/>
      <c r="AS1748" s="197"/>
      <c r="AT1748" s="197"/>
      <c r="AU1748" s="197"/>
      <c r="AV1748" s="197"/>
      <c r="AW1748" s="197"/>
    </row>
    <row r="1749" spans="28:49" s="196" customFormat="1">
      <c r="AB1749" s="201"/>
      <c r="AC1749" s="201"/>
      <c r="AD1749" s="197"/>
      <c r="AE1749" s="197"/>
      <c r="AF1749" s="197"/>
      <c r="AG1749" s="197"/>
      <c r="AH1749" s="197"/>
      <c r="AI1749" s="197"/>
      <c r="AJ1749" s="197"/>
      <c r="AK1749" s="197"/>
      <c r="AL1749" s="197"/>
      <c r="AM1749" s="197"/>
      <c r="AN1749" s="197"/>
      <c r="AO1749" s="197"/>
      <c r="AP1749" s="197"/>
      <c r="AQ1749" s="197"/>
      <c r="AR1749" s="197"/>
      <c r="AS1749" s="197"/>
      <c r="AT1749" s="197"/>
      <c r="AU1749" s="197"/>
      <c r="AV1749" s="197"/>
      <c r="AW1749" s="197"/>
    </row>
    <row r="1750" spans="28:49" s="196" customFormat="1">
      <c r="AB1750" s="201"/>
      <c r="AC1750" s="201"/>
      <c r="AD1750" s="197"/>
      <c r="AE1750" s="197"/>
      <c r="AF1750" s="197"/>
      <c r="AG1750" s="197"/>
      <c r="AH1750" s="197"/>
      <c r="AI1750" s="197"/>
      <c r="AJ1750" s="197"/>
      <c r="AK1750" s="197"/>
      <c r="AL1750" s="197"/>
      <c r="AM1750" s="197"/>
      <c r="AN1750" s="197"/>
      <c r="AO1750" s="197"/>
      <c r="AP1750" s="197"/>
      <c r="AQ1750" s="197"/>
      <c r="AR1750" s="197"/>
      <c r="AS1750" s="197"/>
      <c r="AT1750" s="197"/>
      <c r="AU1750" s="197"/>
      <c r="AV1750" s="197"/>
      <c r="AW1750" s="197"/>
    </row>
    <row r="1751" spans="28:49" s="196" customFormat="1">
      <c r="AB1751" s="201"/>
      <c r="AC1751" s="201"/>
      <c r="AD1751" s="197"/>
      <c r="AE1751" s="197"/>
      <c r="AF1751" s="197"/>
      <c r="AG1751" s="197"/>
      <c r="AH1751" s="197"/>
      <c r="AI1751" s="197"/>
      <c r="AJ1751" s="197"/>
      <c r="AK1751" s="197"/>
      <c r="AL1751" s="197"/>
      <c r="AM1751" s="197"/>
      <c r="AN1751" s="197"/>
      <c r="AO1751" s="197"/>
      <c r="AP1751" s="197"/>
      <c r="AQ1751" s="197"/>
      <c r="AR1751" s="197"/>
      <c r="AS1751" s="197"/>
      <c r="AT1751" s="197"/>
      <c r="AU1751" s="197"/>
      <c r="AV1751" s="197"/>
      <c r="AW1751" s="197"/>
    </row>
    <row r="1752" spans="28:49" s="196" customFormat="1">
      <c r="AB1752" s="201"/>
      <c r="AC1752" s="201"/>
      <c r="AD1752" s="197"/>
      <c r="AE1752" s="197"/>
      <c r="AF1752" s="197"/>
      <c r="AG1752" s="197"/>
      <c r="AH1752" s="197"/>
      <c r="AI1752" s="197"/>
      <c r="AJ1752" s="197"/>
      <c r="AK1752" s="197"/>
      <c r="AL1752" s="197"/>
      <c r="AM1752" s="197"/>
      <c r="AN1752" s="197"/>
      <c r="AO1752" s="197"/>
      <c r="AP1752" s="197"/>
      <c r="AQ1752" s="197"/>
      <c r="AR1752" s="197"/>
      <c r="AS1752" s="197"/>
      <c r="AT1752" s="197"/>
      <c r="AU1752" s="197"/>
      <c r="AV1752" s="197"/>
      <c r="AW1752" s="197"/>
    </row>
    <row r="1753" spans="28:49" s="196" customFormat="1">
      <c r="AB1753" s="201"/>
      <c r="AC1753" s="201"/>
      <c r="AD1753" s="197"/>
      <c r="AE1753" s="197"/>
      <c r="AF1753" s="197"/>
      <c r="AG1753" s="197"/>
      <c r="AH1753" s="197"/>
      <c r="AI1753" s="197"/>
      <c r="AJ1753" s="197"/>
      <c r="AK1753" s="197"/>
      <c r="AL1753" s="197"/>
      <c r="AM1753" s="197"/>
      <c r="AN1753" s="197"/>
      <c r="AO1753" s="197"/>
      <c r="AP1753" s="197"/>
      <c r="AQ1753" s="197"/>
      <c r="AR1753" s="197"/>
      <c r="AS1753" s="197"/>
      <c r="AT1753" s="197"/>
      <c r="AU1753" s="197"/>
      <c r="AV1753" s="197"/>
      <c r="AW1753" s="197"/>
    </row>
    <row r="1754" spans="28:49" s="196" customFormat="1">
      <c r="AB1754" s="201"/>
      <c r="AC1754" s="201"/>
      <c r="AD1754" s="197"/>
      <c r="AE1754" s="197"/>
      <c r="AF1754" s="197"/>
      <c r="AG1754" s="197"/>
      <c r="AH1754" s="197"/>
      <c r="AI1754" s="197"/>
      <c r="AJ1754" s="197"/>
      <c r="AK1754" s="197"/>
      <c r="AL1754" s="197"/>
      <c r="AM1754" s="197"/>
      <c r="AN1754" s="197"/>
      <c r="AO1754" s="197"/>
      <c r="AP1754" s="197"/>
      <c r="AQ1754" s="197"/>
      <c r="AR1754" s="197"/>
      <c r="AS1754" s="197"/>
      <c r="AT1754" s="197"/>
      <c r="AU1754" s="197"/>
      <c r="AV1754" s="197"/>
      <c r="AW1754" s="197"/>
    </row>
    <row r="1755" spans="28:49" s="196" customFormat="1">
      <c r="AB1755" s="201"/>
      <c r="AC1755" s="201"/>
      <c r="AD1755" s="197"/>
      <c r="AE1755" s="197"/>
      <c r="AF1755" s="197"/>
      <c r="AG1755" s="197"/>
      <c r="AH1755" s="197"/>
      <c r="AI1755" s="197"/>
      <c r="AJ1755" s="197"/>
      <c r="AK1755" s="197"/>
      <c r="AL1755" s="197"/>
      <c r="AM1755" s="197"/>
      <c r="AN1755" s="197"/>
      <c r="AO1755" s="197"/>
      <c r="AP1755" s="197"/>
      <c r="AQ1755" s="197"/>
      <c r="AR1755" s="197"/>
      <c r="AS1755" s="197"/>
      <c r="AT1755" s="197"/>
      <c r="AU1755" s="197"/>
      <c r="AV1755" s="197"/>
      <c r="AW1755" s="197"/>
    </row>
    <row r="1756" spans="28:49" s="196" customFormat="1">
      <c r="AB1756" s="201"/>
      <c r="AC1756" s="201"/>
      <c r="AD1756" s="197"/>
      <c r="AE1756" s="197"/>
      <c r="AF1756" s="197"/>
      <c r="AG1756" s="197"/>
      <c r="AH1756" s="197"/>
      <c r="AI1756" s="197"/>
      <c r="AJ1756" s="197"/>
      <c r="AK1756" s="197"/>
      <c r="AL1756" s="197"/>
      <c r="AM1756" s="197"/>
      <c r="AN1756" s="197"/>
      <c r="AO1756" s="197"/>
      <c r="AP1756" s="197"/>
      <c r="AQ1756" s="197"/>
      <c r="AR1756" s="197"/>
      <c r="AS1756" s="197"/>
      <c r="AT1756" s="197"/>
      <c r="AU1756" s="197"/>
      <c r="AV1756" s="197"/>
      <c r="AW1756" s="197"/>
    </row>
    <row r="1757" spans="28:49" s="196" customFormat="1">
      <c r="AB1757" s="201"/>
      <c r="AC1757" s="201"/>
      <c r="AD1757" s="197"/>
      <c r="AE1757" s="197"/>
      <c r="AF1757" s="197"/>
      <c r="AG1757" s="197"/>
      <c r="AH1757" s="197"/>
      <c r="AI1757" s="197"/>
      <c r="AJ1757" s="197"/>
      <c r="AK1757" s="197"/>
      <c r="AL1757" s="197"/>
      <c r="AM1757" s="197"/>
      <c r="AN1757" s="197"/>
      <c r="AO1757" s="197"/>
      <c r="AP1757" s="197"/>
      <c r="AQ1757" s="197"/>
      <c r="AR1757" s="197"/>
      <c r="AS1757" s="197"/>
      <c r="AT1757" s="197"/>
      <c r="AU1757" s="197"/>
      <c r="AV1757" s="197"/>
      <c r="AW1757" s="197"/>
    </row>
    <row r="1758" spans="28:49" s="196" customFormat="1">
      <c r="AB1758" s="201"/>
      <c r="AC1758" s="201"/>
      <c r="AD1758" s="197"/>
      <c r="AE1758" s="197"/>
      <c r="AF1758" s="197"/>
      <c r="AG1758" s="197"/>
      <c r="AH1758" s="197"/>
      <c r="AI1758" s="197"/>
      <c r="AJ1758" s="197"/>
      <c r="AK1758" s="197"/>
      <c r="AL1758" s="197"/>
      <c r="AM1758" s="197"/>
      <c r="AN1758" s="197"/>
      <c r="AO1758" s="197"/>
      <c r="AP1758" s="197"/>
      <c r="AQ1758" s="197"/>
      <c r="AR1758" s="197"/>
      <c r="AS1758" s="197"/>
      <c r="AT1758" s="197"/>
      <c r="AU1758" s="197"/>
      <c r="AV1758" s="197"/>
      <c r="AW1758" s="197"/>
    </row>
    <row r="1759" spans="28:49" s="196" customFormat="1">
      <c r="AB1759" s="201"/>
      <c r="AC1759" s="201"/>
      <c r="AD1759" s="197"/>
      <c r="AE1759" s="197"/>
      <c r="AF1759" s="197"/>
      <c r="AG1759" s="197"/>
      <c r="AH1759" s="197"/>
      <c r="AI1759" s="197"/>
      <c r="AJ1759" s="197"/>
      <c r="AK1759" s="197"/>
      <c r="AL1759" s="197"/>
      <c r="AM1759" s="197"/>
      <c r="AN1759" s="197"/>
      <c r="AO1759" s="197"/>
      <c r="AP1759" s="197"/>
      <c r="AQ1759" s="197"/>
      <c r="AR1759" s="197"/>
      <c r="AS1759" s="197"/>
      <c r="AT1759" s="197"/>
      <c r="AU1759" s="197"/>
      <c r="AV1759" s="197"/>
      <c r="AW1759" s="197"/>
    </row>
    <row r="1760" spans="28:49" s="196" customFormat="1">
      <c r="AB1760" s="201"/>
      <c r="AC1760" s="201"/>
      <c r="AD1760" s="197"/>
      <c r="AE1760" s="197"/>
      <c r="AF1760" s="197"/>
      <c r="AG1760" s="197"/>
      <c r="AH1760" s="197"/>
      <c r="AI1760" s="197"/>
      <c r="AJ1760" s="197"/>
      <c r="AK1760" s="197"/>
      <c r="AL1760" s="197"/>
      <c r="AM1760" s="197"/>
      <c r="AN1760" s="197"/>
      <c r="AO1760" s="197"/>
      <c r="AP1760" s="197"/>
      <c r="AQ1760" s="197"/>
      <c r="AR1760" s="197"/>
      <c r="AS1760" s="197"/>
      <c r="AT1760" s="197"/>
      <c r="AU1760" s="197"/>
      <c r="AV1760" s="197"/>
      <c r="AW1760" s="197"/>
    </row>
    <row r="1761" spans="28:49" s="196" customFormat="1">
      <c r="AB1761" s="201"/>
      <c r="AC1761" s="201"/>
      <c r="AD1761" s="197"/>
      <c r="AE1761" s="197"/>
      <c r="AF1761" s="197"/>
      <c r="AG1761" s="197"/>
      <c r="AH1761" s="197"/>
      <c r="AI1761" s="197"/>
      <c r="AJ1761" s="197"/>
      <c r="AK1761" s="197"/>
      <c r="AL1761" s="197"/>
      <c r="AM1761" s="197"/>
      <c r="AN1761" s="197"/>
      <c r="AO1761" s="197"/>
      <c r="AP1761" s="197"/>
      <c r="AQ1761" s="197"/>
      <c r="AR1761" s="197"/>
      <c r="AS1761" s="197"/>
      <c r="AT1761" s="197"/>
      <c r="AU1761" s="197"/>
      <c r="AV1761" s="197"/>
      <c r="AW1761" s="197"/>
    </row>
    <row r="1762" spans="28:49" s="196" customFormat="1">
      <c r="AB1762" s="201"/>
      <c r="AC1762" s="201"/>
      <c r="AD1762" s="197"/>
      <c r="AE1762" s="197"/>
      <c r="AF1762" s="197"/>
      <c r="AG1762" s="197"/>
      <c r="AH1762" s="197"/>
      <c r="AI1762" s="197"/>
      <c r="AJ1762" s="197"/>
      <c r="AK1762" s="197"/>
      <c r="AL1762" s="197"/>
      <c r="AM1762" s="197"/>
      <c r="AN1762" s="197"/>
      <c r="AO1762" s="197"/>
      <c r="AP1762" s="197"/>
      <c r="AQ1762" s="197"/>
      <c r="AR1762" s="197"/>
      <c r="AS1762" s="197"/>
      <c r="AT1762" s="197"/>
      <c r="AU1762" s="197"/>
      <c r="AV1762" s="197"/>
      <c r="AW1762" s="197"/>
    </row>
    <row r="1763" spans="28:49" s="196" customFormat="1">
      <c r="AB1763" s="201"/>
      <c r="AC1763" s="201"/>
      <c r="AD1763" s="197"/>
      <c r="AE1763" s="197"/>
      <c r="AF1763" s="197"/>
      <c r="AG1763" s="197"/>
      <c r="AH1763" s="197"/>
      <c r="AI1763" s="197"/>
      <c r="AJ1763" s="197"/>
      <c r="AK1763" s="197"/>
      <c r="AL1763" s="197"/>
      <c r="AM1763" s="197"/>
      <c r="AN1763" s="197"/>
      <c r="AO1763" s="197"/>
      <c r="AP1763" s="197"/>
      <c r="AQ1763" s="197"/>
      <c r="AR1763" s="197"/>
      <c r="AS1763" s="197"/>
      <c r="AT1763" s="197"/>
      <c r="AU1763" s="197"/>
      <c r="AV1763" s="197"/>
      <c r="AW1763" s="197"/>
    </row>
    <row r="1764" spans="28:49" s="196" customFormat="1">
      <c r="AB1764" s="201"/>
      <c r="AC1764" s="201"/>
      <c r="AD1764" s="197"/>
      <c r="AE1764" s="197"/>
      <c r="AF1764" s="197"/>
      <c r="AG1764" s="197"/>
      <c r="AH1764" s="197"/>
      <c r="AI1764" s="197"/>
      <c r="AJ1764" s="197"/>
      <c r="AK1764" s="197"/>
      <c r="AL1764" s="197"/>
      <c r="AM1764" s="197"/>
      <c r="AN1764" s="197"/>
      <c r="AO1764" s="197"/>
      <c r="AP1764" s="197"/>
      <c r="AQ1764" s="197"/>
      <c r="AR1764" s="197"/>
      <c r="AS1764" s="197"/>
      <c r="AT1764" s="197"/>
      <c r="AU1764" s="197"/>
      <c r="AV1764" s="197"/>
      <c r="AW1764" s="197"/>
    </row>
    <row r="1765" spans="28:49" s="196" customFormat="1">
      <c r="AB1765" s="201"/>
      <c r="AC1765" s="201"/>
      <c r="AD1765" s="197"/>
      <c r="AE1765" s="197"/>
      <c r="AF1765" s="197"/>
      <c r="AG1765" s="197"/>
      <c r="AH1765" s="197"/>
      <c r="AI1765" s="197"/>
      <c r="AJ1765" s="197"/>
      <c r="AK1765" s="197"/>
      <c r="AL1765" s="197"/>
      <c r="AM1765" s="197"/>
      <c r="AN1765" s="197"/>
      <c r="AO1765" s="197"/>
      <c r="AP1765" s="197"/>
      <c r="AQ1765" s="197"/>
      <c r="AR1765" s="197"/>
      <c r="AS1765" s="197"/>
      <c r="AT1765" s="197"/>
      <c r="AU1765" s="197"/>
      <c r="AV1765" s="197"/>
      <c r="AW1765" s="197"/>
    </row>
    <row r="1766" spans="28:49" s="196" customFormat="1">
      <c r="AB1766" s="201"/>
      <c r="AC1766" s="201"/>
      <c r="AD1766" s="197"/>
      <c r="AE1766" s="197"/>
      <c r="AF1766" s="197"/>
      <c r="AG1766" s="197"/>
      <c r="AH1766" s="197"/>
      <c r="AI1766" s="197"/>
      <c r="AJ1766" s="197"/>
      <c r="AK1766" s="197"/>
      <c r="AL1766" s="197"/>
      <c r="AM1766" s="197"/>
      <c r="AN1766" s="197"/>
      <c r="AO1766" s="197"/>
      <c r="AP1766" s="197"/>
      <c r="AQ1766" s="197"/>
      <c r="AR1766" s="197"/>
      <c r="AS1766" s="197"/>
      <c r="AT1766" s="197"/>
      <c r="AU1766" s="197"/>
      <c r="AV1766" s="197"/>
      <c r="AW1766" s="197"/>
    </row>
    <row r="1767" spans="28:49" s="196" customFormat="1">
      <c r="AB1767" s="201"/>
      <c r="AC1767" s="201"/>
      <c r="AD1767" s="197"/>
      <c r="AE1767" s="197"/>
      <c r="AF1767" s="197"/>
      <c r="AG1767" s="197"/>
      <c r="AH1767" s="197"/>
      <c r="AI1767" s="197"/>
      <c r="AJ1767" s="197"/>
      <c r="AK1767" s="197"/>
      <c r="AL1767" s="197"/>
      <c r="AM1767" s="197"/>
      <c r="AN1767" s="197"/>
      <c r="AO1767" s="197"/>
      <c r="AP1767" s="197"/>
      <c r="AQ1767" s="197"/>
      <c r="AR1767" s="197"/>
      <c r="AS1767" s="197"/>
      <c r="AT1767" s="197"/>
      <c r="AU1767" s="197"/>
      <c r="AV1767" s="197"/>
      <c r="AW1767" s="197"/>
    </row>
    <row r="1768" spans="28:49" s="196" customFormat="1">
      <c r="AB1768" s="201"/>
      <c r="AC1768" s="201"/>
      <c r="AD1768" s="197"/>
      <c r="AE1768" s="197"/>
      <c r="AF1768" s="197"/>
      <c r="AG1768" s="197"/>
      <c r="AH1768" s="197"/>
      <c r="AI1768" s="197"/>
      <c r="AJ1768" s="197"/>
      <c r="AK1768" s="197"/>
      <c r="AL1768" s="197"/>
      <c r="AM1768" s="197"/>
      <c r="AN1768" s="197"/>
      <c r="AO1768" s="197"/>
      <c r="AP1768" s="197"/>
      <c r="AQ1768" s="197"/>
      <c r="AR1768" s="197"/>
      <c r="AS1768" s="197"/>
      <c r="AT1768" s="197"/>
      <c r="AU1768" s="197"/>
      <c r="AV1768" s="197"/>
      <c r="AW1768" s="197"/>
    </row>
    <row r="1769" spans="28:49" s="196" customFormat="1">
      <c r="AB1769" s="201"/>
      <c r="AC1769" s="201"/>
      <c r="AD1769" s="197"/>
      <c r="AE1769" s="197"/>
      <c r="AF1769" s="197"/>
      <c r="AG1769" s="197"/>
      <c r="AH1769" s="197"/>
      <c r="AI1769" s="197"/>
      <c r="AJ1769" s="197"/>
      <c r="AK1769" s="197"/>
      <c r="AL1769" s="197"/>
      <c r="AM1769" s="197"/>
      <c r="AN1769" s="197"/>
      <c r="AO1769" s="197"/>
      <c r="AP1769" s="197"/>
      <c r="AQ1769" s="197"/>
      <c r="AR1769" s="197"/>
      <c r="AS1769" s="197"/>
      <c r="AT1769" s="197"/>
      <c r="AU1769" s="197"/>
      <c r="AV1769" s="197"/>
      <c r="AW1769" s="197"/>
    </row>
    <row r="1770" spans="28:49" s="196" customFormat="1">
      <c r="AB1770" s="201"/>
      <c r="AC1770" s="201"/>
      <c r="AD1770" s="197"/>
      <c r="AE1770" s="197"/>
      <c r="AF1770" s="197"/>
      <c r="AG1770" s="197"/>
      <c r="AH1770" s="197"/>
      <c r="AI1770" s="197"/>
      <c r="AJ1770" s="197"/>
      <c r="AK1770" s="197"/>
      <c r="AL1770" s="197"/>
      <c r="AM1770" s="197"/>
      <c r="AN1770" s="197"/>
      <c r="AO1770" s="197"/>
      <c r="AP1770" s="197"/>
      <c r="AQ1770" s="197"/>
      <c r="AR1770" s="197"/>
      <c r="AS1770" s="197"/>
      <c r="AT1770" s="197"/>
      <c r="AU1770" s="197"/>
      <c r="AV1770" s="197"/>
      <c r="AW1770" s="197"/>
    </row>
    <row r="1771" spans="28:49" s="196" customFormat="1">
      <c r="AB1771" s="201"/>
      <c r="AC1771" s="201"/>
      <c r="AD1771" s="197"/>
      <c r="AE1771" s="197"/>
      <c r="AF1771" s="197"/>
      <c r="AG1771" s="197"/>
      <c r="AH1771" s="197"/>
      <c r="AI1771" s="197"/>
      <c r="AJ1771" s="197"/>
      <c r="AK1771" s="197"/>
      <c r="AL1771" s="197"/>
      <c r="AM1771" s="197"/>
      <c r="AN1771" s="197"/>
      <c r="AO1771" s="197"/>
      <c r="AP1771" s="197"/>
      <c r="AQ1771" s="197"/>
      <c r="AR1771" s="197"/>
      <c r="AS1771" s="197"/>
      <c r="AT1771" s="197"/>
      <c r="AU1771" s="197"/>
      <c r="AV1771" s="197"/>
      <c r="AW1771" s="197"/>
    </row>
    <row r="1772" spans="28:49" s="196" customFormat="1">
      <c r="AB1772" s="201"/>
      <c r="AC1772" s="201"/>
      <c r="AD1772" s="197"/>
      <c r="AE1772" s="197"/>
      <c r="AF1772" s="197"/>
      <c r="AG1772" s="197"/>
      <c r="AH1772" s="197"/>
      <c r="AI1772" s="197"/>
      <c r="AJ1772" s="197"/>
      <c r="AK1772" s="197"/>
      <c r="AL1772" s="197"/>
      <c r="AM1772" s="197"/>
      <c r="AN1772" s="197"/>
      <c r="AO1772" s="197"/>
      <c r="AP1772" s="197"/>
      <c r="AQ1772" s="197"/>
      <c r="AR1772" s="197"/>
      <c r="AS1772" s="197"/>
      <c r="AT1772" s="197"/>
      <c r="AU1772" s="197"/>
      <c r="AV1772" s="197"/>
      <c r="AW1772" s="197"/>
    </row>
    <row r="1773" spans="28:49" s="196" customFormat="1">
      <c r="AB1773" s="201"/>
      <c r="AC1773" s="201"/>
      <c r="AD1773" s="197"/>
      <c r="AE1773" s="197"/>
      <c r="AF1773" s="197"/>
      <c r="AG1773" s="197"/>
      <c r="AH1773" s="197"/>
      <c r="AI1773" s="197"/>
      <c r="AJ1773" s="197"/>
      <c r="AK1773" s="197"/>
      <c r="AL1773" s="197"/>
      <c r="AM1773" s="197"/>
      <c r="AN1773" s="197"/>
      <c r="AO1773" s="197"/>
      <c r="AP1773" s="197"/>
      <c r="AQ1773" s="197"/>
      <c r="AR1773" s="197"/>
      <c r="AS1773" s="197"/>
      <c r="AT1773" s="197"/>
      <c r="AU1773" s="197"/>
      <c r="AV1773" s="197"/>
      <c r="AW1773" s="197"/>
    </row>
    <row r="1774" spans="28:49" s="196" customFormat="1">
      <c r="AB1774" s="201"/>
      <c r="AC1774" s="201"/>
      <c r="AD1774" s="197"/>
      <c r="AE1774" s="197"/>
      <c r="AF1774" s="197"/>
      <c r="AG1774" s="197"/>
      <c r="AH1774" s="197"/>
      <c r="AI1774" s="197"/>
      <c r="AJ1774" s="197"/>
      <c r="AK1774" s="197"/>
      <c r="AL1774" s="197"/>
      <c r="AM1774" s="197"/>
      <c r="AN1774" s="197"/>
      <c r="AO1774" s="197"/>
      <c r="AP1774" s="197"/>
      <c r="AQ1774" s="197"/>
      <c r="AR1774" s="197"/>
      <c r="AS1774" s="197"/>
      <c r="AT1774" s="197"/>
      <c r="AU1774" s="197"/>
      <c r="AV1774" s="197"/>
      <c r="AW1774" s="197"/>
    </row>
    <row r="1775" spans="28:49" s="196" customFormat="1">
      <c r="AB1775" s="201"/>
      <c r="AC1775" s="201"/>
      <c r="AD1775" s="197"/>
      <c r="AE1775" s="197"/>
      <c r="AF1775" s="197"/>
      <c r="AG1775" s="197"/>
      <c r="AH1775" s="197"/>
      <c r="AI1775" s="197"/>
      <c r="AJ1775" s="197"/>
      <c r="AK1775" s="197"/>
      <c r="AL1775" s="197"/>
      <c r="AM1775" s="197"/>
      <c r="AN1775" s="197"/>
      <c r="AO1775" s="197"/>
      <c r="AP1775" s="197"/>
      <c r="AQ1775" s="197"/>
      <c r="AR1775" s="197"/>
      <c r="AS1775" s="197"/>
      <c r="AT1775" s="197"/>
      <c r="AU1775" s="197"/>
      <c r="AV1775" s="197"/>
      <c r="AW1775" s="197"/>
    </row>
    <row r="1776" spans="28:49" s="196" customFormat="1">
      <c r="AB1776" s="201"/>
      <c r="AC1776" s="201"/>
      <c r="AD1776" s="197"/>
      <c r="AE1776" s="197"/>
      <c r="AF1776" s="197"/>
      <c r="AG1776" s="197"/>
      <c r="AH1776" s="197"/>
      <c r="AI1776" s="197"/>
      <c r="AJ1776" s="197"/>
      <c r="AK1776" s="197"/>
      <c r="AL1776" s="197"/>
      <c r="AM1776" s="197"/>
      <c r="AN1776" s="197"/>
      <c r="AO1776" s="197"/>
      <c r="AP1776" s="197"/>
      <c r="AQ1776" s="197"/>
      <c r="AR1776" s="197"/>
      <c r="AS1776" s="197"/>
      <c r="AT1776" s="197"/>
      <c r="AU1776" s="197"/>
      <c r="AV1776" s="197"/>
      <c r="AW1776" s="197"/>
    </row>
    <row r="1777" spans="28:49" s="196" customFormat="1">
      <c r="AB1777" s="201"/>
      <c r="AC1777" s="201"/>
      <c r="AD1777" s="197"/>
      <c r="AE1777" s="197"/>
      <c r="AF1777" s="197"/>
      <c r="AG1777" s="197"/>
      <c r="AH1777" s="197"/>
      <c r="AI1777" s="197"/>
      <c r="AJ1777" s="197"/>
      <c r="AK1777" s="197"/>
      <c r="AL1777" s="197"/>
      <c r="AM1777" s="197"/>
      <c r="AN1777" s="197"/>
      <c r="AO1777" s="197"/>
      <c r="AP1777" s="197"/>
      <c r="AQ1777" s="197"/>
      <c r="AR1777" s="197"/>
      <c r="AS1777" s="197"/>
      <c r="AT1777" s="197"/>
      <c r="AU1777" s="197"/>
      <c r="AV1777" s="197"/>
      <c r="AW1777" s="197"/>
    </row>
    <row r="1778" spans="28:49" s="196" customFormat="1">
      <c r="AB1778" s="201"/>
      <c r="AC1778" s="201"/>
      <c r="AD1778" s="197"/>
      <c r="AE1778" s="197"/>
      <c r="AF1778" s="197"/>
      <c r="AG1778" s="197"/>
      <c r="AH1778" s="197"/>
      <c r="AI1778" s="197"/>
      <c r="AJ1778" s="197"/>
      <c r="AK1778" s="197"/>
      <c r="AL1778" s="197"/>
      <c r="AM1778" s="197"/>
      <c r="AN1778" s="197"/>
      <c r="AO1778" s="197"/>
      <c r="AP1778" s="197"/>
      <c r="AQ1778" s="197"/>
      <c r="AR1778" s="197"/>
      <c r="AS1778" s="197"/>
      <c r="AT1778" s="197"/>
      <c r="AU1778" s="197"/>
      <c r="AV1778" s="197"/>
      <c r="AW1778" s="197"/>
    </row>
    <row r="1779" spans="28:49" s="196" customFormat="1">
      <c r="AB1779" s="201"/>
      <c r="AC1779" s="201"/>
      <c r="AD1779" s="197"/>
      <c r="AE1779" s="197"/>
      <c r="AF1779" s="197"/>
      <c r="AG1779" s="197"/>
      <c r="AH1779" s="197"/>
      <c r="AI1779" s="197"/>
      <c r="AJ1779" s="197"/>
      <c r="AK1779" s="197"/>
      <c r="AL1779" s="197"/>
      <c r="AM1779" s="197"/>
      <c r="AN1779" s="197"/>
      <c r="AO1779" s="197"/>
      <c r="AP1779" s="197"/>
      <c r="AQ1779" s="197"/>
      <c r="AR1779" s="197"/>
      <c r="AS1779" s="197"/>
      <c r="AT1779" s="197"/>
      <c r="AU1779" s="197"/>
      <c r="AV1779" s="197"/>
      <c r="AW1779" s="197"/>
    </row>
    <row r="1780" spans="28:49" s="196" customFormat="1">
      <c r="AB1780" s="201"/>
      <c r="AC1780" s="201"/>
      <c r="AD1780" s="197"/>
      <c r="AE1780" s="197"/>
      <c r="AF1780" s="197"/>
      <c r="AG1780" s="197"/>
      <c r="AH1780" s="197"/>
      <c r="AI1780" s="197"/>
      <c r="AJ1780" s="197"/>
      <c r="AK1780" s="197"/>
      <c r="AL1780" s="197"/>
      <c r="AM1780" s="197"/>
      <c r="AN1780" s="197"/>
      <c r="AO1780" s="197"/>
      <c r="AP1780" s="197"/>
      <c r="AQ1780" s="197"/>
      <c r="AR1780" s="197"/>
      <c r="AS1780" s="197"/>
      <c r="AT1780" s="197"/>
      <c r="AU1780" s="197"/>
      <c r="AV1780" s="197"/>
      <c r="AW1780" s="197"/>
    </row>
    <row r="1781" spans="28:49" s="196" customFormat="1">
      <c r="AB1781" s="201"/>
      <c r="AC1781" s="201"/>
      <c r="AD1781" s="197"/>
      <c r="AE1781" s="197"/>
      <c r="AF1781" s="197"/>
      <c r="AG1781" s="197"/>
      <c r="AH1781" s="197"/>
      <c r="AI1781" s="197"/>
      <c r="AJ1781" s="197"/>
      <c r="AK1781" s="197"/>
      <c r="AL1781" s="197"/>
      <c r="AM1781" s="197"/>
      <c r="AN1781" s="197"/>
      <c r="AO1781" s="197"/>
      <c r="AP1781" s="197"/>
      <c r="AQ1781" s="197"/>
      <c r="AR1781" s="197"/>
      <c r="AS1781" s="197"/>
      <c r="AT1781" s="197"/>
      <c r="AU1781" s="197"/>
      <c r="AV1781" s="197"/>
      <c r="AW1781" s="197"/>
    </row>
    <row r="1782" spans="28:49" s="196" customFormat="1">
      <c r="AB1782" s="201"/>
      <c r="AC1782" s="201"/>
      <c r="AD1782" s="197"/>
      <c r="AE1782" s="197"/>
      <c r="AF1782" s="197"/>
      <c r="AG1782" s="197"/>
      <c r="AH1782" s="197"/>
      <c r="AI1782" s="197"/>
      <c r="AJ1782" s="197"/>
      <c r="AK1782" s="197"/>
      <c r="AL1782" s="197"/>
      <c r="AM1782" s="197"/>
      <c r="AN1782" s="197"/>
      <c r="AO1782" s="197"/>
      <c r="AP1782" s="197"/>
      <c r="AQ1782" s="197"/>
      <c r="AR1782" s="197"/>
      <c r="AS1782" s="197"/>
      <c r="AT1782" s="197"/>
      <c r="AU1782" s="197"/>
      <c r="AV1782" s="197"/>
      <c r="AW1782" s="197"/>
    </row>
    <row r="1783" spans="28:49" s="196" customFormat="1">
      <c r="AB1783" s="201"/>
      <c r="AC1783" s="201"/>
      <c r="AD1783" s="197"/>
      <c r="AE1783" s="197"/>
      <c r="AF1783" s="197"/>
      <c r="AG1783" s="197"/>
      <c r="AH1783" s="197"/>
      <c r="AI1783" s="197"/>
      <c r="AJ1783" s="197"/>
      <c r="AK1783" s="197"/>
      <c r="AL1783" s="197"/>
      <c r="AM1783" s="197"/>
      <c r="AN1783" s="197"/>
      <c r="AO1783" s="197"/>
      <c r="AP1783" s="197"/>
      <c r="AQ1783" s="197"/>
      <c r="AR1783" s="197"/>
      <c r="AS1783" s="197"/>
      <c r="AT1783" s="197"/>
      <c r="AU1783" s="197"/>
      <c r="AV1783" s="197"/>
      <c r="AW1783" s="197"/>
    </row>
    <row r="1784" spans="28:49" s="196" customFormat="1">
      <c r="AB1784" s="201"/>
      <c r="AC1784" s="201"/>
      <c r="AD1784" s="197"/>
      <c r="AE1784" s="197"/>
      <c r="AF1784" s="197"/>
      <c r="AG1784" s="197"/>
      <c r="AH1784" s="197"/>
      <c r="AI1784" s="197"/>
      <c r="AJ1784" s="197"/>
      <c r="AK1784" s="197"/>
      <c r="AL1784" s="197"/>
      <c r="AM1784" s="197"/>
      <c r="AN1784" s="197"/>
      <c r="AO1784" s="197"/>
      <c r="AP1784" s="197"/>
      <c r="AQ1784" s="197"/>
      <c r="AR1784" s="197"/>
      <c r="AS1784" s="197"/>
      <c r="AT1784" s="197"/>
      <c r="AU1784" s="197"/>
      <c r="AV1784" s="197"/>
      <c r="AW1784" s="197"/>
    </row>
    <row r="1785" spans="28:49" s="196" customFormat="1">
      <c r="AB1785" s="201"/>
      <c r="AC1785" s="201"/>
      <c r="AD1785" s="197"/>
      <c r="AE1785" s="197"/>
      <c r="AF1785" s="197"/>
      <c r="AG1785" s="197"/>
      <c r="AH1785" s="197"/>
      <c r="AI1785" s="197"/>
      <c r="AJ1785" s="197"/>
      <c r="AK1785" s="197"/>
      <c r="AL1785" s="197"/>
      <c r="AM1785" s="197"/>
      <c r="AN1785" s="197"/>
      <c r="AO1785" s="197"/>
      <c r="AP1785" s="197"/>
      <c r="AQ1785" s="197"/>
      <c r="AR1785" s="197"/>
      <c r="AS1785" s="197"/>
      <c r="AT1785" s="197"/>
      <c r="AU1785" s="197"/>
      <c r="AV1785" s="197"/>
      <c r="AW1785" s="197"/>
    </row>
    <row r="1786" spans="28:49" s="196" customFormat="1">
      <c r="AB1786" s="201"/>
      <c r="AC1786" s="201"/>
      <c r="AD1786" s="197"/>
      <c r="AE1786" s="197"/>
      <c r="AF1786" s="197"/>
      <c r="AG1786" s="197"/>
      <c r="AH1786" s="197"/>
      <c r="AI1786" s="197"/>
      <c r="AJ1786" s="197"/>
      <c r="AK1786" s="197"/>
      <c r="AL1786" s="197"/>
      <c r="AM1786" s="197"/>
      <c r="AN1786" s="197"/>
      <c r="AO1786" s="197"/>
      <c r="AP1786" s="197"/>
      <c r="AQ1786" s="197"/>
      <c r="AR1786" s="197"/>
      <c r="AS1786" s="197"/>
      <c r="AT1786" s="197"/>
      <c r="AU1786" s="197"/>
      <c r="AV1786" s="197"/>
      <c r="AW1786" s="197"/>
    </row>
    <row r="1787" spans="28:49" s="196" customFormat="1">
      <c r="AB1787" s="201"/>
      <c r="AC1787" s="201"/>
      <c r="AD1787" s="197"/>
      <c r="AE1787" s="197"/>
      <c r="AF1787" s="197"/>
      <c r="AG1787" s="197"/>
      <c r="AH1787" s="197"/>
      <c r="AI1787" s="197"/>
      <c r="AJ1787" s="197"/>
      <c r="AK1787" s="197"/>
      <c r="AL1787" s="197"/>
      <c r="AM1787" s="197"/>
      <c r="AN1787" s="197"/>
      <c r="AO1787" s="197"/>
      <c r="AP1787" s="197"/>
      <c r="AQ1787" s="197"/>
      <c r="AR1787" s="197"/>
      <c r="AS1787" s="197"/>
      <c r="AT1787" s="197"/>
      <c r="AU1787" s="197"/>
      <c r="AV1787" s="197"/>
      <c r="AW1787" s="197"/>
    </row>
    <row r="1788" spans="28:49" s="196" customFormat="1">
      <c r="AB1788" s="201"/>
      <c r="AC1788" s="201"/>
      <c r="AD1788" s="197"/>
      <c r="AE1788" s="197"/>
      <c r="AF1788" s="197"/>
      <c r="AG1788" s="197"/>
      <c r="AH1788" s="197"/>
      <c r="AI1788" s="197"/>
      <c r="AJ1788" s="197"/>
      <c r="AK1788" s="197"/>
      <c r="AL1788" s="197"/>
      <c r="AM1788" s="197"/>
      <c r="AN1788" s="197"/>
      <c r="AO1788" s="197"/>
      <c r="AP1788" s="197"/>
      <c r="AQ1788" s="197"/>
      <c r="AR1788" s="197"/>
      <c r="AS1788" s="197"/>
      <c r="AT1788" s="197"/>
      <c r="AU1788" s="197"/>
      <c r="AV1788" s="197"/>
      <c r="AW1788" s="197"/>
    </row>
    <row r="1789" spans="28:49" s="196" customFormat="1">
      <c r="AB1789" s="201"/>
      <c r="AC1789" s="201"/>
      <c r="AD1789" s="197"/>
      <c r="AE1789" s="197"/>
      <c r="AF1789" s="197"/>
      <c r="AG1789" s="197"/>
      <c r="AH1789" s="197"/>
      <c r="AI1789" s="197"/>
      <c r="AJ1789" s="197"/>
      <c r="AK1789" s="197"/>
      <c r="AL1789" s="197"/>
      <c r="AM1789" s="197"/>
      <c r="AN1789" s="197"/>
      <c r="AO1789" s="197"/>
      <c r="AP1789" s="197"/>
      <c r="AQ1789" s="197"/>
      <c r="AR1789" s="197"/>
      <c r="AS1789" s="197"/>
      <c r="AT1789" s="197"/>
      <c r="AU1789" s="197"/>
      <c r="AV1789" s="197"/>
      <c r="AW1789" s="197"/>
    </row>
    <row r="1790" spans="28:49" s="196" customFormat="1">
      <c r="AB1790" s="201"/>
      <c r="AC1790" s="201"/>
      <c r="AD1790" s="197"/>
      <c r="AE1790" s="197"/>
      <c r="AF1790" s="197"/>
      <c r="AG1790" s="197"/>
      <c r="AH1790" s="197"/>
      <c r="AI1790" s="197"/>
      <c r="AJ1790" s="197"/>
      <c r="AK1790" s="197"/>
      <c r="AL1790" s="197"/>
      <c r="AM1790" s="197"/>
      <c r="AN1790" s="197"/>
      <c r="AO1790" s="197"/>
      <c r="AP1790" s="197"/>
      <c r="AQ1790" s="197"/>
      <c r="AR1790" s="197"/>
      <c r="AS1790" s="197"/>
      <c r="AT1790" s="197"/>
      <c r="AU1790" s="197"/>
      <c r="AV1790" s="197"/>
      <c r="AW1790" s="197"/>
    </row>
    <row r="1791" spans="28:49" s="196" customFormat="1">
      <c r="AB1791" s="201"/>
      <c r="AC1791" s="201"/>
      <c r="AD1791" s="197"/>
      <c r="AE1791" s="197"/>
      <c r="AF1791" s="197"/>
      <c r="AG1791" s="197"/>
      <c r="AH1791" s="197"/>
      <c r="AI1791" s="197"/>
      <c r="AJ1791" s="197"/>
      <c r="AK1791" s="197"/>
      <c r="AL1791" s="197"/>
      <c r="AM1791" s="197"/>
      <c r="AN1791" s="197"/>
      <c r="AO1791" s="197"/>
      <c r="AP1791" s="197"/>
      <c r="AQ1791" s="197"/>
      <c r="AR1791" s="197"/>
      <c r="AS1791" s="197"/>
      <c r="AT1791" s="197"/>
      <c r="AU1791" s="197"/>
      <c r="AV1791" s="197"/>
      <c r="AW1791" s="197"/>
    </row>
    <row r="1792" spans="28:49" s="196" customFormat="1">
      <c r="AB1792" s="201"/>
      <c r="AC1792" s="201"/>
      <c r="AD1792" s="197"/>
      <c r="AE1792" s="197"/>
      <c r="AF1792" s="197"/>
      <c r="AG1792" s="197"/>
      <c r="AH1792" s="197"/>
      <c r="AI1792" s="197"/>
      <c r="AJ1792" s="197"/>
      <c r="AK1792" s="197"/>
      <c r="AL1792" s="197"/>
      <c r="AM1792" s="197"/>
      <c r="AN1792" s="197"/>
      <c r="AO1792" s="197"/>
      <c r="AP1792" s="197"/>
      <c r="AQ1792" s="197"/>
      <c r="AR1792" s="197"/>
      <c r="AS1792" s="197"/>
      <c r="AT1792" s="197"/>
      <c r="AU1792" s="197"/>
      <c r="AV1792" s="197"/>
      <c r="AW1792" s="197"/>
    </row>
    <row r="1793" spans="28:49" s="196" customFormat="1">
      <c r="AB1793" s="201"/>
      <c r="AC1793" s="201"/>
      <c r="AD1793" s="197"/>
      <c r="AE1793" s="197"/>
      <c r="AF1793" s="197"/>
      <c r="AG1793" s="197"/>
      <c r="AH1793" s="197"/>
      <c r="AI1793" s="197"/>
      <c r="AJ1793" s="197"/>
      <c r="AK1793" s="197"/>
      <c r="AL1793" s="197"/>
      <c r="AM1793" s="197"/>
      <c r="AN1793" s="197"/>
      <c r="AO1793" s="197"/>
      <c r="AP1793" s="197"/>
      <c r="AQ1793" s="197"/>
      <c r="AR1793" s="197"/>
      <c r="AS1793" s="197"/>
      <c r="AT1793" s="197"/>
      <c r="AU1793" s="197"/>
      <c r="AV1793" s="197"/>
      <c r="AW1793" s="197"/>
    </row>
    <row r="1794" spans="28:49" s="196" customFormat="1">
      <c r="AB1794" s="201"/>
      <c r="AC1794" s="201"/>
      <c r="AD1794" s="197"/>
      <c r="AE1794" s="197"/>
      <c r="AF1794" s="197"/>
      <c r="AG1794" s="197"/>
      <c r="AH1794" s="197"/>
      <c r="AI1794" s="197"/>
      <c r="AJ1794" s="197"/>
      <c r="AK1794" s="197"/>
      <c r="AL1794" s="197"/>
      <c r="AM1794" s="197"/>
      <c r="AN1794" s="197"/>
      <c r="AO1794" s="197"/>
      <c r="AP1794" s="197"/>
      <c r="AQ1794" s="197"/>
      <c r="AR1794" s="197"/>
      <c r="AS1794" s="197"/>
      <c r="AT1794" s="197"/>
      <c r="AU1794" s="197"/>
      <c r="AV1794" s="197"/>
      <c r="AW1794" s="197"/>
    </row>
    <row r="1795" spans="28:49" s="196" customFormat="1">
      <c r="AB1795" s="201"/>
      <c r="AC1795" s="201"/>
      <c r="AD1795" s="197"/>
      <c r="AE1795" s="197"/>
      <c r="AF1795" s="197"/>
      <c r="AG1795" s="197"/>
      <c r="AH1795" s="197"/>
      <c r="AI1795" s="197"/>
      <c r="AJ1795" s="197"/>
      <c r="AK1795" s="197"/>
      <c r="AL1795" s="197"/>
      <c r="AM1795" s="197"/>
      <c r="AN1795" s="197"/>
      <c r="AO1795" s="197"/>
      <c r="AP1795" s="197"/>
      <c r="AQ1795" s="197"/>
      <c r="AR1795" s="197"/>
      <c r="AS1795" s="197"/>
      <c r="AT1795" s="197"/>
      <c r="AU1795" s="197"/>
      <c r="AV1795" s="197"/>
      <c r="AW1795" s="197"/>
    </row>
    <row r="1796" spans="28:49" s="196" customFormat="1">
      <c r="AB1796" s="201"/>
      <c r="AC1796" s="201"/>
      <c r="AD1796" s="197"/>
      <c r="AE1796" s="197"/>
      <c r="AF1796" s="197"/>
      <c r="AG1796" s="197"/>
      <c r="AH1796" s="197"/>
      <c r="AI1796" s="197"/>
      <c r="AJ1796" s="197"/>
      <c r="AK1796" s="197"/>
      <c r="AL1796" s="197"/>
      <c r="AM1796" s="197"/>
      <c r="AN1796" s="197"/>
      <c r="AO1796" s="197"/>
      <c r="AP1796" s="197"/>
      <c r="AQ1796" s="197"/>
      <c r="AR1796" s="197"/>
      <c r="AS1796" s="197"/>
      <c r="AT1796" s="197"/>
      <c r="AU1796" s="197"/>
      <c r="AV1796" s="197"/>
      <c r="AW1796" s="197"/>
    </row>
    <row r="1797" spans="28:49" s="196" customFormat="1">
      <c r="AB1797" s="201"/>
      <c r="AC1797" s="201"/>
      <c r="AD1797" s="197"/>
      <c r="AE1797" s="197"/>
      <c r="AF1797" s="197"/>
      <c r="AG1797" s="197"/>
      <c r="AH1797" s="197"/>
      <c r="AI1797" s="197"/>
      <c r="AJ1797" s="197"/>
      <c r="AK1797" s="197"/>
      <c r="AL1797" s="197"/>
      <c r="AM1797" s="197"/>
      <c r="AN1797" s="197"/>
      <c r="AO1797" s="197"/>
      <c r="AP1797" s="197"/>
      <c r="AQ1797" s="197"/>
      <c r="AR1797" s="197"/>
      <c r="AS1797" s="197"/>
      <c r="AT1797" s="197"/>
      <c r="AU1797" s="197"/>
      <c r="AV1797" s="197"/>
      <c r="AW1797" s="197"/>
    </row>
    <row r="1798" spans="28:49" s="196" customFormat="1">
      <c r="AB1798" s="201"/>
      <c r="AC1798" s="201"/>
      <c r="AD1798" s="197"/>
      <c r="AE1798" s="197"/>
      <c r="AF1798" s="197"/>
      <c r="AG1798" s="197"/>
      <c r="AH1798" s="197"/>
      <c r="AI1798" s="197"/>
      <c r="AJ1798" s="197"/>
      <c r="AK1798" s="197"/>
      <c r="AL1798" s="197"/>
      <c r="AM1798" s="197"/>
      <c r="AN1798" s="197"/>
      <c r="AO1798" s="197"/>
      <c r="AP1798" s="197"/>
      <c r="AQ1798" s="197"/>
      <c r="AR1798" s="197"/>
      <c r="AS1798" s="197"/>
      <c r="AT1798" s="197"/>
      <c r="AU1798" s="197"/>
      <c r="AV1798" s="197"/>
      <c r="AW1798" s="197"/>
    </row>
    <row r="1799" spans="28:49" s="196" customFormat="1">
      <c r="AB1799" s="201"/>
      <c r="AC1799" s="201"/>
      <c r="AD1799" s="197"/>
      <c r="AE1799" s="197"/>
      <c r="AF1799" s="197"/>
      <c r="AG1799" s="197"/>
      <c r="AH1799" s="197"/>
      <c r="AI1799" s="197"/>
      <c r="AJ1799" s="197"/>
      <c r="AK1799" s="197"/>
      <c r="AL1799" s="197"/>
      <c r="AM1799" s="197"/>
      <c r="AN1799" s="197"/>
      <c r="AO1799" s="197"/>
      <c r="AP1799" s="197"/>
      <c r="AQ1799" s="197"/>
      <c r="AR1799" s="197"/>
      <c r="AS1799" s="197"/>
      <c r="AT1799" s="197"/>
      <c r="AU1799" s="197"/>
      <c r="AV1799" s="197"/>
      <c r="AW1799" s="197"/>
    </row>
    <row r="1800" spans="28:49" s="196" customFormat="1">
      <c r="AB1800" s="201"/>
      <c r="AC1800" s="201"/>
      <c r="AD1800" s="197"/>
      <c r="AE1800" s="197"/>
      <c r="AF1800" s="197"/>
      <c r="AG1800" s="197"/>
      <c r="AH1800" s="197"/>
      <c r="AI1800" s="197"/>
      <c r="AJ1800" s="197"/>
      <c r="AK1800" s="197"/>
      <c r="AL1800" s="197"/>
      <c r="AM1800" s="197"/>
      <c r="AN1800" s="197"/>
      <c r="AO1800" s="197"/>
      <c r="AP1800" s="197"/>
      <c r="AQ1800" s="197"/>
      <c r="AR1800" s="197"/>
      <c r="AS1800" s="197"/>
      <c r="AT1800" s="197"/>
      <c r="AU1800" s="197"/>
      <c r="AV1800" s="197"/>
      <c r="AW1800" s="197"/>
    </row>
    <row r="1801" spans="28:49" s="196" customFormat="1">
      <c r="AB1801" s="201"/>
      <c r="AC1801" s="201"/>
      <c r="AD1801" s="197"/>
      <c r="AE1801" s="197"/>
      <c r="AF1801" s="197"/>
      <c r="AG1801" s="197"/>
      <c r="AH1801" s="197"/>
      <c r="AI1801" s="197"/>
      <c r="AJ1801" s="197"/>
      <c r="AK1801" s="197"/>
      <c r="AL1801" s="197"/>
      <c r="AM1801" s="197"/>
      <c r="AN1801" s="197"/>
      <c r="AO1801" s="197"/>
      <c r="AP1801" s="197"/>
      <c r="AQ1801" s="197"/>
      <c r="AR1801" s="197"/>
      <c r="AS1801" s="197"/>
      <c r="AT1801" s="197"/>
      <c r="AU1801" s="197"/>
      <c r="AV1801" s="197"/>
      <c r="AW1801" s="197"/>
    </row>
    <row r="1802" spans="28:49" s="196" customFormat="1">
      <c r="AB1802" s="201"/>
      <c r="AC1802" s="201"/>
      <c r="AD1802" s="197"/>
      <c r="AE1802" s="197"/>
      <c r="AF1802" s="197"/>
      <c r="AG1802" s="197"/>
      <c r="AH1802" s="197"/>
      <c r="AI1802" s="197"/>
      <c r="AJ1802" s="197"/>
      <c r="AK1802" s="197"/>
      <c r="AL1802" s="197"/>
      <c r="AM1802" s="197"/>
      <c r="AN1802" s="197"/>
      <c r="AO1802" s="197"/>
      <c r="AP1802" s="197"/>
      <c r="AQ1802" s="197"/>
      <c r="AR1802" s="197"/>
      <c r="AS1802" s="197"/>
      <c r="AT1802" s="197"/>
      <c r="AU1802" s="197"/>
      <c r="AV1802" s="197"/>
      <c r="AW1802" s="197"/>
    </row>
    <row r="1803" spans="28:49" s="196" customFormat="1">
      <c r="AB1803" s="201"/>
      <c r="AC1803" s="201"/>
      <c r="AD1803" s="197"/>
      <c r="AE1803" s="197"/>
      <c r="AF1803" s="197"/>
      <c r="AG1803" s="197"/>
      <c r="AH1803" s="197"/>
      <c r="AI1803" s="197"/>
      <c r="AJ1803" s="197"/>
      <c r="AK1803" s="197"/>
      <c r="AL1803" s="197"/>
      <c r="AM1803" s="197"/>
      <c r="AN1803" s="197"/>
      <c r="AO1803" s="197"/>
      <c r="AP1803" s="197"/>
      <c r="AQ1803" s="197"/>
      <c r="AR1803" s="197"/>
      <c r="AS1803" s="197"/>
      <c r="AT1803" s="197"/>
      <c r="AU1803" s="197"/>
      <c r="AV1803" s="197"/>
      <c r="AW1803" s="197"/>
    </row>
    <row r="1804" spans="28:49" s="196" customFormat="1">
      <c r="AB1804" s="201"/>
      <c r="AC1804" s="201"/>
      <c r="AD1804" s="197"/>
      <c r="AE1804" s="197"/>
      <c r="AF1804" s="197"/>
      <c r="AG1804" s="197"/>
      <c r="AH1804" s="197"/>
      <c r="AI1804" s="197"/>
      <c r="AJ1804" s="197"/>
      <c r="AK1804" s="197"/>
      <c r="AL1804" s="197"/>
      <c r="AM1804" s="197"/>
      <c r="AN1804" s="197"/>
      <c r="AO1804" s="197"/>
      <c r="AP1804" s="197"/>
      <c r="AQ1804" s="197"/>
      <c r="AR1804" s="197"/>
      <c r="AS1804" s="197"/>
      <c r="AT1804" s="197"/>
      <c r="AU1804" s="197"/>
      <c r="AV1804" s="197"/>
      <c r="AW1804" s="197"/>
    </row>
    <row r="1805" spans="28:49" s="196" customFormat="1">
      <c r="AB1805" s="201"/>
      <c r="AC1805" s="201"/>
      <c r="AD1805" s="197"/>
      <c r="AE1805" s="197"/>
      <c r="AF1805" s="197"/>
      <c r="AG1805" s="197"/>
      <c r="AH1805" s="197"/>
      <c r="AI1805" s="197"/>
      <c r="AJ1805" s="197"/>
      <c r="AK1805" s="197"/>
      <c r="AL1805" s="197"/>
      <c r="AM1805" s="197"/>
      <c r="AN1805" s="197"/>
      <c r="AO1805" s="197"/>
      <c r="AP1805" s="197"/>
      <c r="AQ1805" s="197"/>
      <c r="AR1805" s="197"/>
      <c r="AS1805" s="197"/>
      <c r="AT1805" s="197"/>
      <c r="AU1805" s="197"/>
      <c r="AV1805" s="197"/>
      <c r="AW1805" s="197"/>
    </row>
    <row r="1806" spans="28:49" s="196" customFormat="1">
      <c r="AB1806" s="201"/>
      <c r="AC1806" s="201"/>
      <c r="AD1806" s="197"/>
      <c r="AE1806" s="197"/>
      <c r="AF1806" s="197"/>
      <c r="AG1806" s="197"/>
      <c r="AH1806" s="197"/>
      <c r="AI1806" s="197"/>
      <c r="AJ1806" s="197"/>
      <c r="AK1806" s="197"/>
      <c r="AL1806" s="197"/>
      <c r="AM1806" s="197"/>
      <c r="AN1806" s="197"/>
      <c r="AO1806" s="197"/>
      <c r="AP1806" s="197"/>
      <c r="AQ1806" s="197"/>
      <c r="AR1806" s="197"/>
      <c r="AS1806" s="197"/>
      <c r="AT1806" s="197"/>
      <c r="AU1806" s="197"/>
      <c r="AV1806" s="197"/>
      <c r="AW1806" s="197"/>
    </row>
    <row r="1807" spans="28:49" s="196" customFormat="1">
      <c r="AB1807" s="201"/>
      <c r="AC1807" s="201"/>
      <c r="AD1807" s="197"/>
      <c r="AE1807" s="197"/>
      <c r="AF1807" s="197"/>
      <c r="AG1807" s="197"/>
      <c r="AH1807" s="197"/>
      <c r="AI1807" s="197"/>
      <c r="AJ1807" s="197"/>
      <c r="AK1807" s="197"/>
      <c r="AL1807" s="197"/>
      <c r="AM1807" s="197"/>
      <c r="AN1807" s="197"/>
      <c r="AO1807" s="197"/>
      <c r="AP1807" s="197"/>
      <c r="AQ1807" s="197"/>
      <c r="AR1807" s="197"/>
      <c r="AS1807" s="197"/>
      <c r="AT1807" s="197"/>
      <c r="AU1807" s="197"/>
      <c r="AV1807" s="197"/>
      <c r="AW1807" s="197"/>
    </row>
    <row r="1808" spans="28:49" s="196" customFormat="1">
      <c r="AB1808" s="201"/>
      <c r="AC1808" s="201"/>
      <c r="AD1808" s="197"/>
      <c r="AE1808" s="197"/>
      <c r="AF1808" s="197"/>
      <c r="AG1808" s="197"/>
      <c r="AH1808" s="197"/>
      <c r="AI1808" s="197"/>
      <c r="AJ1808" s="197"/>
      <c r="AK1808" s="197"/>
      <c r="AL1808" s="197"/>
      <c r="AM1808" s="197"/>
      <c r="AN1808" s="197"/>
      <c r="AO1808" s="197"/>
      <c r="AP1808" s="197"/>
      <c r="AQ1808" s="197"/>
      <c r="AR1808" s="197"/>
      <c r="AS1808" s="197"/>
      <c r="AT1808" s="197"/>
      <c r="AU1808" s="197"/>
      <c r="AV1808" s="197"/>
      <c r="AW1808" s="197"/>
    </row>
    <row r="1809" spans="28:49" s="196" customFormat="1">
      <c r="AB1809" s="201"/>
      <c r="AC1809" s="201"/>
      <c r="AD1809" s="197"/>
      <c r="AE1809" s="197"/>
      <c r="AF1809" s="197"/>
      <c r="AG1809" s="197"/>
      <c r="AH1809" s="197"/>
      <c r="AI1809" s="197"/>
      <c r="AJ1809" s="197"/>
      <c r="AK1809" s="197"/>
      <c r="AL1809" s="197"/>
      <c r="AM1809" s="197"/>
      <c r="AN1809" s="197"/>
      <c r="AO1809" s="197"/>
      <c r="AP1809" s="197"/>
      <c r="AQ1809" s="197"/>
      <c r="AR1809" s="197"/>
      <c r="AS1809" s="197"/>
      <c r="AT1809" s="197"/>
      <c r="AU1809" s="197"/>
      <c r="AV1809" s="197"/>
      <c r="AW1809" s="197"/>
    </row>
    <row r="1810" spans="28:49" s="196" customFormat="1">
      <c r="AB1810" s="201"/>
      <c r="AC1810" s="201"/>
      <c r="AD1810" s="197"/>
      <c r="AE1810" s="197"/>
      <c r="AF1810" s="197"/>
      <c r="AG1810" s="197"/>
      <c r="AH1810" s="197"/>
      <c r="AI1810" s="197"/>
      <c r="AJ1810" s="197"/>
      <c r="AK1810" s="197"/>
      <c r="AL1810" s="197"/>
      <c r="AM1810" s="197"/>
      <c r="AN1810" s="197"/>
      <c r="AO1810" s="197"/>
      <c r="AP1810" s="197"/>
      <c r="AQ1810" s="197"/>
      <c r="AR1810" s="197"/>
      <c r="AS1810" s="197"/>
      <c r="AT1810" s="197"/>
      <c r="AU1810" s="197"/>
      <c r="AV1810" s="197"/>
      <c r="AW1810" s="197"/>
    </row>
    <row r="1811" spans="28:49" s="196" customFormat="1">
      <c r="AB1811" s="201"/>
      <c r="AC1811" s="201"/>
      <c r="AD1811" s="197"/>
      <c r="AE1811" s="197"/>
      <c r="AF1811" s="197"/>
      <c r="AG1811" s="197"/>
      <c r="AH1811" s="197"/>
      <c r="AI1811" s="197"/>
      <c r="AJ1811" s="197"/>
      <c r="AK1811" s="197"/>
      <c r="AL1811" s="197"/>
      <c r="AM1811" s="197"/>
      <c r="AN1811" s="197"/>
      <c r="AO1811" s="197"/>
      <c r="AP1811" s="197"/>
      <c r="AQ1811" s="197"/>
      <c r="AR1811" s="197"/>
      <c r="AS1811" s="197"/>
      <c r="AT1811" s="197"/>
      <c r="AU1811" s="197"/>
      <c r="AV1811" s="197"/>
      <c r="AW1811" s="197"/>
    </row>
    <row r="1812" spans="28:49" s="196" customFormat="1">
      <c r="AB1812" s="201"/>
      <c r="AC1812" s="201"/>
      <c r="AD1812" s="197"/>
      <c r="AE1812" s="197"/>
      <c r="AF1812" s="197"/>
      <c r="AG1812" s="197"/>
      <c r="AH1812" s="197"/>
      <c r="AI1812" s="197"/>
      <c r="AJ1812" s="197"/>
      <c r="AK1812" s="197"/>
      <c r="AL1812" s="197"/>
      <c r="AM1812" s="197"/>
      <c r="AN1812" s="197"/>
      <c r="AO1812" s="197"/>
      <c r="AP1812" s="197"/>
      <c r="AQ1812" s="197"/>
      <c r="AR1812" s="197"/>
      <c r="AS1812" s="197"/>
      <c r="AT1812" s="197"/>
      <c r="AU1812" s="197"/>
      <c r="AV1812" s="197"/>
      <c r="AW1812" s="197"/>
    </row>
    <row r="1813" spans="28:49" s="196" customFormat="1">
      <c r="AB1813" s="201"/>
      <c r="AC1813" s="201"/>
      <c r="AD1813" s="197"/>
      <c r="AE1813" s="197"/>
      <c r="AF1813" s="197"/>
      <c r="AG1813" s="197"/>
      <c r="AH1813" s="197"/>
      <c r="AI1813" s="197"/>
      <c r="AJ1813" s="197"/>
      <c r="AK1813" s="197"/>
      <c r="AL1813" s="197"/>
      <c r="AM1813" s="197"/>
      <c r="AN1813" s="197"/>
      <c r="AO1813" s="197"/>
      <c r="AP1813" s="197"/>
      <c r="AQ1813" s="197"/>
      <c r="AR1813" s="197"/>
      <c r="AS1813" s="197"/>
      <c r="AT1813" s="197"/>
      <c r="AU1813" s="197"/>
      <c r="AV1813" s="197"/>
      <c r="AW1813" s="197"/>
    </row>
    <row r="1814" spans="28:49" s="196" customFormat="1">
      <c r="AB1814" s="201"/>
      <c r="AC1814" s="201"/>
      <c r="AD1814" s="197"/>
      <c r="AE1814" s="197"/>
      <c r="AF1814" s="197"/>
      <c r="AG1814" s="197"/>
      <c r="AH1814" s="197"/>
      <c r="AI1814" s="197"/>
      <c r="AJ1814" s="197"/>
      <c r="AK1814" s="197"/>
      <c r="AL1814" s="197"/>
      <c r="AM1814" s="197"/>
      <c r="AN1814" s="197"/>
      <c r="AO1814" s="197"/>
      <c r="AP1814" s="197"/>
      <c r="AQ1814" s="197"/>
      <c r="AR1814" s="197"/>
      <c r="AS1814" s="197"/>
      <c r="AT1814" s="197"/>
      <c r="AU1814" s="197"/>
      <c r="AV1814" s="197"/>
      <c r="AW1814" s="197"/>
    </row>
    <row r="1815" spans="28:49" s="196" customFormat="1">
      <c r="AB1815" s="201"/>
      <c r="AC1815" s="201"/>
      <c r="AD1815" s="197"/>
      <c r="AE1815" s="197"/>
      <c r="AF1815" s="197"/>
      <c r="AG1815" s="197"/>
      <c r="AH1815" s="197"/>
      <c r="AI1815" s="197"/>
      <c r="AJ1815" s="197"/>
      <c r="AK1815" s="197"/>
      <c r="AL1815" s="197"/>
      <c r="AM1815" s="197"/>
      <c r="AN1815" s="197"/>
      <c r="AO1815" s="197"/>
      <c r="AP1815" s="197"/>
      <c r="AQ1815" s="197"/>
      <c r="AR1815" s="197"/>
      <c r="AS1815" s="197"/>
      <c r="AT1815" s="197"/>
      <c r="AU1815" s="197"/>
      <c r="AV1815" s="197"/>
      <c r="AW1815" s="197"/>
    </row>
    <row r="1816" spans="28:49" s="196" customFormat="1">
      <c r="AB1816" s="201"/>
      <c r="AC1816" s="201"/>
      <c r="AD1816" s="197"/>
      <c r="AE1816" s="197"/>
      <c r="AF1816" s="197"/>
      <c r="AG1816" s="197"/>
      <c r="AH1816" s="197"/>
      <c r="AI1816" s="197"/>
      <c r="AJ1816" s="197"/>
      <c r="AK1816" s="197"/>
      <c r="AL1816" s="197"/>
      <c r="AM1816" s="197"/>
      <c r="AN1816" s="197"/>
      <c r="AO1816" s="197"/>
      <c r="AP1816" s="197"/>
      <c r="AQ1816" s="197"/>
      <c r="AR1816" s="197"/>
      <c r="AS1816" s="197"/>
      <c r="AT1816" s="197"/>
      <c r="AU1816" s="197"/>
      <c r="AV1816" s="197"/>
      <c r="AW1816" s="197"/>
    </row>
    <row r="1817" spans="28:49" s="196" customFormat="1">
      <c r="AB1817" s="201"/>
      <c r="AC1817" s="201"/>
      <c r="AD1817" s="197"/>
      <c r="AE1817" s="197"/>
      <c r="AF1817" s="197"/>
      <c r="AG1817" s="197"/>
      <c r="AH1817" s="197"/>
      <c r="AI1817" s="197"/>
      <c r="AJ1817" s="197"/>
      <c r="AK1817" s="197"/>
      <c r="AL1817" s="197"/>
      <c r="AM1817" s="197"/>
      <c r="AN1817" s="197"/>
      <c r="AO1817" s="197"/>
      <c r="AP1817" s="197"/>
      <c r="AQ1817" s="197"/>
      <c r="AR1817" s="197"/>
      <c r="AS1817" s="197"/>
      <c r="AT1817" s="197"/>
      <c r="AU1817" s="197"/>
      <c r="AV1817" s="197"/>
      <c r="AW1817" s="197"/>
    </row>
    <row r="1818" spans="28:49" s="196" customFormat="1">
      <c r="AB1818" s="201"/>
      <c r="AC1818" s="201"/>
      <c r="AD1818" s="197"/>
      <c r="AE1818" s="197"/>
      <c r="AF1818" s="197"/>
      <c r="AG1818" s="197"/>
      <c r="AH1818" s="197"/>
      <c r="AI1818" s="197"/>
      <c r="AJ1818" s="197"/>
      <c r="AK1818" s="197"/>
      <c r="AL1818" s="197"/>
      <c r="AM1818" s="197"/>
      <c r="AN1818" s="197"/>
      <c r="AO1818" s="197"/>
      <c r="AP1818" s="197"/>
      <c r="AQ1818" s="197"/>
      <c r="AR1818" s="197"/>
      <c r="AS1818" s="197"/>
      <c r="AT1818" s="197"/>
      <c r="AU1818" s="197"/>
      <c r="AV1818" s="197"/>
      <c r="AW1818" s="197"/>
    </row>
    <row r="1819" spans="28:49" s="196" customFormat="1">
      <c r="AB1819" s="201"/>
      <c r="AC1819" s="201"/>
      <c r="AD1819" s="197"/>
      <c r="AE1819" s="197"/>
      <c r="AF1819" s="197"/>
      <c r="AG1819" s="197"/>
      <c r="AH1819" s="197"/>
      <c r="AI1819" s="197"/>
      <c r="AJ1819" s="197"/>
      <c r="AK1819" s="197"/>
      <c r="AL1819" s="197"/>
      <c r="AM1819" s="197"/>
      <c r="AN1819" s="197"/>
      <c r="AO1819" s="197"/>
      <c r="AP1819" s="197"/>
      <c r="AQ1819" s="197"/>
      <c r="AR1819" s="197"/>
      <c r="AS1819" s="197"/>
      <c r="AT1819" s="197"/>
      <c r="AU1819" s="197"/>
      <c r="AV1819" s="197"/>
      <c r="AW1819" s="197"/>
    </row>
    <row r="1820" spans="28:49" s="196" customFormat="1">
      <c r="AB1820" s="201"/>
      <c r="AC1820" s="201"/>
      <c r="AD1820" s="197"/>
      <c r="AE1820" s="197"/>
      <c r="AF1820" s="197"/>
      <c r="AG1820" s="197"/>
      <c r="AH1820" s="197"/>
      <c r="AI1820" s="197"/>
      <c r="AJ1820" s="197"/>
      <c r="AK1820" s="197"/>
      <c r="AL1820" s="197"/>
      <c r="AM1820" s="197"/>
      <c r="AN1820" s="197"/>
      <c r="AO1820" s="197"/>
      <c r="AP1820" s="197"/>
      <c r="AQ1820" s="197"/>
      <c r="AR1820" s="197"/>
      <c r="AS1820" s="197"/>
      <c r="AT1820" s="197"/>
      <c r="AU1820" s="197"/>
      <c r="AV1820" s="197"/>
      <c r="AW1820" s="197"/>
    </row>
    <row r="1821" spans="28:49" s="196" customFormat="1">
      <c r="AB1821" s="201"/>
      <c r="AC1821" s="201"/>
      <c r="AD1821" s="197"/>
      <c r="AE1821" s="197"/>
      <c r="AF1821" s="197"/>
      <c r="AG1821" s="197"/>
      <c r="AH1821" s="197"/>
      <c r="AI1821" s="197"/>
      <c r="AJ1821" s="197"/>
      <c r="AK1821" s="197"/>
      <c r="AL1821" s="197"/>
      <c r="AM1821" s="197"/>
      <c r="AN1821" s="197"/>
      <c r="AO1821" s="197"/>
      <c r="AP1821" s="197"/>
      <c r="AQ1821" s="197"/>
      <c r="AR1821" s="197"/>
      <c r="AS1821" s="197"/>
      <c r="AT1821" s="197"/>
      <c r="AU1821" s="197"/>
      <c r="AV1821" s="197"/>
      <c r="AW1821" s="197"/>
    </row>
    <row r="1822" spans="28:49" s="196" customFormat="1">
      <c r="AB1822" s="201"/>
      <c r="AC1822" s="201"/>
      <c r="AD1822" s="197"/>
      <c r="AE1822" s="197"/>
      <c r="AF1822" s="197"/>
      <c r="AG1822" s="197"/>
      <c r="AH1822" s="197"/>
      <c r="AI1822" s="197"/>
      <c r="AJ1822" s="197"/>
      <c r="AK1822" s="197"/>
      <c r="AL1822" s="197"/>
      <c r="AM1822" s="197"/>
      <c r="AN1822" s="197"/>
      <c r="AO1822" s="197"/>
      <c r="AP1822" s="197"/>
      <c r="AQ1822" s="197"/>
      <c r="AR1822" s="197"/>
      <c r="AS1822" s="197"/>
      <c r="AT1822" s="197"/>
      <c r="AU1822" s="197"/>
      <c r="AV1822" s="197"/>
      <c r="AW1822" s="197"/>
    </row>
    <row r="1823" spans="28:49" s="196" customFormat="1">
      <c r="AB1823" s="201"/>
      <c r="AC1823" s="201"/>
      <c r="AD1823" s="197"/>
      <c r="AE1823" s="197"/>
      <c r="AF1823" s="197"/>
      <c r="AG1823" s="197"/>
      <c r="AH1823" s="197"/>
      <c r="AI1823" s="197"/>
      <c r="AJ1823" s="197"/>
      <c r="AK1823" s="197"/>
      <c r="AL1823" s="197"/>
      <c r="AM1823" s="197"/>
      <c r="AN1823" s="197"/>
      <c r="AO1823" s="197"/>
      <c r="AP1823" s="197"/>
      <c r="AQ1823" s="197"/>
      <c r="AR1823" s="197"/>
      <c r="AS1823" s="197"/>
      <c r="AT1823" s="197"/>
      <c r="AU1823" s="197"/>
      <c r="AV1823" s="197"/>
      <c r="AW1823" s="197"/>
    </row>
    <row r="1824" spans="28:49" s="196" customFormat="1">
      <c r="AB1824" s="201"/>
      <c r="AC1824" s="201"/>
      <c r="AD1824" s="197"/>
      <c r="AE1824" s="197"/>
      <c r="AF1824" s="197"/>
      <c r="AG1824" s="197"/>
      <c r="AH1824" s="197"/>
      <c r="AI1824" s="197"/>
      <c r="AJ1824" s="197"/>
      <c r="AK1824" s="197"/>
      <c r="AL1824" s="197"/>
      <c r="AM1824" s="197"/>
      <c r="AN1824" s="197"/>
      <c r="AO1824" s="197"/>
      <c r="AP1824" s="197"/>
      <c r="AQ1824" s="197"/>
      <c r="AR1824" s="197"/>
      <c r="AS1824" s="197"/>
      <c r="AT1824" s="197"/>
      <c r="AU1824" s="197"/>
      <c r="AV1824" s="197"/>
      <c r="AW1824" s="197"/>
    </row>
    <row r="1825" spans="28:49" s="196" customFormat="1">
      <c r="AB1825" s="201"/>
      <c r="AC1825" s="201"/>
      <c r="AD1825" s="197"/>
      <c r="AE1825" s="197"/>
      <c r="AF1825" s="197"/>
      <c r="AG1825" s="197"/>
      <c r="AH1825" s="197"/>
      <c r="AI1825" s="197"/>
      <c r="AJ1825" s="197"/>
      <c r="AK1825" s="197"/>
      <c r="AL1825" s="197"/>
      <c r="AM1825" s="197"/>
      <c r="AN1825" s="197"/>
      <c r="AO1825" s="197"/>
      <c r="AP1825" s="197"/>
      <c r="AQ1825" s="197"/>
      <c r="AR1825" s="197"/>
      <c r="AS1825" s="197"/>
      <c r="AT1825" s="197"/>
      <c r="AU1825" s="197"/>
      <c r="AV1825" s="197"/>
      <c r="AW1825" s="197"/>
    </row>
    <row r="1826" spans="28:49" s="196" customFormat="1">
      <c r="AB1826" s="201"/>
      <c r="AC1826" s="201"/>
      <c r="AD1826" s="197"/>
      <c r="AE1826" s="197"/>
      <c r="AF1826" s="197"/>
      <c r="AG1826" s="197"/>
      <c r="AH1826" s="197"/>
      <c r="AI1826" s="197"/>
      <c r="AJ1826" s="197"/>
      <c r="AK1826" s="197"/>
      <c r="AL1826" s="197"/>
      <c r="AM1826" s="197"/>
      <c r="AN1826" s="197"/>
      <c r="AO1826" s="197"/>
      <c r="AP1826" s="197"/>
      <c r="AQ1826" s="197"/>
      <c r="AR1826" s="197"/>
      <c r="AS1826" s="197"/>
      <c r="AT1826" s="197"/>
      <c r="AU1826" s="197"/>
      <c r="AV1826" s="197"/>
      <c r="AW1826" s="197"/>
    </row>
    <row r="1827" spans="28:49" s="196" customFormat="1">
      <c r="AB1827" s="201"/>
      <c r="AC1827" s="201"/>
      <c r="AD1827" s="197"/>
      <c r="AE1827" s="197"/>
      <c r="AF1827" s="197"/>
      <c r="AG1827" s="197"/>
      <c r="AH1827" s="197"/>
      <c r="AI1827" s="197"/>
      <c r="AJ1827" s="197"/>
      <c r="AK1827" s="197"/>
      <c r="AL1827" s="197"/>
      <c r="AM1827" s="197"/>
      <c r="AN1827" s="197"/>
      <c r="AO1827" s="197"/>
      <c r="AP1827" s="197"/>
      <c r="AQ1827" s="197"/>
      <c r="AR1827" s="197"/>
      <c r="AS1827" s="197"/>
      <c r="AT1827" s="197"/>
      <c r="AU1827" s="197"/>
      <c r="AV1827" s="197"/>
      <c r="AW1827" s="197"/>
    </row>
    <row r="1828" spans="28:49" s="196" customFormat="1">
      <c r="AB1828" s="201"/>
      <c r="AC1828" s="201"/>
      <c r="AD1828" s="197"/>
      <c r="AE1828" s="197"/>
      <c r="AF1828" s="197"/>
      <c r="AG1828" s="197"/>
      <c r="AH1828" s="197"/>
      <c r="AI1828" s="197"/>
      <c r="AJ1828" s="197"/>
      <c r="AK1828" s="197"/>
      <c r="AL1828" s="197"/>
      <c r="AM1828" s="197"/>
      <c r="AN1828" s="197"/>
      <c r="AO1828" s="197"/>
      <c r="AP1828" s="197"/>
      <c r="AQ1828" s="197"/>
      <c r="AR1828" s="197"/>
      <c r="AS1828" s="197"/>
      <c r="AT1828" s="197"/>
      <c r="AU1828" s="197"/>
      <c r="AV1828" s="197"/>
      <c r="AW1828" s="197"/>
    </row>
    <row r="1829" spans="28:49" s="196" customFormat="1">
      <c r="AB1829" s="201"/>
      <c r="AC1829" s="201"/>
      <c r="AD1829" s="197"/>
      <c r="AE1829" s="197"/>
      <c r="AF1829" s="197"/>
      <c r="AG1829" s="197"/>
      <c r="AH1829" s="197"/>
      <c r="AI1829" s="197"/>
      <c r="AJ1829" s="197"/>
      <c r="AK1829" s="197"/>
      <c r="AL1829" s="197"/>
      <c r="AM1829" s="197"/>
      <c r="AN1829" s="197"/>
      <c r="AO1829" s="197"/>
      <c r="AP1829" s="197"/>
      <c r="AQ1829" s="197"/>
      <c r="AR1829" s="197"/>
      <c r="AS1829" s="197"/>
      <c r="AT1829" s="197"/>
      <c r="AU1829" s="197"/>
      <c r="AV1829" s="197"/>
      <c r="AW1829" s="197"/>
    </row>
    <row r="1830" spans="28:49" s="196" customFormat="1">
      <c r="AB1830" s="201"/>
      <c r="AC1830" s="201"/>
      <c r="AD1830" s="197"/>
      <c r="AE1830" s="197"/>
      <c r="AF1830" s="197"/>
      <c r="AG1830" s="197"/>
      <c r="AH1830" s="197"/>
      <c r="AI1830" s="197"/>
      <c r="AJ1830" s="197"/>
      <c r="AK1830" s="197"/>
      <c r="AL1830" s="197"/>
      <c r="AM1830" s="197"/>
      <c r="AN1830" s="197"/>
      <c r="AO1830" s="197"/>
      <c r="AP1830" s="197"/>
      <c r="AQ1830" s="197"/>
      <c r="AR1830" s="197"/>
      <c r="AS1830" s="197"/>
      <c r="AT1830" s="197"/>
      <c r="AU1830" s="197"/>
      <c r="AV1830" s="197"/>
      <c r="AW1830" s="197"/>
    </row>
    <row r="1831" spans="28:49" s="196" customFormat="1">
      <c r="AB1831" s="201"/>
      <c r="AC1831" s="201"/>
      <c r="AD1831" s="197"/>
      <c r="AE1831" s="197"/>
      <c r="AF1831" s="197"/>
      <c r="AG1831" s="197"/>
      <c r="AH1831" s="197"/>
      <c r="AI1831" s="197"/>
      <c r="AJ1831" s="197"/>
      <c r="AK1831" s="197"/>
      <c r="AL1831" s="197"/>
      <c r="AM1831" s="197"/>
      <c r="AN1831" s="197"/>
      <c r="AO1831" s="197"/>
      <c r="AP1831" s="197"/>
      <c r="AQ1831" s="197"/>
      <c r="AR1831" s="197"/>
      <c r="AS1831" s="197"/>
      <c r="AT1831" s="197"/>
      <c r="AU1831" s="197"/>
      <c r="AV1831" s="197"/>
      <c r="AW1831" s="197"/>
    </row>
    <row r="1832" spans="28:49" s="196" customFormat="1">
      <c r="AB1832" s="201"/>
      <c r="AC1832" s="201"/>
      <c r="AD1832" s="197"/>
      <c r="AE1832" s="197"/>
      <c r="AF1832" s="197"/>
      <c r="AG1832" s="197"/>
      <c r="AH1832" s="197"/>
      <c r="AI1832" s="197"/>
      <c r="AJ1832" s="197"/>
      <c r="AK1832" s="197"/>
      <c r="AL1832" s="197"/>
      <c r="AM1832" s="197"/>
      <c r="AN1832" s="197"/>
      <c r="AO1832" s="197"/>
      <c r="AP1832" s="197"/>
      <c r="AQ1832" s="197"/>
      <c r="AR1832" s="197"/>
      <c r="AS1832" s="197"/>
      <c r="AT1832" s="197"/>
      <c r="AU1832" s="197"/>
      <c r="AV1832" s="197"/>
      <c r="AW1832" s="197"/>
    </row>
    <row r="1833" spans="28:49" s="196" customFormat="1">
      <c r="AB1833" s="201"/>
      <c r="AC1833" s="201"/>
      <c r="AD1833" s="197"/>
      <c r="AE1833" s="197"/>
      <c r="AF1833" s="197"/>
      <c r="AG1833" s="197"/>
      <c r="AH1833" s="197"/>
      <c r="AI1833" s="197"/>
      <c r="AJ1833" s="197"/>
      <c r="AK1833" s="197"/>
      <c r="AL1833" s="197"/>
      <c r="AM1833" s="197"/>
      <c r="AN1833" s="197"/>
      <c r="AO1833" s="197"/>
      <c r="AP1833" s="197"/>
      <c r="AQ1833" s="197"/>
      <c r="AR1833" s="197"/>
      <c r="AS1833" s="197"/>
      <c r="AT1833" s="197"/>
      <c r="AU1833" s="197"/>
      <c r="AV1833" s="197"/>
      <c r="AW1833" s="197"/>
    </row>
    <row r="1834" spans="28:49" s="196" customFormat="1">
      <c r="AB1834" s="201"/>
      <c r="AC1834" s="201"/>
      <c r="AD1834" s="197"/>
      <c r="AE1834" s="197"/>
      <c r="AF1834" s="197"/>
      <c r="AG1834" s="197"/>
      <c r="AH1834" s="197"/>
      <c r="AI1834" s="197"/>
      <c r="AJ1834" s="197"/>
      <c r="AK1834" s="197"/>
      <c r="AL1834" s="197"/>
      <c r="AM1834" s="197"/>
      <c r="AN1834" s="197"/>
      <c r="AO1834" s="197"/>
      <c r="AP1834" s="197"/>
      <c r="AQ1834" s="197"/>
      <c r="AR1834" s="197"/>
      <c r="AS1834" s="197"/>
      <c r="AT1834" s="197"/>
      <c r="AU1834" s="197"/>
      <c r="AV1834" s="197"/>
      <c r="AW1834" s="197"/>
    </row>
    <row r="1835" spans="28:49" s="196" customFormat="1">
      <c r="AB1835" s="201"/>
      <c r="AC1835" s="201"/>
      <c r="AD1835" s="197"/>
      <c r="AE1835" s="197"/>
      <c r="AF1835" s="197"/>
      <c r="AG1835" s="197"/>
      <c r="AH1835" s="197"/>
      <c r="AI1835" s="197"/>
      <c r="AJ1835" s="197"/>
      <c r="AK1835" s="197"/>
      <c r="AL1835" s="197"/>
      <c r="AM1835" s="197"/>
      <c r="AN1835" s="197"/>
      <c r="AO1835" s="197"/>
      <c r="AP1835" s="197"/>
      <c r="AQ1835" s="197"/>
      <c r="AR1835" s="197"/>
      <c r="AS1835" s="197"/>
      <c r="AT1835" s="197"/>
      <c r="AU1835" s="197"/>
      <c r="AV1835" s="197"/>
      <c r="AW1835" s="197"/>
    </row>
    <row r="1836" spans="28:49" s="196" customFormat="1">
      <c r="AB1836" s="201"/>
      <c r="AC1836" s="201"/>
      <c r="AD1836" s="197"/>
      <c r="AE1836" s="197"/>
      <c r="AF1836" s="197"/>
      <c r="AG1836" s="197"/>
      <c r="AH1836" s="197"/>
      <c r="AI1836" s="197"/>
      <c r="AJ1836" s="197"/>
      <c r="AK1836" s="197"/>
      <c r="AL1836" s="197"/>
      <c r="AM1836" s="197"/>
      <c r="AN1836" s="197"/>
      <c r="AO1836" s="197"/>
      <c r="AP1836" s="197"/>
      <c r="AQ1836" s="197"/>
      <c r="AR1836" s="197"/>
      <c r="AS1836" s="197"/>
      <c r="AT1836" s="197"/>
      <c r="AU1836" s="197"/>
      <c r="AV1836" s="197"/>
      <c r="AW1836" s="197"/>
    </row>
    <row r="1837" spans="28:49" s="196" customFormat="1">
      <c r="AB1837" s="201"/>
      <c r="AC1837" s="201"/>
      <c r="AD1837" s="197"/>
      <c r="AE1837" s="197"/>
      <c r="AF1837" s="197"/>
      <c r="AG1837" s="197"/>
      <c r="AH1837" s="197"/>
      <c r="AI1837" s="197"/>
      <c r="AJ1837" s="197"/>
      <c r="AK1837" s="197"/>
      <c r="AL1837" s="197"/>
      <c r="AM1837" s="197"/>
      <c r="AN1837" s="197"/>
      <c r="AO1837" s="197"/>
      <c r="AP1837" s="197"/>
      <c r="AQ1837" s="197"/>
      <c r="AR1837" s="197"/>
      <c r="AS1837" s="197"/>
      <c r="AT1837" s="197"/>
      <c r="AU1837" s="197"/>
      <c r="AV1837" s="197"/>
      <c r="AW1837" s="197"/>
    </row>
    <row r="1838" spans="28:49" s="196" customFormat="1">
      <c r="AB1838" s="201"/>
      <c r="AC1838" s="201"/>
      <c r="AD1838" s="197"/>
      <c r="AE1838" s="197"/>
      <c r="AF1838" s="197"/>
      <c r="AG1838" s="197"/>
      <c r="AH1838" s="197"/>
      <c r="AI1838" s="197"/>
      <c r="AJ1838" s="197"/>
      <c r="AK1838" s="197"/>
      <c r="AL1838" s="197"/>
      <c r="AM1838" s="197"/>
      <c r="AN1838" s="197"/>
      <c r="AO1838" s="197"/>
      <c r="AP1838" s="197"/>
      <c r="AQ1838" s="197"/>
      <c r="AR1838" s="197"/>
      <c r="AS1838" s="197"/>
      <c r="AT1838" s="197"/>
      <c r="AU1838" s="197"/>
      <c r="AV1838" s="197"/>
      <c r="AW1838" s="197"/>
    </row>
    <row r="1839" spans="28:49" s="196" customFormat="1">
      <c r="AB1839" s="201"/>
      <c r="AC1839" s="201"/>
      <c r="AD1839" s="197"/>
      <c r="AE1839" s="197"/>
      <c r="AF1839" s="197"/>
      <c r="AG1839" s="197"/>
      <c r="AH1839" s="197"/>
      <c r="AI1839" s="197"/>
      <c r="AJ1839" s="197"/>
      <c r="AK1839" s="197"/>
      <c r="AL1839" s="197"/>
      <c r="AM1839" s="197"/>
      <c r="AN1839" s="197"/>
      <c r="AO1839" s="197"/>
      <c r="AP1839" s="197"/>
      <c r="AQ1839" s="197"/>
      <c r="AR1839" s="197"/>
      <c r="AS1839" s="197"/>
      <c r="AT1839" s="197"/>
      <c r="AU1839" s="197"/>
      <c r="AV1839" s="197"/>
      <c r="AW1839" s="197"/>
    </row>
    <row r="1840" spans="28:49" s="196" customFormat="1">
      <c r="AB1840" s="201"/>
      <c r="AC1840" s="201"/>
      <c r="AD1840" s="197"/>
      <c r="AE1840" s="197"/>
      <c r="AF1840" s="197"/>
      <c r="AG1840" s="197"/>
      <c r="AH1840" s="197"/>
      <c r="AI1840" s="197"/>
      <c r="AJ1840" s="197"/>
      <c r="AK1840" s="197"/>
      <c r="AL1840" s="197"/>
      <c r="AM1840" s="197"/>
      <c r="AN1840" s="197"/>
      <c r="AO1840" s="197"/>
      <c r="AP1840" s="197"/>
      <c r="AQ1840" s="197"/>
      <c r="AR1840" s="197"/>
      <c r="AS1840" s="197"/>
      <c r="AT1840" s="197"/>
      <c r="AU1840" s="197"/>
      <c r="AV1840" s="197"/>
      <c r="AW1840" s="197"/>
    </row>
    <row r="1841" spans="28:49" s="196" customFormat="1">
      <c r="AB1841" s="201"/>
      <c r="AC1841" s="201"/>
      <c r="AD1841" s="197"/>
      <c r="AE1841" s="197"/>
      <c r="AF1841" s="197"/>
      <c r="AG1841" s="197"/>
      <c r="AH1841" s="197"/>
      <c r="AI1841" s="197"/>
      <c r="AJ1841" s="197"/>
      <c r="AK1841" s="197"/>
      <c r="AL1841" s="197"/>
      <c r="AM1841" s="197"/>
      <c r="AN1841" s="197"/>
      <c r="AO1841" s="197"/>
      <c r="AP1841" s="197"/>
      <c r="AQ1841" s="197"/>
      <c r="AR1841" s="197"/>
      <c r="AS1841" s="197"/>
      <c r="AT1841" s="197"/>
      <c r="AU1841" s="197"/>
      <c r="AV1841" s="197"/>
      <c r="AW1841" s="197"/>
    </row>
    <row r="1842" spans="28:49" s="196" customFormat="1">
      <c r="AB1842" s="201"/>
      <c r="AC1842" s="201"/>
      <c r="AD1842" s="197"/>
      <c r="AE1842" s="197"/>
      <c r="AF1842" s="197"/>
      <c r="AG1842" s="197"/>
      <c r="AH1842" s="197"/>
      <c r="AI1842" s="197"/>
      <c r="AJ1842" s="197"/>
      <c r="AK1842" s="197"/>
      <c r="AL1842" s="197"/>
      <c r="AM1842" s="197"/>
      <c r="AN1842" s="197"/>
      <c r="AO1842" s="197"/>
      <c r="AP1842" s="197"/>
      <c r="AQ1842" s="197"/>
      <c r="AR1842" s="197"/>
      <c r="AS1842" s="197"/>
      <c r="AT1842" s="197"/>
      <c r="AU1842" s="197"/>
      <c r="AV1842" s="197"/>
      <c r="AW1842" s="197"/>
    </row>
    <row r="1843" spans="28:49" s="196" customFormat="1">
      <c r="AB1843" s="201"/>
      <c r="AC1843" s="201"/>
      <c r="AD1843" s="197"/>
      <c r="AE1843" s="197"/>
      <c r="AF1843" s="197"/>
      <c r="AG1843" s="197"/>
      <c r="AH1843" s="197"/>
      <c r="AI1843" s="197"/>
      <c r="AJ1843" s="197"/>
      <c r="AK1843" s="197"/>
      <c r="AL1843" s="197"/>
      <c r="AM1843" s="197"/>
      <c r="AN1843" s="197"/>
      <c r="AO1843" s="197"/>
      <c r="AP1843" s="197"/>
      <c r="AQ1843" s="197"/>
      <c r="AR1843" s="197"/>
      <c r="AS1843" s="197"/>
      <c r="AT1843" s="197"/>
      <c r="AU1843" s="197"/>
      <c r="AV1843" s="197"/>
      <c r="AW1843" s="197"/>
    </row>
    <row r="1844" spans="28:49" s="196" customFormat="1">
      <c r="AB1844" s="201"/>
      <c r="AC1844" s="201"/>
      <c r="AD1844" s="197"/>
      <c r="AE1844" s="197"/>
      <c r="AF1844" s="197"/>
      <c r="AG1844" s="197"/>
      <c r="AH1844" s="197"/>
      <c r="AI1844" s="197"/>
      <c r="AJ1844" s="197"/>
      <c r="AK1844" s="197"/>
      <c r="AL1844" s="197"/>
      <c r="AM1844" s="197"/>
      <c r="AN1844" s="197"/>
      <c r="AO1844" s="197"/>
      <c r="AP1844" s="197"/>
      <c r="AQ1844" s="197"/>
      <c r="AR1844" s="197"/>
      <c r="AS1844" s="197"/>
      <c r="AT1844" s="197"/>
      <c r="AU1844" s="197"/>
      <c r="AV1844" s="197"/>
      <c r="AW1844" s="197"/>
    </row>
    <row r="1845" spans="28:49" s="196" customFormat="1">
      <c r="AB1845" s="201"/>
      <c r="AC1845" s="201"/>
      <c r="AD1845" s="197"/>
      <c r="AE1845" s="197"/>
      <c r="AF1845" s="197"/>
      <c r="AG1845" s="197"/>
      <c r="AH1845" s="197"/>
      <c r="AI1845" s="197"/>
      <c r="AJ1845" s="197"/>
      <c r="AK1845" s="197"/>
      <c r="AL1845" s="197"/>
      <c r="AM1845" s="197"/>
      <c r="AN1845" s="197"/>
      <c r="AO1845" s="197"/>
      <c r="AP1845" s="197"/>
      <c r="AQ1845" s="197"/>
      <c r="AR1845" s="197"/>
      <c r="AS1845" s="197"/>
      <c r="AT1845" s="197"/>
      <c r="AU1845" s="197"/>
      <c r="AV1845" s="197"/>
      <c r="AW1845" s="197"/>
    </row>
    <row r="1846" spans="28:49" s="196" customFormat="1">
      <c r="AB1846" s="201"/>
      <c r="AC1846" s="201"/>
      <c r="AD1846" s="197"/>
      <c r="AE1846" s="197"/>
      <c r="AF1846" s="197"/>
      <c r="AG1846" s="197"/>
      <c r="AH1846" s="197"/>
      <c r="AI1846" s="197"/>
      <c r="AJ1846" s="197"/>
      <c r="AK1846" s="197"/>
      <c r="AL1846" s="197"/>
      <c r="AM1846" s="197"/>
      <c r="AN1846" s="197"/>
      <c r="AO1846" s="197"/>
      <c r="AP1846" s="197"/>
      <c r="AQ1846" s="197"/>
      <c r="AR1846" s="197"/>
      <c r="AS1846" s="197"/>
      <c r="AT1846" s="197"/>
      <c r="AU1846" s="197"/>
      <c r="AV1846" s="197"/>
      <c r="AW1846" s="197"/>
    </row>
    <row r="1847" spans="28:49" s="196" customFormat="1">
      <c r="AB1847" s="201"/>
      <c r="AC1847" s="201"/>
      <c r="AD1847" s="197"/>
      <c r="AE1847" s="197"/>
      <c r="AF1847" s="197"/>
      <c r="AG1847" s="197"/>
      <c r="AH1847" s="197"/>
      <c r="AI1847" s="197"/>
      <c r="AJ1847" s="197"/>
      <c r="AK1847" s="197"/>
      <c r="AL1847" s="197"/>
      <c r="AM1847" s="197"/>
      <c r="AN1847" s="197"/>
      <c r="AO1847" s="197"/>
      <c r="AP1847" s="197"/>
      <c r="AQ1847" s="197"/>
      <c r="AR1847" s="197"/>
      <c r="AS1847" s="197"/>
      <c r="AT1847" s="197"/>
      <c r="AU1847" s="197"/>
      <c r="AV1847" s="197"/>
      <c r="AW1847" s="197"/>
    </row>
    <row r="1848" spans="28:49" s="196" customFormat="1">
      <c r="AB1848" s="201"/>
      <c r="AC1848" s="201"/>
      <c r="AD1848" s="197"/>
      <c r="AE1848" s="197"/>
      <c r="AF1848" s="197"/>
      <c r="AG1848" s="197"/>
      <c r="AH1848" s="197"/>
      <c r="AI1848" s="197"/>
      <c r="AJ1848" s="197"/>
      <c r="AK1848" s="197"/>
      <c r="AL1848" s="197"/>
      <c r="AM1848" s="197"/>
      <c r="AN1848" s="197"/>
      <c r="AO1848" s="197"/>
      <c r="AP1848" s="197"/>
      <c r="AQ1848" s="197"/>
      <c r="AR1848" s="197"/>
      <c r="AS1848" s="197"/>
      <c r="AT1848" s="197"/>
      <c r="AU1848" s="197"/>
      <c r="AV1848" s="197"/>
      <c r="AW1848" s="197"/>
    </row>
    <row r="1849" spans="28:49" s="196" customFormat="1">
      <c r="AB1849" s="201"/>
      <c r="AC1849" s="201"/>
      <c r="AD1849" s="197"/>
      <c r="AE1849" s="197"/>
      <c r="AF1849" s="197"/>
      <c r="AG1849" s="197"/>
      <c r="AH1849" s="197"/>
      <c r="AI1849" s="197"/>
      <c r="AJ1849" s="197"/>
      <c r="AK1849" s="197"/>
      <c r="AL1849" s="197"/>
      <c r="AM1849" s="197"/>
      <c r="AN1849" s="197"/>
      <c r="AO1849" s="197"/>
      <c r="AP1849" s="197"/>
      <c r="AQ1849" s="197"/>
      <c r="AR1849" s="197"/>
      <c r="AS1849" s="197"/>
      <c r="AT1849" s="197"/>
      <c r="AU1849" s="197"/>
      <c r="AV1849" s="197"/>
      <c r="AW1849" s="197"/>
    </row>
    <row r="1850" spans="28:49" s="196" customFormat="1">
      <c r="AB1850" s="201"/>
      <c r="AC1850" s="201"/>
      <c r="AD1850" s="197"/>
      <c r="AE1850" s="197"/>
      <c r="AF1850" s="197"/>
      <c r="AG1850" s="197"/>
      <c r="AH1850" s="197"/>
      <c r="AI1850" s="197"/>
      <c r="AJ1850" s="197"/>
      <c r="AK1850" s="197"/>
      <c r="AL1850" s="197"/>
      <c r="AM1850" s="197"/>
      <c r="AN1850" s="197"/>
      <c r="AO1850" s="197"/>
      <c r="AP1850" s="197"/>
      <c r="AQ1850" s="197"/>
      <c r="AR1850" s="197"/>
      <c r="AS1850" s="197"/>
      <c r="AT1850" s="197"/>
      <c r="AU1850" s="197"/>
      <c r="AV1850" s="197"/>
      <c r="AW1850" s="197"/>
    </row>
    <row r="1851" spans="28:49" s="196" customFormat="1">
      <c r="AB1851" s="201"/>
      <c r="AC1851" s="201"/>
      <c r="AD1851" s="197"/>
      <c r="AE1851" s="197"/>
      <c r="AF1851" s="197"/>
      <c r="AG1851" s="197"/>
      <c r="AH1851" s="197"/>
      <c r="AI1851" s="197"/>
      <c r="AJ1851" s="197"/>
      <c r="AK1851" s="197"/>
      <c r="AL1851" s="197"/>
      <c r="AM1851" s="197"/>
      <c r="AN1851" s="197"/>
      <c r="AO1851" s="197"/>
      <c r="AP1851" s="197"/>
      <c r="AQ1851" s="197"/>
      <c r="AR1851" s="197"/>
      <c r="AS1851" s="197"/>
      <c r="AT1851" s="197"/>
      <c r="AU1851" s="197"/>
      <c r="AV1851" s="197"/>
      <c r="AW1851" s="197"/>
    </row>
    <row r="1852" spans="28:49" s="196" customFormat="1">
      <c r="AB1852" s="201"/>
      <c r="AC1852" s="201"/>
      <c r="AD1852" s="197"/>
      <c r="AE1852" s="197"/>
      <c r="AF1852" s="197"/>
      <c r="AG1852" s="197"/>
      <c r="AH1852" s="197"/>
      <c r="AI1852" s="197"/>
      <c r="AJ1852" s="197"/>
      <c r="AK1852" s="197"/>
      <c r="AL1852" s="197"/>
      <c r="AM1852" s="197"/>
      <c r="AN1852" s="197"/>
      <c r="AO1852" s="197"/>
      <c r="AP1852" s="197"/>
      <c r="AQ1852" s="197"/>
      <c r="AR1852" s="197"/>
      <c r="AS1852" s="197"/>
      <c r="AT1852" s="197"/>
      <c r="AU1852" s="197"/>
      <c r="AV1852" s="197"/>
      <c r="AW1852" s="197"/>
    </row>
    <row r="1853" spans="28:49" s="196" customFormat="1">
      <c r="AB1853" s="201"/>
      <c r="AC1853" s="201"/>
      <c r="AD1853" s="197"/>
      <c r="AE1853" s="197"/>
      <c r="AF1853" s="197"/>
      <c r="AG1853" s="197"/>
      <c r="AH1853" s="197"/>
      <c r="AI1853" s="197"/>
      <c r="AJ1853" s="197"/>
      <c r="AK1853" s="197"/>
      <c r="AL1853" s="197"/>
      <c r="AM1853" s="197"/>
      <c r="AN1853" s="197"/>
      <c r="AO1853" s="197"/>
      <c r="AP1853" s="197"/>
      <c r="AQ1853" s="197"/>
      <c r="AR1853" s="197"/>
      <c r="AS1853" s="197"/>
      <c r="AT1853" s="197"/>
      <c r="AU1853" s="197"/>
      <c r="AV1853" s="197"/>
      <c r="AW1853" s="197"/>
    </row>
    <row r="1854" spans="28:49" s="196" customFormat="1">
      <c r="AB1854" s="201"/>
      <c r="AC1854" s="201"/>
      <c r="AD1854" s="197"/>
      <c r="AE1854" s="197"/>
      <c r="AF1854" s="197"/>
      <c r="AG1854" s="197"/>
      <c r="AH1854" s="197"/>
      <c r="AI1854" s="197"/>
      <c r="AJ1854" s="197"/>
      <c r="AK1854" s="197"/>
      <c r="AL1854" s="197"/>
      <c r="AM1854" s="197"/>
      <c r="AN1854" s="197"/>
      <c r="AO1854" s="197"/>
      <c r="AP1854" s="197"/>
      <c r="AQ1854" s="197"/>
      <c r="AR1854" s="197"/>
      <c r="AS1854" s="197"/>
      <c r="AT1854" s="197"/>
      <c r="AU1854" s="197"/>
      <c r="AV1854" s="197"/>
      <c r="AW1854" s="197"/>
    </row>
    <row r="1855" spans="28:49" s="196" customFormat="1">
      <c r="AB1855" s="201"/>
      <c r="AC1855" s="201"/>
      <c r="AD1855" s="197"/>
      <c r="AE1855" s="197"/>
      <c r="AF1855" s="197"/>
      <c r="AG1855" s="197"/>
      <c r="AH1855" s="197"/>
      <c r="AI1855" s="197"/>
      <c r="AJ1855" s="197"/>
      <c r="AK1855" s="197"/>
      <c r="AL1855" s="197"/>
      <c r="AM1855" s="197"/>
      <c r="AN1855" s="197"/>
      <c r="AO1855" s="197"/>
      <c r="AP1855" s="197"/>
      <c r="AQ1855" s="197"/>
      <c r="AR1855" s="197"/>
      <c r="AS1855" s="197"/>
      <c r="AT1855" s="197"/>
      <c r="AU1855" s="197"/>
      <c r="AV1855" s="197"/>
      <c r="AW1855" s="197"/>
    </row>
    <row r="1856" spans="28:49" s="196" customFormat="1">
      <c r="AB1856" s="201"/>
      <c r="AC1856" s="201"/>
      <c r="AD1856" s="197"/>
      <c r="AE1856" s="197"/>
      <c r="AF1856" s="197"/>
      <c r="AG1856" s="197"/>
      <c r="AH1856" s="197"/>
      <c r="AI1856" s="197"/>
      <c r="AJ1856" s="197"/>
      <c r="AK1856" s="197"/>
      <c r="AL1856" s="197"/>
      <c r="AM1856" s="197"/>
      <c r="AN1856" s="197"/>
      <c r="AO1856" s="197"/>
      <c r="AP1856" s="197"/>
      <c r="AQ1856" s="197"/>
      <c r="AR1856" s="197"/>
      <c r="AS1856" s="197"/>
      <c r="AT1856" s="197"/>
      <c r="AU1856" s="197"/>
      <c r="AV1856" s="197"/>
      <c r="AW1856" s="197"/>
    </row>
    <row r="1857" spans="28:49" s="196" customFormat="1">
      <c r="AB1857" s="201"/>
      <c r="AC1857" s="201"/>
      <c r="AD1857" s="197"/>
      <c r="AE1857" s="197"/>
      <c r="AF1857" s="197"/>
      <c r="AG1857" s="197"/>
      <c r="AH1857" s="197"/>
      <c r="AI1857" s="197"/>
      <c r="AJ1857" s="197"/>
      <c r="AK1857" s="197"/>
      <c r="AL1857" s="197"/>
      <c r="AM1857" s="197"/>
      <c r="AN1857" s="197"/>
      <c r="AO1857" s="197"/>
      <c r="AP1857" s="197"/>
      <c r="AQ1857" s="197"/>
      <c r="AR1857" s="197"/>
      <c r="AS1857" s="197"/>
      <c r="AT1857" s="197"/>
      <c r="AU1857" s="197"/>
      <c r="AV1857" s="197"/>
      <c r="AW1857" s="197"/>
    </row>
    <row r="1858" spans="28:49" s="196" customFormat="1">
      <c r="AB1858" s="201"/>
      <c r="AC1858" s="201"/>
      <c r="AD1858" s="197"/>
      <c r="AE1858" s="197"/>
      <c r="AF1858" s="197"/>
      <c r="AG1858" s="197"/>
      <c r="AH1858" s="197"/>
      <c r="AI1858" s="197"/>
      <c r="AJ1858" s="197"/>
      <c r="AK1858" s="197"/>
      <c r="AL1858" s="197"/>
      <c r="AM1858" s="197"/>
      <c r="AN1858" s="197"/>
      <c r="AO1858" s="197"/>
      <c r="AP1858" s="197"/>
      <c r="AQ1858" s="197"/>
      <c r="AR1858" s="197"/>
      <c r="AS1858" s="197"/>
      <c r="AT1858" s="197"/>
      <c r="AU1858" s="197"/>
      <c r="AV1858" s="197"/>
      <c r="AW1858" s="197"/>
    </row>
    <row r="1859" spans="28:49" s="196" customFormat="1">
      <c r="AB1859" s="201"/>
      <c r="AC1859" s="201"/>
      <c r="AD1859" s="197"/>
      <c r="AE1859" s="197"/>
      <c r="AF1859" s="197"/>
      <c r="AG1859" s="197"/>
      <c r="AH1859" s="197"/>
      <c r="AI1859" s="197"/>
      <c r="AJ1859" s="197"/>
      <c r="AK1859" s="197"/>
      <c r="AL1859" s="197"/>
      <c r="AM1859" s="197"/>
      <c r="AN1859" s="197"/>
      <c r="AO1859" s="197"/>
      <c r="AP1859" s="197"/>
      <c r="AQ1859" s="197"/>
      <c r="AR1859" s="197"/>
      <c r="AS1859" s="197"/>
      <c r="AT1859" s="197"/>
      <c r="AU1859" s="197"/>
      <c r="AV1859" s="197"/>
      <c r="AW1859" s="197"/>
    </row>
    <row r="1860" spans="28:49" s="196" customFormat="1">
      <c r="AB1860" s="201"/>
      <c r="AC1860" s="201"/>
      <c r="AD1860" s="197"/>
      <c r="AE1860" s="197"/>
      <c r="AF1860" s="197"/>
      <c r="AG1860" s="197"/>
      <c r="AH1860" s="197"/>
      <c r="AI1860" s="197"/>
      <c r="AJ1860" s="197"/>
      <c r="AK1860" s="197"/>
      <c r="AL1860" s="197"/>
      <c r="AM1860" s="197"/>
      <c r="AN1860" s="197"/>
      <c r="AO1860" s="197"/>
      <c r="AP1860" s="197"/>
      <c r="AQ1860" s="197"/>
      <c r="AR1860" s="197"/>
      <c r="AS1860" s="197"/>
      <c r="AT1860" s="197"/>
      <c r="AU1860" s="197"/>
      <c r="AV1860" s="197"/>
      <c r="AW1860" s="197"/>
    </row>
    <row r="1861" spans="28:49" s="196" customFormat="1">
      <c r="AB1861" s="201"/>
      <c r="AC1861" s="201"/>
      <c r="AD1861" s="197"/>
      <c r="AE1861" s="197"/>
      <c r="AF1861" s="197"/>
      <c r="AG1861" s="197"/>
      <c r="AH1861" s="197"/>
      <c r="AI1861" s="197"/>
      <c r="AJ1861" s="197"/>
      <c r="AK1861" s="197"/>
      <c r="AL1861" s="197"/>
      <c r="AM1861" s="197"/>
      <c r="AN1861" s="197"/>
      <c r="AO1861" s="197"/>
      <c r="AP1861" s="197"/>
      <c r="AQ1861" s="197"/>
      <c r="AR1861" s="197"/>
      <c r="AS1861" s="197"/>
      <c r="AT1861" s="197"/>
      <c r="AU1861" s="197"/>
      <c r="AV1861" s="197"/>
      <c r="AW1861" s="197"/>
    </row>
    <row r="1862" spans="28:49" s="196" customFormat="1">
      <c r="AB1862" s="201"/>
      <c r="AC1862" s="201"/>
      <c r="AD1862" s="197"/>
      <c r="AE1862" s="197"/>
      <c r="AF1862" s="197"/>
      <c r="AG1862" s="197"/>
      <c r="AH1862" s="197"/>
      <c r="AI1862" s="197"/>
      <c r="AJ1862" s="197"/>
      <c r="AK1862" s="197"/>
      <c r="AL1862" s="197"/>
      <c r="AM1862" s="197"/>
      <c r="AN1862" s="197"/>
      <c r="AO1862" s="197"/>
      <c r="AP1862" s="197"/>
      <c r="AQ1862" s="197"/>
      <c r="AR1862" s="197"/>
      <c r="AS1862" s="197"/>
      <c r="AT1862" s="197"/>
      <c r="AU1862" s="197"/>
      <c r="AV1862" s="197"/>
      <c r="AW1862" s="197"/>
    </row>
    <row r="1863" spans="28:49" s="196" customFormat="1">
      <c r="AB1863" s="201"/>
      <c r="AC1863" s="201"/>
      <c r="AD1863" s="197"/>
      <c r="AE1863" s="197"/>
      <c r="AF1863" s="197"/>
      <c r="AG1863" s="197"/>
      <c r="AH1863" s="197"/>
      <c r="AI1863" s="197"/>
      <c r="AJ1863" s="197"/>
      <c r="AK1863" s="197"/>
      <c r="AL1863" s="197"/>
      <c r="AM1863" s="197"/>
      <c r="AN1863" s="197"/>
      <c r="AO1863" s="197"/>
      <c r="AP1863" s="197"/>
      <c r="AQ1863" s="197"/>
      <c r="AR1863" s="197"/>
      <c r="AS1863" s="197"/>
      <c r="AT1863" s="197"/>
      <c r="AU1863" s="197"/>
      <c r="AV1863" s="197"/>
      <c r="AW1863" s="197"/>
    </row>
    <row r="1864" spans="28:49" s="196" customFormat="1">
      <c r="AB1864" s="201"/>
      <c r="AC1864" s="201"/>
      <c r="AD1864" s="197"/>
      <c r="AE1864" s="197"/>
      <c r="AF1864" s="197"/>
      <c r="AG1864" s="197"/>
      <c r="AH1864" s="197"/>
      <c r="AI1864" s="197"/>
      <c r="AJ1864" s="197"/>
      <c r="AK1864" s="197"/>
      <c r="AL1864" s="197"/>
      <c r="AM1864" s="197"/>
      <c r="AN1864" s="197"/>
      <c r="AO1864" s="197"/>
      <c r="AP1864" s="197"/>
      <c r="AQ1864" s="197"/>
      <c r="AR1864" s="197"/>
      <c r="AS1864" s="197"/>
      <c r="AT1864" s="197"/>
      <c r="AU1864" s="197"/>
      <c r="AV1864" s="197"/>
      <c r="AW1864" s="197"/>
    </row>
    <row r="1865" spans="28:49" s="196" customFormat="1">
      <c r="AB1865" s="201"/>
      <c r="AC1865" s="201"/>
      <c r="AD1865" s="197"/>
      <c r="AE1865" s="197"/>
      <c r="AF1865" s="197"/>
      <c r="AG1865" s="197"/>
      <c r="AH1865" s="197"/>
      <c r="AI1865" s="197"/>
      <c r="AJ1865" s="197"/>
      <c r="AK1865" s="197"/>
      <c r="AL1865" s="197"/>
      <c r="AM1865" s="197"/>
      <c r="AN1865" s="197"/>
      <c r="AO1865" s="197"/>
      <c r="AP1865" s="197"/>
      <c r="AQ1865" s="197"/>
      <c r="AR1865" s="197"/>
      <c r="AS1865" s="197"/>
      <c r="AT1865" s="197"/>
      <c r="AU1865" s="197"/>
      <c r="AV1865" s="197"/>
      <c r="AW1865" s="197"/>
    </row>
    <row r="1866" spans="28:49" s="196" customFormat="1">
      <c r="AB1866" s="201"/>
      <c r="AC1866" s="201"/>
      <c r="AD1866" s="197"/>
      <c r="AE1866" s="197"/>
      <c r="AF1866" s="197"/>
      <c r="AG1866" s="197"/>
      <c r="AH1866" s="197"/>
      <c r="AI1866" s="197"/>
      <c r="AJ1866" s="197"/>
      <c r="AK1866" s="197"/>
      <c r="AL1866" s="197"/>
      <c r="AM1866" s="197"/>
      <c r="AN1866" s="197"/>
      <c r="AO1866" s="197"/>
      <c r="AP1866" s="197"/>
      <c r="AQ1866" s="197"/>
      <c r="AR1866" s="197"/>
      <c r="AS1866" s="197"/>
      <c r="AT1866" s="197"/>
      <c r="AU1866" s="197"/>
      <c r="AV1866" s="197"/>
      <c r="AW1866" s="197"/>
    </row>
    <row r="1867" spans="28:49" s="196" customFormat="1">
      <c r="AB1867" s="201"/>
      <c r="AC1867" s="201"/>
      <c r="AD1867" s="197"/>
      <c r="AE1867" s="197"/>
      <c r="AF1867" s="197"/>
      <c r="AG1867" s="197"/>
      <c r="AH1867" s="197"/>
      <c r="AI1867" s="197"/>
      <c r="AJ1867" s="197"/>
      <c r="AK1867" s="197"/>
      <c r="AL1867" s="197"/>
      <c r="AM1867" s="197"/>
      <c r="AN1867" s="197"/>
      <c r="AO1867" s="197"/>
      <c r="AP1867" s="197"/>
      <c r="AQ1867" s="197"/>
      <c r="AR1867" s="197"/>
      <c r="AS1867" s="197"/>
      <c r="AT1867" s="197"/>
      <c r="AU1867" s="197"/>
      <c r="AV1867" s="197"/>
      <c r="AW1867" s="197"/>
    </row>
    <row r="1868" spans="28:49" s="196" customFormat="1">
      <c r="AB1868" s="201"/>
      <c r="AC1868" s="201"/>
      <c r="AD1868" s="197"/>
      <c r="AE1868" s="197"/>
      <c r="AF1868" s="197"/>
      <c r="AG1868" s="197"/>
      <c r="AH1868" s="197"/>
      <c r="AI1868" s="197"/>
      <c r="AJ1868" s="197"/>
      <c r="AK1868" s="197"/>
      <c r="AL1868" s="197"/>
      <c r="AM1868" s="197"/>
      <c r="AN1868" s="197"/>
      <c r="AO1868" s="197"/>
      <c r="AP1868" s="197"/>
      <c r="AQ1868" s="197"/>
      <c r="AR1868" s="197"/>
      <c r="AS1868" s="197"/>
      <c r="AT1868" s="197"/>
      <c r="AU1868" s="197"/>
      <c r="AV1868" s="197"/>
      <c r="AW1868" s="197"/>
    </row>
    <row r="1869" spans="28:49" s="196" customFormat="1">
      <c r="AB1869" s="201"/>
      <c r="AC1869" s="201"/>
      <c r="AD1869" s="197"/>
      <c r="AE1869" s="197"/>
      <c r="AF1869" s="197"/>
      <c r="AG1869" s="197"/>
      <c r="AH1869" s="197"/>
      <c r="AI1869" s="197"/>
      <c r="AJ1869" s="197"/>
      <c r="AK1869" s="197"/>
      <c r="AL1869" s="197"/>
      <c r="AM1869" s="197"/>
      <c r="AN1869" s="197"/>
      <c r="AO1869" s="197"/>
      <c r="AP1869" s="197"/>
      <c r="AQ1869" s="197"/>
      <c r="AR1869" s="197"/>
      <c r="AS1869" s="197"/>
      <c r="AT1869" s="197"/>
      <c r="AU1869" s="197"/>
      <c r="AV1869" s="197"/>
      <c r="AW1869" s="197"/>
    </row>
    <row r="1870" spans="28:49" s="196" customFormat="1">
      <c r="AB1870" s="201"/>
      <c r="AC1870" s="201"/>
      <c r="AD1870" s="197"/>
      <c r="AE1870" s="197"/>
      <c r="AF1870" s="197"/>
      <c r="AG1870" s="197"/>
      <c r="AH1870" s="197"/>
      <c r="AI1870" s="197"/>
      <c r="AJ1870" s="197"/>
      <c r="AK1870" s="197"/>
      <c r="AL1870" s="197"/>
      <c r="AM1870" s="197"/>
      <c r="AN1870" s="197"/>
      <c r="AO1870" s="197"/>
      <c r="AP1870" s="197"/>
      <c r="AQ1870" s="197"/>
      <c r="AR1870" s="197"/>
      <c r="AS1870" s="197"/>
      <c r="AT1870" s="197"/>
      <c r="AU1870" s="197"/>
      <c r="AV1870" s="197"/>
      <c r="AW1870" s="197"/>
    </row>
    <row r="1871" spans="28:49" s="196" customFormat="1">
      <c r="AB1871" s="201"/>
      <c r="AC1871" s="201"/>
      <c r="AD1871" s="197"/>
      <c r="AE1871" s="197"/>
      <c r="AF1871" s="197"/>
      <c r="AG1871" s="197"/>
      <c r="AH1871" s="197"/>
      <c r="AI1871" s="197"/>
      <c r="AJ1871" s="197"/>
      <c r="AK1871" s="197"/>
      <c r="AL1871" s="197"/>
      <c r="AM1871" s="197"/>
      <c r="AN1871" s="197"/>
      <c r="AO1871" s="197"/>
      <c r="AP1871" s="197"/>
      <c r="AQ1871" s="197"/>
      <c r="AR1871" s="197"/>
      <c r="AS1871" s="197"/>
      <c r="AT1871" s="197"/>
      <c r="AU1871" s="197"/>
      <c r="AV1871" s="197"/>
      <c r="AW1871" s="197"/>
    </row>
    <row r="1872" spans="28:49" s="196" customFormat="1">
      <c r="AB1872" s="201"/>
      <c r="AC1872" s="201"/>
      <c r="AD1872" s="197"/>
      <c r="AE1872" s="197"/>
      <c r="AF1872" s="197"/>
      <c r="AG1872" s="197"/>
      <c r="AH1872" s="197"/>
      <c r="AI1872" s="197"/>
      <c r="AJ1872" s="197"/>
      <c r="AK1872" s="197"/>
      <c r="AL1872" s="197"/>
      <c r="AM1872" s="197"/>
      <c r="AN1872" s="197"/>
      <c r="AO1872" s="197"/>
      <c r="AP1872" s="197"/>
      <c r="AQ1872" s="197"/>
      <c r="AR1872" s="197"/>
      <c r="AS1872" s="197"/>
      <c r="AT1872" s="197"/>
      <c r="AU1872" s="197"/>
      <c r="AV1872" s="197"/>
      <c r="AW1872" s="197"/>
    </row>
    <row r="1873" spans="28:49" s="196" customFormat="1">
      <c r="AB1873" s="201"/>
      <c r="AC1873" s="201"/>
      <c r="AD1873" s="197"/>
      <c r="AE1873" s="197"/>
      <c r="AF1873" s="197"/>
      <c r="AG1873" s="197"/>
      <c r="AH1873" s="197"/>
      <c r="AI1873" s="197"/>
      <c r="AJ1873" s="197"/>
      <c r="AK1873" s="197"/>
      <c r="AL1873" s="197"/>
      <c r="AM1873" s="197"/>
      <c r="AN1873" s="197"/>
      <c r="AO1873" s="197"/>
      <c r="AP1873" s="197"/>
      <c r="AQ1873" s="197"/>
      <c r="AR1873" s="197"/>
      <c r="AS1873" s="197"/>
      <c r="AT1873" s="197"/>
      <c r="AU1873" s="197"/>
      <c r="AV1873" s="197"/>
      <c r="AW1873" s="197"/>
    </row>
    <row r="1874" spans="28:49" s="196" customFormat="1">
      <c r="AB1874" s="201"/>
      <c r="AC1874" s="201"/>
      <c r="AD1874" s="197"/>
      <c r="AE1874" s="197"/>
      <c r="AF1874" s="197"/>
      <c r="AG1874" s="197"/>
      <c r="AH1874" s="197"/>
      <c r="AI1874" s="197"/>
      <c r="AJ1874" s="197"/>
      <c r="AK1874" s="197"/>
      <c r="AL1874" s="197"/>
      <c r="AM1874" s="197"/>
      <c r="AN1874" s="197"/>
      <c r="AO1874" s="197"/>
      <c r="AP1874" s="197"/>
      <c r="AQ1874" s="197"/>
      <c r="AR1874" s="197"/>
      <c r="AS1874" s="197"/>
      <c r="AT1874" s="197"/>
      <c r="AU1874" s="197"/>
      <c r="AV1874" s="197"/>
      <c r="AW1874" s="197"/>
    </row>
    <row r="1875" spans="28:49" s="196" customFormat="1">
      <c r="AB1875" s="201"/>
      <c r="AC1875" s="201"/>
      <c r="AD1875" s="197"/>
      <c r="AE1875" s="197"/>
      <c r="AF1875" s="197"/>
      <c r="AG1875" s="197"/>
      <c r="AH1875" s="197"/>
      <c r="AI1875" s="197"/>
      <c r="AJ1875" s="197"/>
      <c r="AK1875" s="197"/>
      <c r="AL1875" s="197"/>
      <c r="AM1875" s="197"/>
      <c r="AN1875" s="197"/>
      <c r="AO1875" s="197"/>
      <c r="AP1875" s="197"/>
      <c r="AQ1875" s="197"/>
      <c r="AR1875" s="197"/>
      <c r="AS1875" s="197"/>
      <c r="AT1875" s="197"/>
      <c r="AU1875" s="197"/>
      <c r="AV1875" s="197"/>
      <c r="AW1875" s="197"/>
    </row>
    <row r="1876" spans="28:49" s="196" customFormat="1">
      <c r="AB1876" s="201"/>
      <c r="AC1876" s="201"/>
      <c r="AD1876" s="197"/>
      <c r="AE1876" s="197"/>
      <c r="AF1876" s="197"/>
      <c r="AG1876" s="197"/>
      <c r="AH1876" s="197"/>
      <c r="AI1876" s="197"/>
      <c r="AJ1876" s="197"/>
      <c r="AK1876" s="197"/>
      <c r="AL1876" s="197"/>
      <c r="AM1876" s="197"/>
      <c r="AN1876" s="197"/>
      <c r="AO1876" s="197"/>
      <c r="AP1876" s="197"/>
      <c r="AQ1876" s="197"/>
      <c r="AR1876" s="197"/>
      <c r="AS1876" s="197"/>
      <c r="AT1876" s="197"/>
      <c r="AU1876" s="197"/>
      <c r="AV1876" s="197"/>
      <c r="AW1876" s="197"/>
    </row>
    <row r="1877" spans="28:49" s="196" customFormat="1">
      <c r="AB1877" s="201"/>
      <c r="AC1877" s="201"/>
      <c r="AD1877" s="197"/>
      <c r="AE1877" s="197"/>
      <c r="AF1877" s="197"/>
      <c r="AG1877" s="197"/>
      <c r="AH1877" s="197"/>
      <c r="AI1877" s="197"/>
      <c r="AJ1877" s="197"/>
      <c r="AK1877" s="197"/>
      <c r="AL1877" s="197"/>
      <c r="AM1877" s="197"/>
      <c r="AN1877" s="197"/>
      <c r="AO1877" s="197"/>
      <c r="AP1877" s="197"/>
      <c r="AQ1877" s="197"/>
      <c r="AR1877" s="197"/>
      <c r="AS1877" s="197"/>
      <c r="AT1877" s="197"/>
      <c r="AU1877" s="197"/>
      <c r="AV1877" s="197"/>
      <c r="AW1877" s="197"/>
    </row>
    <row r="1878" spans="28:49" s="196" customFormat="1">
      <c r="AB1878" s="201"/>
      <c r="AC1878" s="201"/>
      <c r="AD1878" s="197"/>
      <c r="AE1878" s="197"/>
      <c r="AF1878" s="197"/>
      <c r="AG1878" s="197"/>
      <c r="AH1878" s="197"/>
      <c r="AI1878" s="197"/>
      <c r="AJ1878" s="197"/>
      <c r="AK1878" s="197"/>
      <c r="AL1878" s="197"/>
      <c r="AM1878" s="197"/>
      <c r="AN1878" s="197"/>
      <c r="AO1878" s="197"/>
      <c r="AP1878" s="197"/>
      <c r="AQ1878" s="197"/>
      <c r="AR1878" s="197"/>
      <c r="AS1878" s="197"/>
      <c r="AT1878" s="197"/>
      <c r="AU1878" s="197"/>
      <c r="AV1878" s="197"/>
      <c r="AW1878" s="197"/>
    </row>
    <row r="1879" spans="28:49" s="196" customFormat="1">
      <c r="AB1879" s="201"/>
      <c r="AC1879" s="201"/>
      <c r="AD1879" s="197"/>
      <c r="AE1879" s="197"/>
      <c r="AF1879" s="197"/>
      <c r="AG1879" s="197"/>
      <c r="AH1879" s="197"/>
      <c r="AI1879" s="197"/>
      <c r="AJ1879" s="197"/>
      <c r="AK1879" s="197"/>
      <c r="AL1879" s="197"/>
      <c r="AM1879" s="197"/>
      <c r="AN1879" s="197"/>
      <c r="AO1879" s="197"/>
      <c r="AP1879" s="197"/>
      <c r="AQ1879" s="197"/>
      <c r="AR1879" s="197"/>
      <c r="AS1879" s="197"/>
      <c r="AT1879" s="197"/>
      <c r="AU1879" s="197"/>
      <c r="AV1879" s="197"/>
      <c r="AW1879" s="197"/>
    </row>
    <row r="1880" spans="28:49" s="196" customFormat="1">
      <c r="AB1880" s="201"/>
      <c r="AC1880" s="201"/>
      <c r="AD1880" s="197"/>
      <c r="AE1880" s="197"/>
      <c r="AF1880" s="197"/>
      <c r="AG1880" s="197"/>
      <c r="AH1880" s="197"/>
      <c r="AI1880" s="197"/>
      <c r="AJ1880" s="197"/>
      <c r="AK1880" s="197"/>
      <c r="AL1880" s="197"/>
      <c r="AM1880" s="197"/>
      <c r="AN1880" s="197"/>
      <c r="AO1880" s="197"/>
      <c r="AP1880" s="197"/>
      <c r="AQ1880" s="197"/>
      <c r="AR1880" s="197"/>
      <c r="AS1880" s="197"/>
      <c r="AT1880" s="197"/>
      <c r="AU1880" s="197"/>
      <c r="AV1880" s="197"/>
      <c r="AW1880" s="197"/>
    </row>
    <row r="1881" spans="28:49" s="196" customFormat="1">
      <c r="AB1881" s="201"/>
      <c r="AC1881" s="201"/>
      <c r="AD1881" s="197"/>
      <c r="AE1881" s="197"/>
      <c r="AF1881" s="197"/>
      <c r="AG1881" s="197"/>
      <c r="AH1881" s="197"/>
      <c r="AI1881" s="197"/>
      <c r="AJ1881" s="197"/>
      <c r="AK1881" s="197"/>
      <c r="AL1881" s="197"/>
      <c r="AM1881" s="197"/>
      <c r="AN1881" s="197"/>
      <c r="AO1881" s="197"/>
      <c r="AP1881" s="197"/>
      <c r="AQ1881" s="197"/>
      <c r="AR1881" s="197"/>
      <c r="AS1881" s="197"/>
      <c r="AT1881" s="197"/>
      <c r="AU1881" s="197"/>
      <c r="AV1881" s="197"/>
      <c r="AW1881" s="197"/>
    </row>
    <row r="1882" spans="28:49" s="196" customFormat="1">
      <c r="AB1882" s="201"/>
      <c r="AC1882" s="201"/>
      <c r="AD1882" s="197"/>
      <c r="AE1882" s="197"/>
      <c r="AF1882" s="197"/>
      <c r="AG1882" s="197"/>
      <c r="AH1882" s="197"/>
      <c r="AI1882" s="197"/>
      <c r="AJ1882" s="197"/>
      <c r="AK1882" s="197"/>
      <c r="AL1882" s="197"/>
      <c r="AM1882" s="197"/>
      <c r="AN1882" s="197"/>
      <c r="AO1882" s="197"/>
      <c r="AP1882" s="197"/>
      <c r="AQ1882" s="197"/>
      <c r="AR1882" s="197"/>
      <c r="AS1882" s="197"/>
      <c r="AT1882" s="197"/>
      <c r="AU1882" s="197"/>
      <c r="AV1882" s="197"/>
      <c r="AW1882" s="197"/>
    </row>
    <row r="1883" spans="28:49" s="196" customFormat="1">
      <c r="AB1883" s="201"/>
      <c r="AC1883" s="201"/>
      <c r="AD1883" s="197"/>
      <c r="AE1883" s="197"/>
      <c r="AF1883" s="197"/>
      <c r="AG1883" s="197"/>
      <c r="AH1883" s="197"/>
      <c r="AI1883" s="197"/>
      <c r="AJ1883" s="197"/>
      <c r="AK1883" s="197"/>
      <c r="AL1883" s="197"/>
      <c r="AM1883" s="197"/>
      <c r="AN1883" s="197"/>
      <c r="AO1883" s="197"/>
      <c r="AP1883" s="197"/>
      <c r="AQ1883" s="197"/>
      <c r="AR1883" s="197"/>
      <c r="AS1883" s="197"/>
      <c r="AT1883" s="197"/>
      <c r="AU1883" s="197"/>
      <c r="AV1883" s="197"/>
      <c r="AW1883" s="197"/>
    </row>
    <row r="1884" spans="28:49" s="196" customFormat="1">
      <c r="AB1884" s="201"/>
      <c r="AC1884" s="201"/>
      <c r="AD1884" s="197"/>
      <c r="AE1884" s="197"/>
      <c r="AF1884" s="197"/>
      <c r="AG1884" s="197"/>
      <c r="AH1884" s="197"/>
      <c r="AI1884" s="197"/>
      <c r="AJ1884" s="197"/>
      <c r="AK1884" s="197"/>
      <c r="AL1884" s="197"/>
      <c r="AM1884" s="197"/>
      <c r="AN1884" s="197"/>
      <c r="AO1884" s="197"/>
      <c r="AP1884" s="197"/>
      <c r="AQ1884" s="197"/>
      <c r="AR1884" s="197"/>
      <c r="AS1884" s="197"/>
      <c r="AT1884" s="197"/>
      <c r="AU1884" s="197"/>
      <c r="AV1884" s="197"/>
      <c r="AW1884" s="197"/>
    </row>
    <row r="1885" spans="28:49" s="196" customFormat="1">
      <c r="AB1885" s="201"/>
      <c r="AC1885" s="201"/>
      <c r="AD1885" s="197"/>
      <c r="AE1885" s="197"/>
      <c r="AF1885" s="197"/>
      <c r="AG1885" s="197"/>
      <c r="AH1885" s="197"/>
      <c r="AI1885" s="197"/>
      <c r="AJ1885" s="197"/>
      <c r="AK1885" s="197"/>
      <c r="AL1885" s="197"/>
      <c r="AM1885" s="197"/>
      <c r="AN1885" s="197"/>
      <c r="AO1885" s="197"/>
      <c r="AP1885" s="197"/>
      <c r="AQ1885" s="197"/>
      <c r="AR1885" s="197"/>
      <c r="AS1885" s="197"/>
      <c r="AT1885" s="197"/>
      <c r="AU1885" s="197"/>
      <c r="AV1885" s="197"/>
      <c r="AW1885" s="197"/>
    </row>
    <row r="1886" spans="28:49" s="196" customFormat="1">
      <c r="AB1886" s="201"/>
      <c r="AC1886" s="201"/>
      <c r="AD1886" s="197"/>
      <c r="AE1886" s="197"/>
      <c r="AF1886" s="197"/>
      <c r="AG1886" s="197"/>
      <c r="AH1886" s="197"/>
      <c r="AI1886" s="197"/>
      <c r="AJ1886" s="197"/>
      <c r="AK1886" s="197"/>
      <c r="AL1886" s="197"/>
      <c r="AM1886" s="197"/>
      <c r="AN1886" s="197"/>
      <c r="AO1886" s="197"/>
      <c r="AP1886" s="197"/>
      <c r="AQ1886" s="197"/>
      <c r="AR1886" s="197"/>
      <c r="AS1886" s="197"/>
      <c r="AT1886" s="197"/>
      <c r="AU1886" s="197"/>
      <c r="AV1886" s="197"/>
      <c r="AW1886" s="197"/>
    </row>
    <row r="1887" spans="28:49" s="196" customFormat="1">
      <c r="AB1887" s="201"/>
      <c r="AC1887" s="201"/>
      <c r="AD1887" s="197"/>
      <c r="AE1887" s="197"/>
      <c r="AF1887" s="197"/>
      <c r="AG1887" s="197"/>
      <c r="AH1887" s="197"/>
      <c r="AI1887" s="197"/>
      <c r="AJ1887" s="197"/>
      <c r="AK1887" s="197"/>
      <c r="AL1887" s="197"/>
      <c r="AM1887" s="197"/>
      <c r="AN1887" s="197"/>
      <c r="AO1887" s="197"/>
      <c r="AP1887" s="197"/>
      <c r="AQ1887" s="197"/>
      <c r="AR1887" s="197"/>
      <c r="AS1887" s="197"/>
      <c r="AT1887" s="197"/>
      <c r="AU1887" s="197"/>
      <c r="AV1887" s="197"/>
      <c r="AW1887" s="197"/>
    </row>
    <row r="1888" spans="28:49" s="196" customFormat="1">
      <c r="AB1888" s="201"/>
      <c r="AC1888" s="201"/>
      <c r="AD1888" s="197"/>
      <c r="AE1888" s="197"/>
      <c r="AF1888" s="197"/>
      <c r="AG1888" s="197"/>
      <c r="AH1888" s="197"/>
      <c r="AI1888" s="197"/>
      <c r="AJ1888" s="197"/>
      <c r="AK1888" s="197"/>
      <c r="AL1888" s="197"/>
      <c r="AM1888" s="197"/>
      <c r="AN1888" s="197"/>
      <c r="AO1888" s="197"/>
      <c r="AP1888" s="197"/>
      <c r="AQ1888" s="197"/>
      <c r="AR1888" s="197"/>
      <c r="AS1888" s="197"/>
      <c r="AT1888" s="197"/>
      <c r="AU1888" s="197"/>
      <c r="AV1888" s="197"/>
      <c r="AW1888" s="197"/>
    </row>
    <row r="1889" spans="28:49" s="196" customFormat="1">
      <c r="AB1889" s="201"/>
      <c r="AC1889" s="201"/>
      <c r="AD1889" s="197"/>
      <c r="AE1889" s="197"/>
      <c r="AF1889" s="197"/>
      <c r="AG1889" s="197"/>
      <c r="AH1889" s="197"/>
      <c r="AI1889" s="197"/>
      <c r="AJ1889" s="197"/>
      <c r="AK1889" s="197"/>
      <c r="AL1889" s="197"/>
      <c r="AM1889" s="197"/>
      <c r="AN1889" s="197"/>
      <c r="AO1889" s="197"/>
      <c r="AP1889" s="197"/>
      <c r="AQ1889" s="197"/>
      <c r="AR1889" s="197"/>
      <c r="AS1889" s="197"/>
      <c r="AT1889" s="197"/>
      <c r="AU1889" s="197"/>
      <c r="AV1889" s="197"/>
      <c r="AW1889" s="197"/>
    </row>
    <row r="1890" spans="28:49" s="196" customFormat="1">
      <c r="AB1890" s="201"/>
      <c r="AC1890" s="201"/>
      <c r="AD1890" s="197"/>
      <c r="AE1890" s="197"/>
      <c r="AF1890" s="197"/>
      <c r="AG1890" s="197"/>
      <c r="AH1890" s="197"/>
      <c r="AI1890" s="197"/>
      <c r="AJ1890" s="197"/>
      <c r="AK1890" s="197"/>
      <c r="AL1890" s="197"/>
      <c r="AM1890" s="197"/>
      <c r="AN1890" s="197"/>
      <c r="AO1890" s="197"/>
      <c r="AP1890" s="197"/>
      <c r="AQ1890" s="197"/>
      <c r="AR1890" s="197"/>
      <c r="AS1890" s="197"/>
      <c r="AT1890" s="197"/>
      <c r="AU1890" s="197"/>
      <c r="AV1890" s="197"/>
      <c r="AW1890" s="197"/>
    </row>
    <row r="1891" spans="28:49" s="196" customFormat="1">
      <c r="AB1891" s="201"/>
      <c r="AC1891" s="201"/>
      <c r="AD1891" s="197"/>
      <c r="AE1891" s="197"/>
      <c r="AF1891" s="197"/>
      <c r="AG1891" s="197"/>
      <c r="AH1891" s="197"/>
      <c r="AI1891" s="197"/>
      <c r="AJ1891" s="197"/>
      <c r="AK1891" s="197"/>
      <c r="AL1891" s="197"/>
      <c r="AM1891" s="197"/>
      <c r="AN1891" s="197"/>
      <c r="AO1891" s="197"/>
      <c r="AP1891" s="197"/>
      <c r="AQ1891" s="197"/>
      <c r="AR1891" s="197"/>
      <c r="AS1891" s="197"/>
      <c r="AT1891" s="197"/>
      <c r="AU1891" s="197"/>
      <c r="AV1891" s="197"/>
      <c r="AW1891" s="197"/>
    </row>
    <row r="1892" spans="28:49" s="196" customFormat="1">
      <c r="AB1892" s="201"/>
      <c r="AC1892" s="201"/>
      <c r="AD1892" s="197"/>
      <c r="AE1892" s="197"/>
      <c r="AF1892" s="197"/>
      <c r="AG1892" s="197"/>
      <c r="AH1892" s="197"/>
      <c r="AI1892" s="197"/>
      <c r="AJ1892" s="197"/>
      <c r="AK1892" s="197"/>
      <c r="AL1892" s="197"/>
      <c r="AM1892" s="197"/>
      <c r="AN1892" s="197"/>
      <c r="AO1892" s="197"/>
      <c r="AP1892" s="197"/>
      <c r="AQ1892" s="197"/>
      <c r="AR1892" s="197"/>
      <c r="AS1892" s="197"/>
      <c r="AT1892" s="197"/>
      <c r="AU1892" s="197"/>
      <c r="AV1892" s="197"/>
      <c r="AW1892" s="197"/>
    </row>
    <row r="1893" spans="28:49" s="196" customFormat="1">
      <c r="AB1893" s="201"/>
      <c r="AC1893" s="201"/>
      <c r="AD1893" s="197"/>
      <c r="AE1893" s="197"/>
      <c r="AF1893" s="197"/>
      <c r="AG1893" s="197"/>
      <c r="AH1893" s="197"/>
      <c r="AI1893" s="197"/>
      <c r="AJ1893" s="197"/>
      <c r="AK1893" s="197"/>
      <c r="AL1893" s="197"/>
      <c r="AM1893" s="197"/>
      <c r="AN1893" s="197"/>
      <c r="AO1893" s="197"/>
      <c r="AP1893" s="197"/>
      <c r="AQ1893" s="197"/>
      <c r="AR1893" s="197"/>
      <c r="AS1893" s="197"/>
      <c r="AT1893" s="197"/>
      <c r="AU1893" s="197"/>
      <c r="AV1893" s="197"/>
      <c r="AW1893" s="197"/>
    </row>
    <row r="1894" spans="28:49" s="196" customFormat="1">
      <c r="AB1894" s="201"/>
      <c r="AC1894" s="201"/>
      <c r="AD1894" s="197"/>
      <c r="AE1894" s="197"/>
      <c r="AF1894" s="197"/>
      <c r="AG1894" s="197"/>
      <c r="AH1894" s="197"/>
      <c r="AI1894" s="197"/>
      <c r="AJ1894" s="197"/>
      <c r="AK1894" s="197"/>
      <c r="AL1894" s="197"/>
      <c r="AM1894" s="197"/>
      <c r="AN1894" s="197"/>
      <c r="AO1894" s="197"/>
      <c r="AP1894" s="197"/>
      <c r="AQ1894" s="197"/>
      <c r="AR1894" s="197"/>
      <c r="AS1894" s="197"/>
      <c r="AT1894" s="197"/>
      <c r="AU1894" s="197"/>
      <c r="AV1894" s="197"/>
      <c r="AW1894" s="197"/>
    </row>
    <row r="1895" spans="28:49" s="196" customFormat="1">
      <c r="AB1895" s="201"/>
      <c r="AC1895" s="201"/>
      <c r="AD1895" s="197"/>
      <c r="AE1895" s="197"/>
      <c r="AF1895" s="197"/>
      <c r="AG1895" s="197"/>
      <c r="AH1895" s="197"/>
      <c r="AI1895" s="197"/>
      <c r="AJ1895" s="197"/>
      <c r="AK1895" s="197"/>
      <c r="AL1895" s="197"/>
      <c r="AM1895" s="197"/>
      <c r="AN1895" s="197"/>
      <c r="AO1895" s="197"/>
      <c r="AP1895" s="197"/>
      <c r="AQ1895" s="197"/>
      <c r="AR1895" s="197"/>
      <c r="AS1895" s="197"/>
      <c r="AT1895" s="197"/>
      <c r="AU1895" s="197"/>
      <c r="AV1895" s="197"/>
      <c r="AW1895" s="197"/>
    </row>
    <row r="1896" spans="28:49" s="196" customFormat="1">
      <c r="AB1896" s="201"/>
      <c r="AC1896" s="201"/>
      <c r="AD1896" s="197"/>
      <c r="AE1896" s="197"/>
      <c r="AF1896" s="197"/>
      <c r="AG1896" s="197"/>
      <c r="AH1896" s="197"/>
      <c r="AI1896" s="197"/>
      <c r="AJ1896" s="197"/>
      <c r="AK1896" s="197"/>
      <c r="AL1896" s="197"/>
      <c r="AM1896" s="197"/>
      <c r="AN1896" s="197"/>
      <c r="AO1896" s="197"/>
      <c r="AP1896" s="197"/>
      <c r="AQ1896" s="197"/>
      <c r="AR1896" s="197"/>
      <c r="AS1896" s="197"/>
      <c r="AT1896" s="197"/>
      <c r="AU1896" s="197"/>
      <c r="AV1896" s="197"/>
      <c r="AW1896" s="197"/>
    </row>
    <row r="1897" spans="28:49" s="196" customFormat="1">
      <c r="AB1897" s="201"/>
      <c r="AC1897" s="201"/>
      <c r="AD1897" s="197"/>
      <c r="AE1897" s="197"/>
      <c r="AF1897" s="197"/>
      <c r="AG1897" s="197"/>
      <c r="AH1897" s="197"/>
      <c r="AI1897" s="197"/>
      <c r="AJ1897" s="197"/>
      <c r="AK1897" s="197"/>
      <c r="AL1897" s="197"/>
      <c r="AM1897" s="197"/>
      <c r="AN1897" s="197"/>
      <c r="AO1897" s="197"/>
      <c r="AP1897" s="197"/>
      <c r="AQ1897" s="197"/>
      <c r="AR1897" s="197"/>
      <c r="AS1897" s="197"/>
      <c r="AT1897" s="197"/>
      <c r="AU1897" s="197"/>
      <c r="AV1897" s="197"/>
      <c r="AW1897" s="197"/>
    </row>
    <row r="1898" spans="28:49" s="196" customFormat="1">
      <c r="AB1898" s="201"/>
      <c r="AC1898" s="201"/>
      <c r="AD1898" s="197"/>
      <c r="AE1898" s="197"/>
      <c r="AF1898" s="197"/>
      <c r="AG1898" s="197"/>
      <c r="AH1898" s="197"/>
      <c r="AI1898" s="197"/>
      <c r="AJ1898" s="197"/>
      <c r="AK1898" s="197"/>
      <c r="AL1898" s="197"/>
      <c r="AM1898" s="197"/>
      <c r="AN1898" s="197"/>
      <c r="AO1898" s="197"/>
      <c r="AP1898" s="197"/>
      <c r="AQ1898" s="197"/>
      <c r="AR1898" s="197"/>
      <c r="AS1898" s="197"/>
      <c r="AT1898" s="197"/>
      <c r="AU1898" s="197"/>
      <c r="AV1898" s="197"/>
      <c r="AW1898" s="197"/>
    </row>
    <row r="1899" spans="28:49" s="196" customFormat="1">
      <c r="AB1899" s="201"/>
      <c r="AC1899" s="201"/>
      <c r="AD1899" s="197"/>
      <c r="AE1899" s="197"/>
      <c r="AF1899" s="197"/>
      <c r="AG1899" s="197"/>
      <c r="AH1899" s="197"/>
      <c r="AI1899" s="197"/>
      <c r="AJ1899" s="197"/>
      <c r="AK1899" s="197"/>
      <c r="AL1899" s="197"/>
      <c r="AM1899" s="197"/>
      <c r="AN1899" s="197"/>
      <c r="AO1899" s="197"/>
      <c r="AP1899" s="197"/>
      <c r="AQ1899" s="197"/>
      <c r="AR1899" s="197"/>
      <c r="AS1899" s="197"/>
      <c r="AT1899" s="197"/>
      <c r="AU1899" s="197"/>
      <c r="AV1899" s="197"/>
      <c r="AW1899" s="197"/>
    </row>
    <row r="1900" spans="28:49" s="196" customFormat="1">
      <c r="AB1900" s="201"/>
      <c r="AC1900" s="201"/>
      <c r="AD1900" s="197"/>
      <c r="AE1900" s="197"/>
      <c r="AF1900" s="197"/>
      <c r="AG1900" s="197"/>
      <c r="AH1900" s="197"/>
      <c r="AI1900" s="197"/>
      <c r="AJ1900" s="197"/>
      <c r="AK1900" s="197"/>
      <c r="AL1900" s="197"/>
      <c r="AM1900" s="197"/>
      <c r="AN1900" s="197"/>
      <c r="AO1900" s="197"/>
      <c r="AP1900" s="197"/>
      <c r="AQ1900" s="197"/>
      <c r="AR1900" s="197"/>
      <c r="AS1900" s="197"/>
      <c r="AT1900" s="197"/>
      <c r="AU1900" s="197"/>
      <c r="AV1900" s="197"/>
      <c r="AW1900" s="197"/>
    </row>
    <row r="1901" spans="28:49" s="196" customFormat="1">
      <c r="AB1901" s="201"/>
      <c r="AC1901" s="201"/>
      <c r="AD1901" s="197"/>
      <c r="AE1901" s="197"/>
      <c r="AF1901" s="197"/>
      <c r="AG1901" s="197"/>
      <c r="AH1901" s="197"/>
      <c r="AI1901" s="197"/>
      <c r="AJ1901" s="197"/>
      <c r="AK1901" s="197"/>
      <c r="AL1901" s="197"/>
      <c r="AM1901" s="197"/>
      <c r="AN1901" s="197"/>
      <c r="AO1901" s="197"/>
      <c r="AP1901" s="197"/>
      <c r="AQ1901" s="197"/>
      <c r="AR1901" s="197"/>
      <c r="AS1901" s="197"/>
      <c r="AT1901" s="197"/>
      <c r="AU1901" s="197"/>
      <c r="AV1901" s="197"/>
      <c r="AW1901" s="197"/>
    </row>
    <row r="1902" spans="28:49" s="196" customFormat="1">
      <c r="AB1902" s="201"/>
      <c r="AC1902" s="201"/>
      <c r="AD1902" s="197"/>
      <c r="AE1902" s="197"/>
      <c r="AF1902" s="197"/>
      <c r="AG1902" s="197"/>
      <c r="AH1902" s="197"/>
      <c r="AI1902" s="197"/>
      <c r="AJ1902" s="197"/>
      <c r="AK1902" s="197"/>
      <c r="AL1902" s="197"/>
      <c r="AM1902" s="197"/>
      <c r="AN1902" s="197"/>
      <c r="AO1902" s="197"/>
      <c r="AP1902" s="197"/>
      <c r="AQ1902" s="197"/>
      <c r="AR1902" s="197"/>
      <c r="AS1902" s="197"/>
      <c r="AT1902" s="197"/>
      <c r="AU1902" s="197"/>
      <c r="AV1902" s="197"/>
      <c r="AW1902" s="197"/>
    </row>
    <row r="1903" spans="28:49" s="196" customFormat="1">
      <c r="AB1903" s="201"/>
      <c r="AC1903" s="201"/>
      <c r="AD1903" s="197"/>
      <c r="AE1903" s="197"/>
      <c r="AF1903" s="197"/>
      <c r="AG1903" s="197"/>
      <c r="AH1903" s="197"/>
      <c r="AI1903" s="197"/>
      <c r="AJ1903" s="197"/>
      <c r="AK1903" s="197"/>
      <c r="AL1903" s="197"/>
      <c r="AM1903" s="197"/>
      <c r="AN1903" s="197"/>
      <c r="AO1903" s="197"/>
      <c r="AP1903" s="197"/>
      <c r="AQ1903" s="197"/>
      <c r="AR1903" s="197"/>
      <c r="AS1903" s="197"/>
      <c r="AT1903" s="197"/>
      <c r="AU1903" s="197"/>
      <c r="AV1903" s="197"/>
      <c r="AW1903" s="197"/>
    </row>
    <row r="1904" spans="28:49" s="196" customFormat="1">
      <c r="AB1904" s="201"/>
      <c r="AC1904" s="201"/>
      <c r="AD1904" s="197"/>
      <c r="AE1904" s="197"/>
      <c r="AF1904" s="197"/>
      <c r="AG1904" s="197"/>
      <c r="AH1904" s="197"/>
      <c r="AI1904" s="197"/>
      <c r="AJ1904" s="197"/>
      <c r="AK1904" s="197"/>
      <c r="AL1904" s="197"/>
      <c r="AM1904" s="197"/>
      <c r="AN1904" s="197"/>
      <c r="AO1904" s="197"/>
      <c r="AP1904" s="197"/>
      <c r="AQ1904" s="197"/>
      <c r="AR1904" s="197"/>
      <c r="AS1904" s="197"/>
      <c r="AT1904" s="197"/>
      <c r="AU1904" s="197"/>
      <c r="AV1904" s="197"/>
      <c r="AW1904" s="197"/>
    </row>
    <row r="1905" spans="28:49" s="196" customFormat="1">
      <c r="AB1905" s="201"/>
      <c r="AC1905" s="201"/>
      <c r="AD1905" s="197"/>
      <c r="AE1905" s="197"/>
      <c r="AF1905" s="197"/>
      <c r="AG1905" s="197"/>
      <c r="AH1905" s="197"/>
      <c r="AI1905" s="197"/>
      <c r="AJ1905" s="197"/>
      <c r="AK1905" s="197"/>
      <c r="AL1905" s="197"/>
      <c r="AM1905" s="197"/>
      <c r="AN1905" s="197"/>
      <c r="AO1905" s="197"/>
      <c r="AP1905" s="197"/>
      <c r="AQ1905" s="197"/>
      <c r="AR1905" s="197"/>
      <c r="AS1905" s="197"/>
      <c r="AT1905" s="197"/>
      <c r="AU1905" s="197"/>
      <c r="AV1905" s="197"/>
      <c r="AW1905" s="197"/>
    </row>
    <row r="1906" spans="28:49" s="196" customFormat="1">
      <c r="AB1906" s="201"/>
      <c r="AC1906" s="201"/>
      <c r="AD1906" s="197"/>
      <c r="AE1906" s="197"/>
      <c r="AF1906" s="197"/>
      <c r="AG1906" s="197"/>
      <c r="AH1906" s="197"/>
      <c r="AI1906" s="197"/>
      <c r="AJ1906" s="197"/>
      <c r="AK1906" s="197"/>
      <c r="AL1906" s="197"/>
      <c r="AM1906" s="197"/>
      <c r="AN1906" s="197"/>
      <c r="AO1906" s="197"/>
      <c r="AP1906" s="197"/>
      <c r="AQ1906" s="197"/>
      <c r="AR1906" s="197"/>
      <c r="AS1906" s="197"/>
      <c r="AT1906" s="197"/>
      <c r="AU1906" s="197"/>
      <c r="AV1906" s="197"/>
      <c r="AW1906" s="197"/>
    </row>
    <row r="1907" spans="28:49" s="196" customFormat="1">
      <c r="AB1907" s="201"/>
      <c r="AC1907" s="201"/>
      <c r="AD1907" s="197"/>
      <c r="AE1907" s="197"/>
      <c r="AF1907" s="197"/>
      <c r="AG1907" s="197"/>
      <c r="AH1907" s="197"/>
      <c r="AI1907" s="197"/>
      <c r="AJ1907" s="197"/>
      <c r="AK1907" s="197"/>
      <c r="AL1907" s="197"/>
      <c r="AM1907" s="197"/>
      <c r="AN1907" s="197"/>
      <c r="AO1907" s="197"/>
      <c r="AP1907" s="197"/>
      <c r="AQ1907" s="197"/>
      <c r="AR1907" s="197"/>
      <c r="AS1907" s="197"/>
      <c r="AT1907" s="197"/>
      <c r="AU1907" s="197"/>
      <c r="AV1907" s="197"/>
      <c r="AW1907" s="197"/>
    </row>
    <row r="1908" spans="28:49" s="196" customFormat="1">
      <c r="AB1908" s="201"/>
      <c r="AC1908" s="201"/>
      <c r="AD1908" s="197"/>
      <c r="AE1908" s="197"/>
      <c r="AF1908" s="197"/>
      <c r="AG1908" s="197"/>
      <c r="AH1908" s="197"/>
      <c r="AI1908" s="197"/>
      <c r="AJ1908" s="197"/>
      <c r="AK1908" s="197"/>
      <c r="AL1908" s="197"/>
      <c r="AM1908" s="197"/>
      <c r="AN1908" s="197"/>
      <c r="AO1908" s="197"/>
      <c r="AP1908" s="197"/>
      <c r="AQ1908" s="197"/>
      <c r="AR1908" s="197"/>
      <c r="AS1908" s="197"/>
      <c r="AT1908" s="197"/>
      <c r="AU1908" s="197"/>
      <c r="AV1908" s="197"/>
      <c r="AW1908" s="197"/>
    </row>
    <row r="1909" spans="28:49" s="196" customFormat="1">
      <c r="AB1909" s="201"/>
      <c r="AC1909" s="201"/>
      <c r="AD1909" s="197"/>
      <c r="AE1909" s="197"/>
      <c r="AF1909" s="197"/>
      <c r="AG1909" s="197"/>
      <c r="AH1909" s="197"/>
      <c r="AI1909" s="197"/>
      <c r="AJ1909" s="197"/>
      <c r="AK1909" s="197"/>
      <c r="AL1909" s="197"/>
      <c r="AM1909" s="197"/>
      <c r="AN1909" s="197"/>
      <c r="AO1909" s="197"/>
      <c r="AP1909" s="197"/>
      <c r="AQ1909" s="197"/>
      <c r="AR1909" s="197"/>
      <c r="AS1909" s="197"/>
      <c r="AT1909" s="197"/>
      <c r="AU1909" s="197"/>
      <c r="AV1909" s="197"/>
      <c r="AW1909" s="197"/>
    </row>
    <row r="1910" spans="28:49" s="196" customFormat="1">
      <c r="AB1910" s="201"/>
      <c r="AC1910" s="201"/>
      <c r="AD1910" s="197"/>
      <c r="AE1910" s="197"/>
      <c r="AF1910" s="197"/>
      <c r="AG1910" s="197"/>
      <c r="AH1910" s="197"/>
      <c r="AI1910" s="197"/>
      <c r="AJ1910" s="197"/>
      <c r="AK1910" s="197"/>
      <c r="AL1910" s="197"/>
      <c r="AM1910" s="197"/>
      <c r="AN1910" s="197"/>
      <c r="AO1910" s="197"/>
      <c r="AP1910" s="197"/>
      <c r="AQ1910" s="197"/>
      <c r="AR1910" s="197"/>
      <c r="AS1910" s="197"/>
      <c r="AT1910" s="197"/>
      <c r="AU1910" s="197"/>
      <c r="AV1910" s="197"/>
      <c r="AW1910" s="197"/>
    </row>
    <row r="1911" spans="28:49" s="196" customFormat="1">
      <c r="AB1911" s="201"/>
      <c r="AC1911" s="201"/>
      <c r="AD1911" s="197"/>
      <c r="AE1911" s="197"/>
      <c r="AF1911" s="197"/>
      <c r="AG1911" s="197"/>
      <c r="AH1911" s="197"/>
      <c r="AI1911" s="197"/>
      <c r="AJ1911" s="197"/>
      <c r="AK1911" s="197"/>
      <c r="AL1911" s="197"/>
      <c r="AM1911" s="197"/>
      <c r="AN1911" s="197"/>
      <c r="AO1911" s="197"/>
      <c r="AP1911" s="197"/>
      <c r="AQ1911" s="197"/>
      <c r="AR1911" s="197"/>
      <c r="AS1911" s="197"/>
      <c r="AT1911" s="197"/>
      <c r="AU1911" s="197"/>
      <c r="AV1911" s="197"/>
      <c r="AW1911" s="197"/>
    </row>
    <row r="1912" spans="28:49" s="196" customFormat="1">
      <c r="AB1912" s="201"/>
      <c r="AC1912" s="201"/>
      <c r="AD1912" s="197"/>
      <c r="AE1912" s="197"/>
      <c r="AF1912" s="197"/>
      <c r="AG1912" s="197"/>
      <c r="AH1912" s="197"/>
      <c r="AI1912" s="197"/>
      <c r="AJ1912" s="197"/>
      <c r="AK1912" s="197"/>
      <c r="AL1912" s="197"/>
      <c r="AM1912" s="197"/>
      <c r="AN1912" s="197"/>
      <c r="AO1912" s="197"/>
      <c r="AP1912" s="197"/>
      <c r="AQ1912" s="197"/>
      <c r="AR1912" s="197"/>
      <c r="AS1912" s="197"/>
      <c r="AT1912" s="197"/>
      <c r="AU1912" s="197"/>
      <c r="AV1912" s="197"/>
      <c r="AW1912" s="197"/>
    </row>
    <row r="1913" spans="28:49" s="196" customFormat="1">
      <c r="AB1913" s="201"/>
      <c r="AC1913" s="201"/>
      <c r="AD1913" s="197"/>
      <c r="AE1913" s="197"/>
      <c r="AF1913" s="197"/>
      <c r="AG1913" s="197"/>
      <c r="AH1913" s="197"/>
      <c r="AI1913" s="197"/>
      <c r="AJ1913" s="197"/>
      <c r="AK1913" s="197"/>
      <c r="AL1913" s="197"/>
      <c r="AM1913" s="197"/>
      <c r="AN1913" s="197"/>
      <c r="AO1913" s="197"/>
      <c r="AP1913" s="197"/>
      <c r="AQ1913" s="197"/>
      <c r="AR1913" s="197"/>
      <c r="AS1913" s="197"/>
      <c r="AT1913" s="197"/>
      <c r="AU1913" s="197"/>
      <c r="AV1913" s="197"/>
      <c r="AW1913" s="197"/>
    </row>
    <row r="1914" spans="28:49" s="196" customFormat="1">
      <c r="AB1914" s="201"/>
      <c r="AC1914" s="201"/>
      <c r="AD1914" s="197"/>
      <c r="AE1914" s="197"/>
      <c r="AF1914" s="197"/>
      <c r="AG1914" s="197"/>
      <c r="AH1914" s="197"/>
      <c r="AI1914" s="197"/>
      <c r="AJ1914" s="197"/>
      <c r="AK1914" s="197"/>
      <c r="AL1914" s="197"/>
      <c r="AM1914" s="197"/>
      <c r="AN1914" s="197"/>
      <c r="AO1914" s="197"/>
      <c r="AP1914" s="197"/>
      <c r="AQ1914" s="197"/>
      <c r="AR1914" s="197"/>
      <c r="AS1914" s="197"/>
      <c r="AT1914" s="197"/>
      <c r="AU1914" s="197"/>
      <c r="AV1914" s="197"/>
      <c r="AW1914" s="197"/>
    </row>
    <row r="1915" spans="28:49" s="196" customFormat="1">
      <c r="AB1915" s="201"/>
      <c r="AC1915" s="201"/>
      <c r="AD1915" s="197"/>
      <c r="AE1915" s="197"/>
      <c r="AF1915" s="197"/>
      <c r="AG1915" s="197"/>
      <c r="AH1915" s="197"/>
      <c r="AI1915" s="197"/>
      <c r="AJ1915" s="197"/>
      <c r="AK1915" s="197"/>
      <c r="AL1915" s="197"/>
      <c r="AM1915" s="197"/>
      <c r="AN1915" s="197"/>
      <c r="AO1915" s="197"/>
      <c r="AP1915" s="197"/>
      <c r="AQ1915" s="197"/>
      <c r="AR1915" s="197"/>
      <c r="AS1915" s="197"/>
      <c r="AT1915" s="197"/>
      <c r="AU1915" s="197"/>
      <c r="AV1915" s="197"/>
      <c r="AW1915" s="197"/>
    </row>
    <row r="1916" spans="28:49" s="196" customFormat="1">
      <c r="AB1916" s="201"/>
      <c r="AC1916" s="201"/>
      <c r="AD1916" s="197"/>
      <c r="AE1916" s="197"/>
      <c r="AF1916" s="197"/>
      <c r="AG1916" s="197"/>
      <c r="AH1916" s="197"/>
      <c r="AI1916" s="197"/>
      <c r="AJ1916" s="197"/>
      <c r="AK1916" s="197"/>
      <c r="AL1916" s="197"/>
      <c r="AM1916" s="197"/>
      <c r="AN1916" s="197"/>
      <c r="AO1916" s="197"/>
      <c r="AP1916" s="197"/>
      <c r="AQ1916" s="197"/>
      <c r="AR1916" s="197"/>
      <c r="AS1916" s="197"/>
      <c r="AT1916" s="197"/>
      <c r="AU1916" s="197"/>
      <c r="AV1916" s="197"/>
      <c r="AW1916" s="197"/>
    </row>
    <row r="1917" spans="28:49" s="196" customFormat="1">
      <c r="AB1917" s="201"/>
      <c r="AC1917" s="201"/>
      <c r="AD1917" s="197"/>
      <c r="AE1917" s="197"/>
      <c r="AF1917" s="197"/>
      <c r="AG1917" s="197"/>
      <c r="AH1917" s="197"/>
      <c r="AI1917" s="197"/>
      <c r="AJ1917" s="197"/>
      <c r="AK1917" s="197"/>
      <c r="AL1917" s="197"/>
      <c r="AM1917" s="197"/>
      <c r="AN1917" s="197"/>
      <c r="AO1917" s="197"/>
      <c r="AP1917" s="197"/>
      <c r="AQ1917" s="197"/>
      <c r="AR1917" s="197"/>
      <c r="AS1917" s="197"/>
      <c r="AT1917" s="197"/>
      <c r="AU1917" s="197"/>
      <c r="AV1917" s="197"/>
      <c r="AW1917" s="197"/>
    </row>
    <row r="1918" spans="28:49" s="196" customFormat="1">
      <c r="AB1918" s="201"/>
      <c r="AC1918" s="201"/>
      <c r="AD1918" s="197"/>
      <c r="AE1918" s="197"/>
      <c r="AF1918" s="197"/>
      <c r="AG1918" s="197"/>
      <c r="AH1918" s="197"/>
      <c r="AI1918" s="197"/>
      <c r="AJ1918" s="197"/>
      <c r="AK1918" s="197"/>
      <c r="AL1918" s="197"/>
      <c r="AM1918" s="197"/>
      <c r="AN1918" s="197"/>
      <c r="AO1918" s="197"/>
      <c r="AP1918" s="197"/>
      <c r="AQ1918" s="197"/>
      <c r="AR1918" s="197"/>
      <c r="AS1918" s="197"/>
      <c r="AT1918" s="197"/>
      <c r="AU1918" s="197"/>
      <c r="AV1918" s="197"/>
      <c r="AW1918" s="197"/>
    </row>
    <row r="1919" spans="28:49" s="196" customFormat="1">
      <c r="AB1919" s="201"/>
      <c r="AC1919" s="201"/>
      <c r="AD1919" s="197"/>
      <c r="AE1919" s="197"/>
      <c r="AF1919" s="197"/>
      <c r="AG1919" s="197"/>
      <c r="AH1919" s="197"/>
      <c r="AI1919" s="197"/>
      <c r="AJ1919" s="197"/>
      <c r="AK1919" s="197"/>
      <c r="AL1919" s="197"/>
      <c r="AM1919" s="197"/>
      <c r="AN1919" s="197"/>
      <c r="AO1919" s="197"/>
      <c r="AP1919" s="197"/>
      <c r="AQ1919" s="197"/>
      <c r="AR1919" s="197"/>
      <c r="AS1919" s="197"/>
      <c r="AT1919" s="197"/>
      <c r="AU1919" s="197"/>
      <c r="AV1919" s="197"/>
      <c r="AW1919" s="197"/>
    </row>
    <row r="1920" spans="28:49" s="196" customFormat="1">
      <c r="AB1920" s="201"/>
      <c r="AC1920" s="201"/>
      <c r="AD1920" s="197"/>
      <c r="AE1920" s="197"/>
      <c r="AF1920" s="197"/>
      <c r="AG1920" s="197"/>
      <c r="AH1920" s="197"/>
      <c r="AI1920" s="197"/>
      <c r="AJ1920" s="197"/>
      <c r="AK1920" s="197"/>
      <c r="AL1920" s="197"/>
      <c r="AM1920" s="197"/>
      <c r="AN1920" s="197"/>
      <c r="AO1920" s="197"/>
      <c r="AP1920" s="197"/>
      <c r="AQ1920" s="197"/>
      <c r="AR1920" s="197"/>
      <c r="AS1920" s="197"/>
      <c r="AT1920" s="197"/>
      <c r="AU1920" s="197"/>
      <c r="AV1920" s="197"/>
      <c r="AW1920" s="197"/>
    </row>
    <row r="1921" spans="28:49" s="196" customFormat="1">
      <c r="AB1921" s="201"/>
      <c r="AC1921" s="201"/>
      <c r="AD1921" s="197"/>
      <c r="AE1921" s="197"/>
      <c r="AF1921" s="197"/>
      <c r="AG1921" s="197"/>
      <c r="AH1921" s="197"/>
      <c r="AI1921" s="197"/>
      <c r="AJ1921" s="197"/>
      <c r="AK1921" s="197"/>
      <c r="AL1921" s="197"/>
      <c r="AM1921" s="197"/>
      <c r="AN1921" s="197"/>
      <c r="AO1921" s="197"/>
      <c r="AP1921" s="197"/>
      <c r="AQ1921" s="197"/>
      <c r="AR1921" s="197"/>
      <c r="AS1921" s="197"/>
      <c r="AT1921" s="197"/>
      <c r="AU1921" s="197"/>
      <c r="AV1921" s="197"/>
      <c r="AW1921" s="197"/>
    </row>
    <row r="1922" spans="28:49" s="196" customFormat="1">
      <c r="AB1922" s="201"/>
      <c r="AC1922" s="201"/>
      <c r="AD1922" s="197"/>
      <c r="AE1922" s="197"/>
      <c r="AF1922" s="197"/>
      <c r="AG1922" s="197"/>
      <c r="AH1922" s="197"/>
      <c r="AI1922" s="197"/>
      <c r="AJ1922" s="197"/>
      <c r="AK1922" s="197"/>
      <c r="AL1922" s="197"/>
      <c r="AM1922" s="197"/>
      <c r="AN1922" s="197"/>
      <c r="AO1922" s="197"/>
      <c r="AP1922" s="197"/>
      <c r="AQ1922" s="197"/>
      <c r="AR1922" s="197"/>
      <c r="AS1922" s="197"/>
      <c r="AT1922" s="197"/>
      <c r="AU1922" s="197"/>
      <c r="AV1922" s="197"/>
      <c r="AW1922" s="197"/>
    </row>
    <row r="1923" spans="28:49" s="196" customFormat="1">
      <c r="AB1923" s="201"/>
      <c r="AC1923" s="201"/>
      <c r="AD1923" s="197"/>
      <c r="AE1923" s="197"/>
      <c r="AF1923" s="197"/>
      <c r="AG1923" s="197"/>
      <c r="AH1923" s="197"/>
      <c r="AI1923" s="197"/>
      <c r="AJ1923" s="197"/>
      <c r="AK1923" s="197"/>
      <c r="AL1923" s="197"/>
      <c r="AM1923" s="197"/>
      <c r="AN1923" s="197"/>
      <c r="AO1923" s="197"/>
      <c r="AP1923" s="197"/>
      <c r="AQ1923" s="197"/>
      <c r="AR1923" s="197"/>
      <c r="AS1923" s="197"/>
      <c r="AT1923" s="197"/>
      <c r="AU1923" s="197"/>
      <c r="AV1923" s="197"/>
      <c r="AW1923" s="197"/>
    </row>
    <row r="1924" spans="28:49" s="196" customFormat="1">
      <c r="AB1924" s="201"/>
      <c r="AC1924" s="201"/>
      <c r="AD1924" s="197"/>
      <c r="AE1924" s="197"/>
      <c r="AF1924" s="197"/>
      <c r="AG1924" s="197"/>
      <c r="AH1924" s="197"/>
      <c r="AI1924" s="197"/>
      <c r="AJ1924" s="197"/>
      <c r="AK1924" s="197"/>
      <c r="AL1924" s="197"/>
      <c r="AM1924" s="197"/>
      <c r="AN1924" s="197"/>
      <c r="AO1924" s="197"/>
      <c r="AP1924" s="197"/>
      <c r="AQ1924" s="197"/>
      <c r="AR1924" s="197"/>
      <c r="AS1924" s="197"/>
      <c r="AT1924" s="197"/>
      <c r="AU1924" s="197"/>
      <c r="AV1924" s="197"/>
      <c r="AW1924" s="197"/>
    </row>
    <row r="1925" spans="28:49" s="196" customFormat="1">
      <c r="AB1925" s="201"/>
      <c r="AC1925" s="201"/>
      <c r="AD1925" s="197"/>
      <c r="AE1925" s="197"/>
      <c r="AF1925" s="197"/>
      <c r="AG1925" s="197"/>
      <c r="AH1925" s="197"/>
      <c r="AI1925" s="197"/>
      <c r="AJ1925" s="197"/>
      <c r="AK1925" s="197"/>
      <c r="AL1925" s="197"/>
      <c r="AM1925" s="197"/>
      <c r="AN1925" s="197"/>
      <c r="AO1925" s="197"/>
      <c r="AP1925" s="197"/>
      <c r="AQ1925" s="197"/>
      <c r="AR1925" s="197"/>
      <c r="AS1925" s="197"/>
      <c r="AT1925" s="197"/>
      <c r="AU1925" s="197"/>
      <c r="AV1925" s="197"/>
      <c r="AW1925" s="197"/>
    </row>
    <row r="1926" spans="28:49" s="196" customFormat="1">
      <c r="AB1926" s="201"/>
      <c r="AC1926" s="201"/>
      <c r="AD1926" s="197"/>
      <c r="AE1926" s="197"/>
      <c r="AF1926" s="197"/>
      <c r="AG1926" s="197"/>
      <c r="AH1926" s="197"/>
      <c r="AI1926" s="197"/>
      <c r="AJ1926" s="197"/>
      <c r="AK1926" s="197"/>
      <c r="AL1926" s="197"/>
      <c r="AM1926" s="197"/>
      <c r="AN1926" s="197"/>
      <c r="AO1926" s="197"/>
      <c r="AP1926" s="197"/>
      <c r="AQ1926" s="197"/>
      <c r="AR1926" s="197"/>
      <c r="AS1926" s="197"/>
      <c r="AT1926" s="197"/>
      <c r="AU1926" s="197"/>
      <c r="AV1926" s="197"/>
      <c r="AW1926" s="197"/>
    </row>
    <row r="1927" spans="28:49" s="196" customFormat="1">
      <c r="AB1927" s="201"/>
      <c r="AC1927" s="201"/>
      <c r="AD1927" s="197"/>
      <c r="AE1927" s="197"/>
      <c r="AF1927" s="197"/>
      <c r="AG1927" s="197"/>
      <c r="AH1927" s="197"/>
      <c r="AI1927" s="197"/>
      <c r="AJ1927" s="197"/>
      <c r="AK1927" s="197"/>
      <c r="AL1927" s="197"/>
      <c r="AM1927" s="197"/>
      <c r="AN1927" s="197"/>
      <c r="AO1927" s="197"/>
      <c r="AP1927" s="197"/>
      <c r="AQ1927" s="197"/>
      <c r="AR1927" s="197"/>
      <c r="AS1927" s="197"/>
      <c r="AT1927" s="197"/>
      <c r="AU1927" s="197"/>
      <c r="AV1927" s="197"/>
      <c r="AW1927" s="197"/>
    </row>
    <row r="1928" spans="28:49" s="196" customFormat="1">
      <c r="AB1928" s="201"/>
      <c r="AC1928" s="201"/>
      <c r="AD1928" s="197"/>
      <c r="AE1928" s="197"/>
      <c r="AF1928" s="197"/>
      <c r="AG1928" s="197"/>
      <c r="AH1928" s="197"/>
      <c r="AI1928" s="197"/>
      <c r="AJ1928" s="197"/>
      <c r="AK1928" s="197"/>
      <c r="AL1928" s="197"/>
      <c r="AM1928" s="197"/>
      <c r="AN1928" s="197"/>
      <c r="AO1928" s="197"/>
      <c r="AP1928" s="197"/>
      <c r="AQ1928" s="197"/>
      <c r="AR1928" s="197"/>
      <c r="AS1928" s="197"/>
      <c r="AT1928" s="197"/>
      <c r="AU1928" s="197"/>
      <c r="AV1928" s="197"/>
      <c r="AW1928" s="197"/>
    </row>
    <row r="1929" spans="28:49" s="196" customFormat="1">
      <c r="AB1929" s="201"/>
      <c r="AC1929" s="201"/>
      <c r="AD1929" s="197"/>
      <c r="AE1929" s="197"/>
      <c r="AF1929" s="197"/>
      <c r="AG1929" s="197"/>
      <c r="AH1929" s="197"/>
      <c r="AI1929" s="197"/>
      <c r="AJ1929" s="197"/>
      <c r="AK1929" s="197"/>
      <c r="AL1929" s="197"/>
      <c r="AM1929" s="197"/>
      <c r="AN1929" s="197"/>
      <c r="AO1929" s="197"/>
      <c r="AP1929" s="197"/>
      <c r="AQ1929" s="197"/>
      <c r="AR1929" s="197"/>
      <c r="AS1929" s="197"/>
      <c r="AT1929" s="197"/>
      <c r="AU1929" s="197"/>
      <c r="AV1929" s="197"/>
      <c r="AW1929" s="197"/>
    </row>
    <row r="1930" spans="28:49" s="196" customFormat="1">
      <c r="AB1930" s="201"/>
      <c r="AC1930" s="201"/>
      <c r="AD1930" s="197"/>
      <c r="AE1930" s="197"/>
      <c r="AF1930" s="197"/>
      <c r="AG1930" s="197"/>
      <c r="AH1930" s="197"/>
      <c r="AI1930" s="197"/>
      <c r="AJ1930" s="197"/>
      <c r="AK1930" s="197"/>
      <c r="AL1930" s="197"/>
      <c r="AM1930" s="197"/>
      <c r="AN1930" s="197"/>
      <c r="AO1930" s="197"/>
      <c r="AP1930" s="197"/>
      <c r="AQ1930" s="197"/>
      <c r="AR1930" s="197"/>
      <c r="AS1930" s="197"/>
      <c r="AT1930" s="197"/>
      <c r="AU1930" s="197"/>
      <c r="AV1930" s="197"/>
      <c r="AW1930" s="197"/>
    </row>
    <row r="1931" spans="28:49" s="196" customFormat="1">
      <c r="AB1931" s="201"/>
      <c r="AC1931" s="201"/>
      <c r="AD1931" s="197"/>
      <c r="AE1931" s="197"/>
      <c r="AF1931" s="197"/>
      <c r="AG1931" s="197"/>
      <c r="AH1931" s="197"/>
      <c r="AI1931" s="197"/>
      <c r="AJ1931" s="197"/>
      <c r="AK1931" s="197"/>
      <c r="AL1931" s="197"/>
      <c r="AM1931" s="197"/>
      <c r="AN1931" s="197"/>
      <c r="AO1931" s="197"/>
      <c r="AP1931" s="197"/>
      <c r="AQ1931" s="197"/>
      <c r="AR1931" s="197"/>
      <c r="AS1931" s="197"/>
      <c r="AT1931" s="197"/>
      <c r="AU1931" s="197"/>
      <c r="AV1931" s="197"/>
      <c r="AW1931" s="197"/>
    </row>
    <row r="1932" spans="28:49" s="196" customFormat="1">
      <c r="AB1932" s="201"/>
      <c r="AC1932" s="201"/>
      <c r="AD1932" s="197"/>
      <c r="AE1932" s="197"/>
      <c r="AF1932" s="197"/>
      <c r="AG1932" s="197"/>
      <c r="AH1932" s="197"/>
      <c r="AI1932" s="197"/>
      <c r="AJ1932" s="197"/>
      <c r="AK1932" s="197"/>
      <c r="AL1932" s="197"/>
      <c r="AM1932" s="197"/>
      <c r="AN1932" s="197"/>
      <c r="AO1932" s="197"/>
      <c r="AP1932" s="197"/>
      <c r="AQ1932" s="197"/>
      <c r="AR1932" s="197"/>
      <c r="AS1932" s="197"/>
      <c r="AT1932" s="197"/>
      <c r="AU1932" s="197"/>
      <c r="AV1932" s="197"/>
      <c r="AW1932" s="197"/>
    </row>
    <row r="1933" spans="28:49" s="196" customFormat="1">
      <c r="AB1933" s="201"/>
      <c r="AC1933" s="201"/>
      <c r="AD1933" s="197"/>
      <c r="AE1933" s="197"/>
      <c r="AF1933" s="197"/>
      <c r="AG1933" s="197"/>
      <c r="AH1933" s="197"/>
      <c r="AI1933" s="197"/>
      <c r="AJ1933" s="197"/>
      <c r="AK1933" s="197"/>
      <c r="AL1933" s="197"/>
      <c r="AM1933" s="197"/>
      <c r="AN1933" s="197"/>
      <c r="AO1933" s="197"/>
      <c r="AP1933" s="197"/>
      <c r="AQ1933" s="197"/>
      <c r="AR1933" s="197"/>
      <c r="AS1933" s="197"/>
      <c r="AT1933" s="197"/>
      <c r="AU1933" s="197"/>
      <c r="AV1933" s="197"/>
      <c r="AW1933" s="197"/>
    </row>
    <row r="1934" spans="28:49" s="196" customFormat="1">
      <c r="AB1934" s="201"/>
      <c r="AC1934" s="201"/>
      <c r="AD1934" s="197"/>
      <c r="AE1934" s="197"/>
      <c r="AF1934" s="197"/>
      <c r="AG1934" s="197"/>
      <c r="AH1934" s="197"/>
      <c r="AI1934" s="197"/>
      <c r="AJ1934" s="197"/>
      <c r="AK1934" s="197"/>
      <c r="AL1934" s="197"/>
      <c r="AM1934" s="197"/>
      <c r="AN1934" s="197"/>
      <c r="AO1934" s="197"/>
      <c r="AP1934" s="197"/>
      <c r="AQ1934" s="197"/>
      <c r="AR1934" s="197"/>
      <c r="AS1934" s="197"/>
      <c r="AT1934" s="197"/>
      <c r="AU1934" s="197"/>
      <c r="AV1934" s="197"/>
      <c r="AW1934" s="197"/>
    </row>
    <row r="1935" spans="28:49" s="196" customFormat="1">
      <c r="AB1935" s="201"/>
      <c r="AC1935" s="201"/>
      <c r="AD1935" s="197"/>
      <c r="AE1935" s="197"/>
      <c r="AF1935" s="197"/>
      <c r="AG1935" s="197"/>
      <c r="AH1935" s="197"/>
      <c r="AI1935" s="197"/>
      <c r="AJ1935" s="197"/>
      <c r="AK1935" s="197"/>
      <c r="AL1935" s="197"/>
      <c r="AM1935" s="197"/>
      <c r="AN1935" s="197"/>
      <c r="AO1935" s="197"/>
      <c r="AP1935" s="197"/>
      <c r="AQ1935" s="197"/>
      <c r="AR1935" s="197"/>
      <c r="AS1935" s="197"/>
      <c r="AT1935" s="197"/>
      <c r="AU1935" s="197"/>
      <c r="AV1935" s="197"/>
      <c r="AW1935" s="197"/>
    </row>
    <row r="1936" spans="28:49" s="196" customFormat="1">
      <c r="AB1936" s="201"/>
      <c r="AC1936" s="201"/>
      <c r="AD1936" s="197"/>
      <c r="AE1936" s="197"/>
      <c r="AF1936" s="197"/>
      <c r="AG1936" s="197"/>
      <c r="AH1936" s="197"/>
      <c r="AI1936" s="197"/>
      <c r="AJ1936" s="197"/>
      <c r="AK1936" s="197"/>
      <c r="AL1936" s="197"/>
      <c r="AM1936" s="197"/>
      <c r="AN1936" s="197"/>
      <c r="AO1936" s="197"/>
      <c r="AP1936" s="197"/>
      <c r="AQ1936" s="197"/>
      <c r="AR1936" s="197"/>
      <c r="AS1936" s="197"/>
      <c r="AT1936" s="197"/>
      <c r="AU1936" s="197"/>
      <c r="AV1936" s="197"/>
      <c r="AW1936" s="197"/>
    </row>
    <row r="1937" spans="28:49" s="196" customFormat="1">
      <c r="AB1937" s="201"/>
      <c r="AC1937" s="201"/>
      <c r="AD1937" s="197"/>
      <c r="AE1937" s="197"/>
      <c r="AF1937" s="197"/>
      <c r="AG1937" s="197"/>
      <c r="AH1937" s="197"/>
      <c r="AI1937" s="197"/>
      <c r="AJ1937" s="197"/>
      <c r="AK1937" s="197"/>
      <c r="AL1937" s="197"/>
      <c r="AM1937" s="197"/>
      <c r="AN1937" s="197"/>
      <c r="AO1937" s="197"/>
      <c r="AP1937" s="197"/>
      <c r="AQ1937" s="197"/>
      <c r="AR1937" s="197"/>
      <c r="AS1937" s="197"/>
      <c r="AT1937" s="197"/>
      <c r="AU1937" s="197"/>
      <c r="AV1937" s="197"/>
      <c r="AW1937" s="197"/>
    </row>
    <row r="1938" spans="28:49" s="196" customFormat="1">
      <c r="AB1938" s="201"/>
      <c r="AC1938" s="201"/>
      <c r="AD1938" s="197"/>
      <c r="AE1938" s="197"/>
      <c r="AF1938" s="197"/>
      <c r="AG1938" s="197"/>
      <c r="AH1938" s="197"/>
      <c r="AI1938" s="197"/>
      <c r="AJ1938" s="197"/>
      <c r="AK1938" s="197"/>
      <c r="AL1938" s="197"/>
      <c r="AM1938" s="197"/>
      <c r="AN1938" s="197"/>
      <c r="AO1938" s="197"/>
      <c r="AP1938" s="197"/>
      <c r="AQ1938" s="197"/>
      <c r="AR1938" s="197"/>
      <c r="AS1938" s="197"/>
      <c r="AT1938" s="197"/>
      <c r="AU1938" s="197"/>
      <c r="AV1938" s="197"/>
      <c r="AW1938" s="197"/>
    </row>
    <row r="1939" spans="28:49" s="196" customFormat="1">
      <c r="AB1939" s="201"/>
      <c r="AC1939" s="201"/>
      <c r="AD1939" s="197"/>
      <c r="AE1939" s="197"/>
      <c r="AF1939" s="197"/>
      <c r="AG1939" s="197"/>
      <c r="AH1939" s="197"/>
      <c r="AI1939" s="197"/>
      <c r="AJ1939" s="197"/>
      <c r="AK1939" s="197"/>
      <c r="AL1939" s="197"/>
      <c r="AM1939" s="197"/>
      <c r="AN1939" s="197"/>
      <c r="AO1939" s="197"/>
      <c r="AP1939" s="197"/>
      <c r="AQ1939" s="197"/>
      <c r="AR1939" s="197"/>
      <c r="AS1939" s="197"/>
      <c r="AT1939" s="197"/>
      <c r="AU1939" s="197"/>
      <c r="AV1939" s="197"/>
      <c r="AW1939" s="197"/>
    </row>
    <row r="1940" spans="28:49" s="196" customFormat="1">
      <c r="AB1940" s="201"/>
      <c r="AC1940" s="201"/>
      <c r="AD1940" s="197"/>
      <c r="AE1940" s="197"/>
      <c r="AF1940" s="197"/>
      <c r="AG1940" s="197"/>
      <c r="AH1940" s="197"/>
      <c r="AI1940" s="197"/>
      <c r="AJ1940" s="197"/>
      <c r="AK1940" s="197"/>
      <c r="AL1940" s="197"/>
      <c r="AM1940" s="197"/>
      <c r="AN1940" s="197"/>
      <c r="AO1940" s="197"/>
      <c r="AP1940" s="197"/>
      <c r="AQ1940" s="197"/>
      <c r="AR1940" s="197"/>
      <c r="AS1940" s="197"/>
      <c r="AT1940" s="197"/>
      <c r="AU1940" s="197"/>
      <c r="AV1940" s="197"/>
      <c r="AW1940" s="197"/>
    </row>
    <row r="1941" spans="28:49" s="196" customFormat="1">
      <c r="AB1941" s="201"/>
      <c r="AC1941" s="201"/>
      <c r="AD1941" s="197"/>
      <c r="AE1941" s="197"/>
      <c r="AF1941" s="197"/>
      <c r="AG1941" s="197"/>
      <c r="AH1941" s="197"/>
      <c r="AI1941" s="197"/>
      <c r="AJ1941" s="197"/>
      <c r="AK1941" s="197"/>
      <c r="AL1941" s="197"/>
      <c r="AM1941" s="197"/>
      <c r="AN1941" s="197"/>
      <c r="AO1941" s="197"/>
      <c r="AP1941" s="197"/>
      <c r="AQ1941" s="197"/>
      <c r="AR1941" s="197"/>
      <c r="AS1941" s="197"/>
      <c r="AT1941" s="197"/>
      <c r="AU1941" s="197"/>
      <c r="AV1941" s="197"/>
      <c r="AW1941" s="197"/>
    </row>
    <row r="1942" spans="28:49" s="196" customFormat="1">
      <c r="AB1942" s="201"/>
      <c r="AC1942" s="201"/>
      <c r="AD1942" s="197"/>
      <c r="AE1942" s="197"/>
      <c r="AF1942" s="197"/>
      <c r="AG1942" s="197"/>
      <c r="AH1942" s="197"/>
      <c r="AI1942" s="197"/>
      <c r="AJ1942" s="197"/>
      <c r="AK1942" s="197"/>
      <c r="AL1942" s="197"/>
      <c r="AM1942" s="197"/>
      <c r="AN1942" s="197"/>
      <c r="AO1942" s="197"/>
      <c r="AP1942" s="197"/>
      <c r="AQ1942" s="197"/>
      <c r="AR1942" s="197"/>
      <c r="AS1942" s="197"/>
      <c r="AT1942" s="197"/>
      <c r="AU1942" s="197"/>
      <c r="AV1942" s="197"/>
      <c r="AW1942" s="197"/>
    </row>
    <row r="1943" spans="28:49" s="196" customFormat="1">
      <c r="AB1943" s="201"/>
      <c r="AC1943" s="201"/>
      <c r="AD1943" s="197"/>
      <c r="AE1943" s="197"/>
      <c r="AF1943" s="197"/>
      <c r="AG1943" s="197"/>
      <c r="AH1943" s="197"/>
      <c r="AI1943" s="197"/>
      <c r="AJ1943" s="197"/>
      <c r="AK1943" s="197"/>
      <c r="AL1943" s="197"/>
      <c r="AM1943" s="197"/>
      <c r="AN1943" s="197"/>
      <c r="AO1943" s="197"/>
      <c r="AP1943" s="197"/>
      <c r="AQ1943" s="197"/>
      <c r="AR1943" s="197"/>
      <c r="AS1943" s="197"/>
      <c r="AT1943" s="197"/>
      <c r="AU1943" s="197"/>
      <c r="AV1943" s="197"/>
      <c r="AW1943" s="197"/>
    </row>
    <row r="1944" spans="28:49" s="196" customFormat="1">
      <c r="AB1944" s="201"/>
      <c r="AC1944" s="201"/>
      <c r="AD1944" s="197"/>
      <c r="AE1944" s="197"/>
      <c r="AF1944" s="197"/>
      <c r="AG1944" s="197"/>
      <c r="AH1944" s="197"/>
      <c r="AI1944" s="197"/>
      <c r="AJ1944" s="197"/>
      <c r="AK1944" s="197"/>
      <c r="AL1944" s="197"/>
      <c r="AM1944" s="197"/>
      <c r="AN1944" s="197"/>
      <c r="AO1944" s="197"/>
      <c r="AP1944" s="197"/>
      <c r="AQ1944" s="197"/>
      <c r="AR1944" s="197"/>
      <c r="AS1944" s="197"/>
      <c r="AT1944" s="197"/>
      <c r="AU1944" s="197"/>
      <c r="AV1944" s="197"/>
      <c r="AW1944" s="197"/>
    </row>
    <row r="1945" spans="28:49" s="196" customFormat="1">
      <c r="AB1945" s="201"/>
      <c r="AC1945" s="201"/>
      <c r="AD1945" s="197"/>
      <c r="AE1945" s="197"/>
      <c r="AF1945" s="197"/>
      <c r="AG1945" s="197"/>
      <c r="AH1945" s="197"/>
      <c r="AI1945" s="197"/>
      <c r="AJ1945" s="197"/>
      <c r="AK1945" s="197"/>
      <c r="AL1945" s="197"/>
      <c r="AM1945" s="197"/>
      <c r="AN1945" s="197"/>
      <c r="AO1945" s="197"/>
      <c r="AP1945" s="197"/>
      <c r="AQ1945" s="197"/>
      <c r="AR1945" s="197"/>
      <c r="AS1945" s="197"/>
      <c r="AT1945" s="197"/>
      <c r="AU1945" s="197"/>
      <c r="AV1945" s="197"/>
      <c r="AW1945" s="197"/>
    </row>
    <row r="1946" spans="28:49" s="196" customFormat="1">
      <c r="AB1946" s="201"/>
      <c r="AC1946" s="201"/>
      <c r="AD1946" s="197"/>
      <c r="AE1946" s="197"/>
      <c r="AF1946" s="197"/>
      <c r="AG1946" s="197"/>
      <c r="AH1946" s="197"/>
      <c r="AI1946" s="197"/>
      <c r="AJ1946" s="197"/>
      <c r="AK1946" s="197"/>
      <c r="AL1946" s="197"/>
      <c r="AM1946" s="197"/>
      <c r="AN1946" s="197"/>
      <c r="AO1946" s="197"/>
      <c r="AP1946" s="197"/>
      <c r="AQ1946" s="197"/>
      <c r="AR1946" s="197"/>
      <c r="AS1946" s="197"/>
      <c r="AT1946" s="197"/>
      <c r="AU1946" s="197"/>
      <c r="AV1946" s="197"/>
      <c r="AW1946" s="197"/>
    </row>
    <row r="1947" spans="28:49" s="196" customFormat="1">
      <c r="AB1947" s="201"/>
      <c r="AC1947" s="201"/>
      <c r="AD1947" s="197"/>
      <c r="AE1947" s="197"/>
      <c r="AF1947" s="197"/>
      <c r="AG1947" s="197"/>
      <c r="AH1947" s="197"/>
      <c r="AI1947" s="197"/>
      <c r="AJ1947" s="197"/>
      <c r="AK1947" s="197"/>
      <c r="AL1947" s="197"/>
      <c r="AM1947" s="197"/>
      <c r="AN1947" s="197"/>
      <c r="AO1947" s="197"/>
      <c r="AP1947" s="197"/>
      <c r="AQ1947" s="197"/>
      <c r="AR1947" s="197"/>
      <c r="AS1947" s="197"/>
      <c r="AT1947" s="197"/>
      <c r="AU1947" s="197"/>
      <c r="AV1947" s="197"/>
      <c r="AW1947" s="197"/>
    </row>
    <row r="1948" spans="28:49" s="196" customFormat="1">
      <c r="AB1948" s="201"/>
      <c r="AC1948" s="201"/>
      <c r="AD1948" s="197"/>
      <c r="AE1948" s="197"/>
      <c r="AF1948" s="197"/>
      <c r="AG1948" s="197"/>
      <c r="AH1948" s="197"/>
      <c r="AI1948" s="197"/>
      <c r="AJ1948" s="197"/>
      <c r="AK1948" s="197"/>
      <c r="AL1948" s="197"/>
      <c r="AM1948" s="197"/>
      <c r="AN1948" s="197"/>
      <c r="AO1948" s="197"/>
      <c r="AP1948" s="197"/>
      <c r="AQ1948" s="197"/>
      <c r="AR1948" s="197"/>
      <c r="AS1948" s="197"/>
      <c r="AT1948" s="197"/>
      <c r="AU1948" s="197"/>
      <c r="AV1948" s="197"/>
      <c r="AW1948" s="197"/>
    </row>
    <row r="1949" spans="28:49" s="196" customFormat="1">
      <c r="AB1949" s="201"/>
      <c r="AC1949" s="201"/>
      <c r="AD1949" s="197"/>
      <c r="AE1949" s="197"/>
      <c r="AF1949" s="197"/>
      <c r="AG1949" s="197"/>
      <c r="AH1949" s="197"/>
      <c r="AI1949" s="197"/>
      <c r="AJ1949" s="197"/>
      <c r="AK1949" s="197"/>
      <c r="AL1949" s="197"/>
      <c r="AM1949" s="197"/>
      <c r="AN1949" s="197"/>
      <c r="AO1949" s="197"/>
      <c r="AP1949" s="197"/>
      <c r="AQ1949" s="197"/>
      <c r="AR1949" s="197"/>
      <c r="AS1949" s="197"/>
      <c r="AT1949" s="197"/>
      <c r="AU1949" s="197"/>
      <c r="AV1949" s="197"/>
      <c r="AW1949" s="197"/>
    </row>
    <row r="1950" spans="28:49" s="196" customFormat="1">
      <c r="AB1950" s="201"/>
      <c r="AC1950" s="201"/>
      <c r="AD1950" s="197"/>
      <c r="AE1950" s="197"/>
      <c r="AF1950" s="197"/>
      <c r="AG1950" s="197"/>
      <c r="AH1950" s="197"/>
      <c r="AI1950" s="197"/>
      <c r="AJ1950" s="197"/>
      <c r="AK1950" s="197"/>
      <c r="AL1950" s="197"/>
      <c r="AM1950" s="197"/>
      <c r="AN1950" s="197"/>
      <c r="AO1950" s="197"/>
      <c r="AP1950" s="197"/>
      <c r="AQ1950" s="197"/>
      <c r="AR1950" s="197"/>
      <c r="AS1950" s="197"/>
      <c r="AT1950" s="197"/>
      <c r="AU1950" s="197"/>
      <c r="AV1950" s="197"/>
      <c r="AW1950" s="197"/>
    </row>
    <row r="1951" spans="28:49" s="196" customFormat="1">
      <c r="AB1951" s="201"/>
      <c r="AC1951" s="201"/>
      <c r="AD1951" s="197"/>
      <c r="AE1951" s="197"/>
      <c r="AF1951" s="197"/>
      <c r="AG1951" s="197"/>
      <c r="AH1951" s="197"/>
      <c r="AI1951" s="197"/>
      <c r="AJ1951" s="197"/>
      <c r="AK1951" s="197"/>
      <c r="AL1951" s="197"/>
      <c r="AM1951" s="197"/>
      <c r="AN1951" s="197"/>
      <c r="AO1951" s="197"/>
      <c r="AP1951" s="197"/>
      <c r="AQ1951" s="197"/>
      <c r="AR1951" s="197"/>
      <c r="AS1951" s="197"/>
      <c r="AT1951" s="197"/>
      <c r="AU1951" s="197"/>
      <c r="AV1951" s="197"/>
      <c r="AW1951" s="197"/>
    </row>
    <row r="1952" spans="28:49" s="196" customFormat="1">
      <c r="AB1952" s="201"/>
      <c r="AC1952" s="201"/>
      <c r="AD1952" s="197"/>
      <c r="AE1952" s="197"/>
      <c r="AF1952" s="197"/>
      <c r="AG1952" s="197"/>
      <c r="AH1952" s="197"/>
      <c r="AI1952" s="197"/>
      <c r="AJ1952" s="197"/>
      <c r="AK1952" s="197"/>
      <c r="AL1952" s="197"/>
      <c r="AM1952" s="197"/>
      <c r="AN1952" s="197"/>
      <c r="AO1952" s="197"/>
      <c r="AP1952" s="197"/>
      <c r="AQ1952" s="197"/>
      <c r="AR1952" s="197"/>
      <c r="AS1952" s="197"/>
      <c r="AT1952" s="197"/>
      <c r="AU1952" s="197"/>
      <c r="AV1952" s="197"/>
      <c r="AW1952" s="197"/>
    </row>
    <row r="1953" spans="28:49" s="196" customFormat="1">
      <c r="AB1953" s="201"/>
      <c r="AC1953" s="201"/>
      <c r="AD1953" s="197"/>
      <c r="AE1953" s="197"/>
      <c r="AF1953" s="197"/>
      <c r="AG1953" s="197"/>
      <c r="AH1953" s="197"/>
      <c r="AI1953" s="197"/>
      <c r="AJ1953" s="197"/>
      <c r="AK1953" s="197"/>
      <c r="AL1953" s="197"/>
      <c r="AM1953" s="197"/>
      <c r="AN1953" s="197"/>
      <c r="AO1953" s="197"/>
      <c r="AP1953" s="197"/>
      <c r="AQ1953" s="197"/>
      <c r="AR1953" s="197"/>
      <c r="AS1953" s="197"/>
      <c r="AT1953" s="197"/>
      <c r="AU1953" s="197"/>
      <c r="AV1953" s="197"/>
      <c r="AW1953" s="197"/>
    </row>
    <row r="1954" spans="28:49" s="196" customFormat="1">
      <c r="AB1954" s="201"/>
      <c r="AC1954" s="201"/>
      <c r="AD1954" s="197"/>
      <c r="AE1954" s="197"/>
      <c r="AF1954" s="197"/>
      <c r="AG1954" s="197"/>
      <c r="AH1954" s="197"/>
      <c r="AI1954" s="197"/>
      <c r="AJ1954" s="197"/>
      <c r="AK1954" s="197"/>
      <c r="AL1954" s="197"/>
      <c r="AM1954" s="197"/>
      <c r="AN1954" s="197"/>
      <c r="AO1954" s="197"/>
      <c r="AP1954" s="197"/>
      <c r="AQ1954" s="197"/>
      <c r="AR1954" s="197"/>
      <c r="AS1954" s="197"/>
      <c r="AT1954" s="197"/>
      <c r="AU1954" s="197"/>
      <c r="AV1954" s="197"/>
      <c r="AW1954" s="197"/>
    </row>
    <row r="1955" spans="28:49" s="196" customFormat="1">
      <c r="AB1955" s="201"/>
      <c r="AC1955" s="201"/>
      <c r="AD1955" s="197"/>
      <c r="AE1955" s="197"/>
      <c r="AF1955" s="197"/>
      <c r="AG1955" s="197"/>
      <c r="AH1955" s="197"/>
      <c r="AI1955" s="197"/>
      <c r="AJ1955" s="197"/>
      <c r="AK1955" s="197"/>
      <c r="AL1955" s="197"/>
      <c r="AM1955" s="197"/>
      <c r="AN1955" s="197"/>
      <c r="AO1955" s="197"/>
      <c r="AP1955" s="197"/>
      <c r="AQ1955" s="197"/>
      <c r="AR1955" s="197"/>
      <c r="AS1955" s="197"/>
      <c r="AT1955" s="197"/>
      <c r="AU1955" s="197"/>
      <c r="AV1955" s="197"/>
      <c r="AW1955" s="197"/>
    </row>
    <row r="1956" spans="28:49" s="196" customFormat="1">
      <c r="AB1956" s="201"/>
      <c r="AC1956" s="201"/>
      <c r="AD1956" s="197"/>
      <c r="AE1956" s="197"/>
      <c r="AF1956" s="197"/>
      <c r="AG1956" s="197"/>
      <c r="AH1956" s="197"/>
      <c r="AI1956" s="197"/>
      <c r="AJ1956" s="197"/>
      <c r="AK1956" s="197"/>
      <c r="AL1956" s="197"/>
      <c r="AM1956" s="197"/>
      <c r="AN1956" s="197"/>
      <c r="AO1956" s="197"/>
      <c r="AP1956" s="197"/>
      <c r="AQ1956" s="197"/>
      <c r="AR1956" s="197"/>
      <c r="AS1956" s="197"/>
      <c r="AT1956" s="197"/>
      <c r="AU1956" s="197"/>
      <c r="AV1956" s="197"/>
      <c r="AW1956" s="197"/>
    </row>
    <row r="1957" spans="28:49" s="196" customFormat="1">
      <c r="AB1957" s="201"/>
      <c r="AC1957" s="201"/>
      <c r="AD1957" s="197"/>
      <c r="AE1957" s="197"/>
      <c r="AF1957" s="197"/>
      <c r="AG1957" s="197"/>
      <c r="AH1957" s="197"/>
      <c r="AI1957" s="197"/>
      <c r="AJ1957" s="197"/>
      <c r="AK1957" s="197"/>
      <c r="AL1957" s="197"/>
      <c r="AM1957" s="197"/>
      <c r="AN1957" s="197"/>
      <c r="AO1957" s="197"/>
      <c r="AP1957" s="197"/>
      <c r="AQ1957" s="197"/>
      <c r="AR1957" s="197"/>
      <c r="AS1957" s="197"/>
      <c r="AT1957" s="197"/>
      <c r="AU1957" s="197"/>
      <c r="AV1957" s="197"/>
      <c r="AW1957" s="197"/>
    </row>
    <row r="1958" spans="28:49" s="196" customFormat="1">
      <c r="AB1958" s="201"/>
      <c r="AC1958" s="201"/>
      <c r="AD1958" s="197"/>
      <c r="AE1958" s="197"/>
      <c r="AF1958" s="197"/>
      <c r="AG1958" s="197"/>
      <c r="AH1958" s="197"/>
      <c r="AI1958" s="197"/>
      <c r="AJ1958" s="197"/>
      <c r="AK1958" s="197"/>
      <c r="AL1958" s="197"/>
      <c r="AM1958" s="197"/>
      <c r="AN1958" s="197"/>
      <c r="AO1958" s="197"/>
      <c r="AP1958" s="197"/>
      <c r="AQ1958" s="197"/>
      <c r="AR1958" s="197"/>
      <c r="AS1958" s="197"/>
      <c r="AT1958" s="197"/>
      <c r="AU1958" s="197"/>
      <c r="AV1958" s="197"/>
      <c r="AW1958" s="197"/>
    </row>
    <row r="1959" spans="28:49" s="196" customFormat="1">
      <c r="AB1959" s="201"/>
      <c r="AC1959" s="201"/>
      <c r="AD1959" s="197"/>
      <c r="AE1959" s="197"/>
      <c r="AF1959" s="197"/>
      <c r="AG1959" s="197"/>
      <c r="AH1959" s="197"/>
      <c r="AI1959" s="197"/>
      <c r="AJ1959" s="197"/>
      <c r="AK1959" s="197"/>
      <c r="AL1959" s="197"/>
      <c r="AM1959" s="197"/>
      <c r="AN1959" s="197"/>
      <c r="AO1959" s="197"/>
      <c r="AP1959" s="197"/>
      <c r="AQ1959" s="197"/>
      <c r="AR1959" s="197"/>
      <c r="AS1959" s="197"/>
      <c r="AT1959" s="197"/>
      <c r="AU1959" s="197"/>
      <c r="AV1959" s="197"/>
      <c r="AW1959" s="197"/>
    </row>
    <row r="1960" spans="28:49" s="196" customFormat="1">
      <c r="AB1960" s="201"/>
      <c r="AC1960" s="201"/>
      <c r="AD1960" s="197"/>
      <c r="AE1960" s="197"/>
      <c r="AF1960" s="197"/>
      <c r="AG1960" s="197"/>
      <c r="AH1960" s="197"/>
      <c r="AI1960" s="197"/>
      <c r="AJ1960" s="197"/>
      <c r="AK1960" s="197"/>
      <c r="AL1960" s="197"/>
      <c r="AM1960" s="197"/>
      <c r="AN1960" s="197"/>
      <c r="AO1960" s="197"/>
      <c r="AP1960" s="197"/>
      <c r="AQ1960" s="197"/>
      <c r="AR1960" s="197"/>
      <c r="AS1960" s="197"/>
      <c r="AT1960" s="197"/>
      <c r="AU1960" s="197"/>
      <c r="AV1960" s="197"/>
      <c r="AW1960" s="197"/>
    </row>
    <row r="1961" spans="28:49" s="196" customFormat="1">
      <c r="AB1961" s="201"/>
      <c r="AC1961" s="201"/>
      <c r="AD1961" s="197"/>
      <c r="AE1961" s="197"/>
      <c r="AF1961" s="197"/>
      <c r="AG1961" s="197"/>
      <c r="AH1961" s="197"/>
      <c r="AI1961" s="197"/>
      <c r="AJ1961" s="197"/>
      <c r="AK1961" s="197"/>
      <c r="AL1961" s="197"/>
      <c r="AM1961" s="197"/>
      <c r="AN1961" s="197"/>
      <c r="AO1961" s="197"/>
      <c r="AP1961" s="197"/>
      <c r="AQ1961" s="197"/>
      <c r="AR1961" s="197"/>
      <c r="AS1961" s="197"/>
      <c r="AT1961" s="197"/>
      <c r="AU1961" s="197"/>
      <c r="AV1961" s="197"/>
      <c r="AW1961" s="197"/>
    </row>
    <row r="1962" spans="28:49" s="196" customFormat="1">
      <c r="AB1962" s="201"/>
      <c r="AC1962" s="201"/>
      <c r="AD1962" s="197"/>
      <c r="AE1962" s="197"/>
      <c r="AF1962" s="197"/>
      <c r="AG1962" s="197"/>
      <c r="AH1962" s="197"/>
      <c r="AI1962" s="197"/>
      <c r="AJ1962" s="197"/>
      <c r="AK1962" s="197"/>
      <c r="AL1962" s="197"/>
      <c r="AM1962" s="197"/>
      <c r="AN1962" s="197"/>
      <c r="AO1962" s="197"/>
      <c r="AP1962" s="197"/>
      <c r="AQ1962" s="197"/>
      <c r="AR1962" s="197"/>
      <c r="AS1962" s="197"/>
      <c r="AT1962" s="197"/>
      <c r="AU1962" s="197"/>
      <c r="AV1962" s="197"/>
      <c r="AW1962" s="197"/>
    </row>
    <row r="1963" spans="28:49" s="196" customFormat="1">
      <c r="AB1963" s="201"/>
      <c r="AC1963" s="201"/>
      <c r="AD1963" s="197"/>
      <c r="AE1963" s="197"/>
      <c r="AF1963" s="197"/>
      <c r="AG1963" s="197"/>
      <c r="AH1963" s="197"/>
      <c r="AI1963" s="197"/>
      <c r="AJ1963" s="197"/>
      <c r="AK1963" s="197"/>
      <c r="AL1963" s="197"/>
      <c r="AM1963" s="197"/>
      <c r="AN1963" s="197"/>
      <c r="AO1963" s="197"/>
      <c r="AP1963" s="197"/>
      <c r="AQ1963" s="197"/>
      <c r="AR1963" s="197"/>
      <c r="AS1963" s="197"/>
      <c r="AT1963" s="197"/>
      <c r="AU1963" s="197"/>
      <c r="AV1963" s="197"/>
      <c r="AW1963" s="197"/>
    </row>
    <row r="1964" spans="28:49" s="196" customFormat="1">
      <c r="AB1964" s="201"/>
      <c r="AC1964" s="201"/>
      <c r="AD1964" s="197"/>
      <c r="AE1964" s="197"/>
      <c r="AF1964" s="197"/>
      <c r="AG1964" s="197"/>
      <c r="AH1964" s="197"/>
      <c r="AI1964" s="197"/>
      <c r="AJ1964" s="197"/>
      <c r="AK1964" s="197"/>
      <c r="AL1964" s="197"/>
      <c r="AM1964" s="197"/>
      <c r="AN1964" s="197"/>
      <c r="AO1964" s="197"/>
      <c r="AP1964" s="197"/>
      <c r="AQ1964" s="197"/>
      <c r="AR1964" s="197"/>
      <c r="AS1964" s="197"/>
      <c r="AT1964" s="197"/>
      <c r="AU1964" s="197"/>
      <c r="AV1964" s="197"/>
      <c r="AW1964" s="197"/>
    </row>
    <row r="1965" spans="28:49" s="196" customFormat="1">
      <c r="AB1965" s="201"/>
      <c r="AC1965" s="201"/>
      <c r="AD1965" s="197"/>
      <c r="AE1965" s="197"/>
      <c r="AF1965" s="197"/>
      <c r="AG1965" s="197"/>
      <c r="AH1965" s="197"/>
      <c r="AI1965" s="197"/>
      <c r="AJ1965" s="197"/>
      <c r="AK1965" s="197"/>
      <c r="AL1965" s="197"/>
      <c r="AM1965" s="197"/>
      <c r="AN1965" s="197"/>
      <c r="AO1965" s="197"/>
      <c r="AP1965" s="197"/>
      <c r="AQ1965" s="197"/>
      <c r="AR1965" s="197"/>
      <c r="AS1965" s="197"/>
      <c r="AT1965" s="197"/>
      <c r="AU1965" s="197"/>
      <c r="AV1965" s="197"/>
      <c r="AW1965" s="197"/>
    </row>
    <row r="1966" spans="28:49" s="196" customFormat="1">
      <c r="AB1966" s="201"/>
      <c r="AC1966" s="201"/>
      <c r="AD1966" s="197"/>
      <c r="AE1966" s="197"/>
      <c r="AF1966" s="197"/>
      <c r="AG1966" s="197"/>
      <c r="AH1966" s="197"/>
      <c r="AI1966" s="197"/>
      <c r="AJ1966" s="197"/>
      <c r="AK1966" s="197"/>
      <c r="AL1966" s="197"/>
      <c r="AM1966" s="197"/>
      <c r="AN1966" s="197"/>
      <c r="AO1966" s="197"/>
      <c r="AP1966" s="197"/>
      <c r="AQ1966" s="197"/>
      <c r="AR1966" s="197"/>
      <c r="AS1966" s="197"/>
      <c r="AT1966" s="197"/>
      <c r="AU1966" s="197"/>
      <c r="AV1966" s="197"/>
      <c r="AW1966" s="197"/>
    </row>
    <row r="1967" spans="28:49" s="196" customFormat="1">
      <c r="AB1967" s="201"/>
      <c r="AC1967" s="201"/>
      <c r="AD1967" s="197"/>
      <c r="AE1967" s="197"/>
      <c r="AF1967" s="197"/>
      <c r="AG1967" s="197"/>
      <c r="AH1967" s="197"/>
      <c r="AI1967" s="197"/>
      <c r="AJ1967" s="197"/>
      <c r="AK1967" s="197"/>
      <c r="AL1967" s="197"/>
      <c r="AM1967" s="197"/>
      <c r="AN1967" s="197"/>
      <c r="AO1967" s="197"/>
      <c r="AP1967" s="197"/>
      <c r="AQ1967" s="197"/>
      <c r="AR1967" s="197"/>
      <c r="AS1967" s="197"/>
      <c r="AT1967" s="197"/>
      <c r="AU1967" s="197"/>
      <c r="AV1967" s="197"/>
      <c r="AW1967" s="197"/>
    </row>
    <row r="1968" spans="28:49" s="196" customFormat="1">
      <c r="AB1968" s="201"/>
      <c r="AC1968" s="201"/>
      <c r="AD1968" s="197"/>
      <c r="AE1968" s="197"/>
      <c r="AF1968" s="197"/>
      <c r="AG1968" s="197"/>
      <c r="AH1968" s="197"/>
      <c r="AI1968" s="197"/>
      <c r="AJ1968" s="197"/>
      <c r="AK1968" s="197"/>
      <c r="AL1968" s="197"/>
      <c r="AM1968" s="197"/>
      <c r="AN1968" s="197"/>
      <c r="AO1968" s="197"/>
      <c r="AP1968" s="197"/>
      <c r="AQ1968" s="197"/>
      <c r="AR1968" s="197"/>
      <c r="AS1968" s="197"/>
      <c r="AT1968" s="197"/>
      <c r="AU1968" s="197"/>
      <c r="AV1968" s="197"/>
      <c r="AW1968" s="197"/>
    </row>
    <row r="1969" spans="28:49" s="196" customFormat="1">
      <c r="AB1969" s="201"/>
      <c r="AC1969" s="201"/>
      <c r="AD1969" s="197"/>
      <c r="AE1969" s="197"/>
      <c r="AF1969" s="197"/>
      <c r="AG1969" s="197"/>
      <c r="AH1969" s="197"/>
      <c r="AI1969" s="197"/>
      <c r="AJ1969" s="197"/>
      <c r="AK1969" s="197"/>
      <c r="AL1969" s="197"/>
      <c r="AM1969" s="197"/>
      <c r="AN1969" s="197"/>
      <c r="AO1969" s="197"/>
      <c r="AP1969" s="197"/>
      <c r="AQ1969" s="197"/>
      <c r="AR1969" s="197"/>
      <c r="AS1969" s="197"/>
      <c r="AT1969" s="197"/>
      <c r="AU1969" s="197"/>
      <c r="AV1969" s="197"/>
      <c r="AW1969" s="197"/>
    </row>
    <row r="1970" spans="28:49" s="196" customFormat="1">
      <c r="AB1970" s="201"/>
      <c r="AC1970" s="201"/>
      <c r="AD1970" s="197"/>
      <c r="AE1970" s="197"/>
      <c r="AF1970" s="197"/>
      <c r="AG1970" s="197"/>
      <c r="AH1970" s="197"/>
      <c r="AI1970" s="197"/>
      <c r="AJ1970" s="197"/>
      <c r="AK1970" s="197"/>
      <c r="AL1970" s="197"/>
      <c r="AM1970" s="197"/>
      <c r="AN1970" s="197"/>
      <c r="AO1970" s="197"/>
      <c r="AP1970" s="197"/>
      <c r="AQ1970" s="197"/>
      <c r="AR1970" s="197"/>
      <c r="AS1970" s="197"/>
      <c r="AT1970" s="197"/>
      <c r="AU1970" s="197"/>
      <c r="AV1970" s="197"/>
      <c r="AW1970" s="197"/>
    </row>
    <row r="1971" spans="28:49" s="196" customFormat="1">
      <c r="AB1971" s="201"/>
      <c r="AC1971" s="201"/>
      <c r="AD1971" s="197"/>
      <c r="AE1971" s="197"/>
      <c r="AF1971" s="197"/>
      <c r="AG1971" s="197"/>
      <c r="AH1971" s="197"/>
      <c r="AI1971" s="197"/>
      <c r="AJ1971" s="197"/>
      <c r="AK1971" s="197"/>
      <c r="AL1971" s="197"/>
      <c r="AM1971" s="197"/>
      <c r="AN1971" s="197"/>
      <c r="AO1971" s="197"/>
      <c r="AP1971" s="197"/>
      <c r="AQ1971" s="197"/>
      <c r="AR1971" s="197"/>
      <c r="AS1971" s="197"/>
      <c r="AT1971" s="197"/>
      <c r="AU1971" s="197"/>
      <c r="AV1971" s="197"/>
      <c r="AW1971" s="197"/>
    </row>
    <row r="1972" spans="28:49" s="196" customFormat="1">
      <c r="AB1972" s="201"/>
      <c r="AC1972" s="201"/>
      <c r="AD1972" s="197"/>
      <c r="AE1972" s="197"/>
      <c r="AF1972" s="197"/>
      <c r="AG1972" s="197"/>
      <c r="AH1972" s="197"/>
      <c r="AI1972" s="197"/>
      <c r="AJ1972" s="197"/>
      <c r="AK1972" s="197"/>
      <c r="AL1972" s="197"/>
      <c r="AM1972" s="197"/>
      <c r="AN1972" s="197"/>
      <c r="AO1972" s="197"/>
      <c r="AP1972" s="197"/>
      <c r="AQ1972" s="197"/>
      <c r="AR1972" s="197"/>
      <c r="AS1972" s="197"/>
      <c r="AT1972" s="197"/>
      <c r="AU1972" s="197"/>
      <c r="AV1972" s="197"/>
      <c r="AW1972" s="197"/>
    </row>
    <row r="1973" spans="28:49" s="196" customFormat="1">
      <c r="AB1973" s="201"/>
      <c r="AC1973" s="201"/>
      <c r="AD1973" s="197"/>
      <c r="AE1973" s="197"/>
      <c r="AF1973" s="197"/>
      <c r="AG1973" s="197"/>
      <c r="AH1973" s="197"/>
      <c r="AI1973" s="197"/>
      <c r="AJ1973" s="197"/>
      <c r="AK1973" s="197"/>
      <c r="AL1973" s="197"/>
      <c r="AM1973" s="197"/>
      <c r="AN1973" s="197"/>
      <c r="AO1973" s="197"/>
      <c r="AP1973" s="197"/>
      <c r="AQ1973" s="197"/>
      <c r="AR1973" s="197"/>
      <c r="AS1973" s="197"/>
      <c r="AT1973" s="197"/>
      <c r="AU1973" s="197"/>
      <c r="AV1973" s="197"/>
      <c r="AW1973" s="197"/>
    </row>
    <row r="1974" spans="28:49" s="196" customFormat="1">
      <c r="AB1974" s="201"/>
      <c r="AC1974" s="201"/>
      <c r="AD1974" s="197"/>
      <c r="AE1974" s="197"/>
      <c r="AF1974" s="197"/>
      <c r="AG1974" s="197"/>
      <c r="AH1974" s="197"/>
      <c r="AI1974" s="197"/>
      <c r="AJ1974" s="197"/>
      <c r="AK1974" s="197"/>
      <c r="AL1974" s="197"/>
      <c r="AM1974" s="197"/>
      <c r="AN1974" s="197"/>
      <c r="AO1974" s="197"/>
      <c r="AP1974" s="197"/>
      <c r="AQ1974" s="197"/>
      <c r="AR1974" s="197"/>
      <c r="AS1974" s="197"/>
      <c r="AT1974" s="197"/>
      <c r="AU1974" s="197"/>
      <c r="AV1974" s="197"/>
      <c r="AW1974" s="197"/>
    </row>
    <row r="1975" spans="28:49" s="196" customFormat="1">
      <c r="AB1975" s="201"/>
      <c r="AC1975" s="201"/>
      <c r="AD1975" s="197"/>
      <c r="AE1975" s="197"/>
      <c r="AF1975" s="197"/>
      <c r="AG1975" s="197"/>
      <c r="AH1975" s="197"/>
      <c r="AI1975" s="197"/>
      <c r="AJ1975" s="197"/>
      <c r="AK1975" s="197"/>
      <c r="AL1975" s="197"/>
      <c r="AM1975" s="197"/>
      <c r="AN1975" s="197"/>
      <c r="AO1975" s="197"/>
      <c r="AP1975" s="197"/>
      <c r="AQ1975" s="197"/>
      <c r="AR1975" s="197"/>
      <c r="AS1975" s="197"/>
      <c r="AT1975" s="197"/>
      <c r="AU1975" s="197"/>
      <c r="AV1975" s="197"/>
      <c r="AW1975" s="197"/>
    </row>
    <row r="1976" spans="28:49" s="196" customFormat="1">
      <c r="AB1976" s="201"/>
      <c r="AC1976" s="201"/>
      <c r="AD1976" s="197"/>
      <c r="AE1976" s="197"/>
      <c r="AF1976" s="197"/>
      <c r="AG1976" s="197"/>
      <c r="AH1976" s="197"/>
      <c r="AI1976" s="197"/>
      <c r="AJ1976" s="197"/>
      <c r="AK1976" s="197"/>
      <c r="AL1976" s="197"/>
      <c r="AM1976" s="197"/>
      <c r="AN1976" s="197"/>
      <c r="AO1976" s="197"/>
      <c r="AP1976" s="197"/>
      <c r="AQ1976" s="197"/>
      <c r="AR1976" s="197"/>
      <c r="AS1976" s="197"/>
      <c r="AT1976" s="197"/>
      <c r="AU1976" s="197"/>
      <c r="AV1976" s="197"/>
      <c r="AW1976" s="197"/>
    </row>
    <row r="1977" spans="28:49" s="196" customFormat="1">
      <c r="AB1977" s="201"/>
      <c r="AC1977" s="201"/>
      <c r="AD1977" s="197"/>
      <c r="AE1977" s="197"/>
      <c r="AF1977" s="197"/>
      <c r="AG1977" s="197"/>
      <c r="AH1977" s="197"/>
      <c r="AI1977" s="197"/>
      <c r="AJ1977" s="197"/>
      <c r="AK1977" s="197"/>
      <c r="AL1977" s="197"/>
      <c r="AM1977" s="197"/>
      <c r="AN1977" s="197"/>
      <c r="AO1977" s="197"/>
      <c r="AP1977" s="197"/>
      <c r="AQ1977" s="197"/>
      <c r="AR1977" s="197"/>
      <c r="AS1977" s="197"/>
      <c r="AT1977" s="197"/>
      <c r="AU1977" s="197"/>
      <c r="AV1977" s="197"/>
      <c r="AW1977" s="197"/>
    </row>
    <row r="1978" spans="28:49" s="196" customFormat="1">
      <c r="AB1978" s="201"/>
      <c r="AC1978" s="201"/>
      <c r="AD1978" s="197"/>
      <c r="AE1978" s="197"/>
      <c r="AF1978" s="197"/>
      <c r="AG1978" s="197"/>
      <c r="AH1978" s="197"/>
      <c r="AI1978" s="197"/>
      <c r="AJ1978" s="197"/>
      <c r="AK1978" s="197"/>
      <c r="AL1978" s="197"/>
      <c r="AM1978" s="197"/>
      <c r="AN1978" s="197"/>
      <c r="AO1978" s="197"/>
      <c r="AP1978" s="197"/>
      <c r="AQ1978" s="197"/>
      <c r="AR1978" s="197"/>
      <c r="AS1978" s="197"/>
      <c r="AT1978" s="197"/>
      <c r="AU1978" s="197"/>
      <c r="AV1978" s="197"/>
      <c r="AW1978" s="197"/>
    </row>
    <row r="1979" spans="28:49" s="196" customFormat="1">
      <c r="AB1979" s="201"/>
      <c r="AC1979" s="201"/>
      <c r="AD1979" s="197"/>
      <c r="AE1979" s="197"/>
      <c r="AF1979" s="197"/>
      <c r="AG1979" s="197"/>
      <c r="AH1979" s="197"/>
      <c r="AI1979" s="197"/>
      <c r="AJ1979" s="197"/>
      <c r="AK1979" s="197"/>
      <c r="AL1979" s="197"/>
      <c r="AM1979" s="197"/>
      <c r="AN1979" s="197"/>
      <c r="AO1979" s="197"/>
      <c r="AP1979" s="197"/>
      <c r="AQ1979" s="197"/>
      <c r="AR1979" s="197"/>
      <c r="AS1979" s="197"/>
      <c r="AT1979" s="197"/>
      <c r="AU1979" s="197"/>
      <c r="AV1979" s="197"/>
      <c r="AW1979" s="197"/>
    </row>
    <row r="1980" spans="28:49" s="196" customFormat="1">
      <c r="AB1980" s="201"/>
      <c r="AC1980" s="201"/>
      <c r="AD1980" s="197"/>
      <c r="AE1980" s="197"/>
      <c r="AF1980" s="197"/>
      <c r="AG1980" s="197"/>
      <c r="AH1980" s="197"/>
      <c r="AI1980" s="197"/>
      <c r="AJ1980" s="197"/>
      <c r="AK1980" s="197"/>
      <c r="AL1980" s="197"/>
      <c r="AM1980" s="197"/>
      <c r="AN1980" s="197"/>
      <c r="AO1980" s="197"/>
      <c r="AP1980" s="197"/>
      <c r="AQ1980" s="197"/>
      <c r="AR1980" s="197"/>
      <c r="AS1980" s="197"/>
      <c r="AT1980" s="197"/>
      <c r="AU1980" s="197"/>
      <c r="AV1980" s="197"/>
      <c r="AW1980" s="197"/>
    </row>
    <row r="1981" spans="28:49" s="196" customFormat="1">
      <c r="AB1981" s="201"/>
      <c r="AC1981" s="201"/>
      <c r="AD1981" s="197"/>
      <c r="AE1981" s="197"/>
      <c r="AF1981" s="197"/>
      <c r="AG1981" s="197"/>
      <c r="AH1981" s="197"/>
      <c r="AI1981" s="197"/>
      <c r="AJ1981" s="197"/>
      <c r="AK1981" s="197"/>
      <c r="AL1981" s="197"/>
      <c r="AM1981" s="197"/>
      <c r="AN1981" s="197"/>
      <c r="AO1981" s="197"/>
      <c r="AP1981" s="197"/>
      <c r="AQ1981" s="197"/>
      <c r="AR1981" s="197"/>
      <c r="AS1981" s="197"/>
      <c r="AT1981" s="197"/>
      <c r="AU1981" s="197"/>
      <c r="AV1981" s="197"/>
      <c r="AW1981" s="197"/>
    </row>
    <row r="1982" spans="28:49" s="196" customFormat="1">
      <c r="AB1982" s="201"/>
      <c r="AC1982" s="201"/>
      <c r="AD1982" s="197"/>
      <c r="AE1982" s="197"/>
      <c r="AF1982" s="197"/>
      <c r="AG1982" s="197"/>
      <c r="AH1982" s="197"/>
      <c r="AI1982" s="197"/>
      <c r="AJ1982" s="197"/>
      <c r="AK1982" s="197"/>
      <c r="AL1982" s="197"/>
      <c r="AM1982" s="197"/>
      <c r="AN1982" s="197"/>
      <c r="AO1982" s="197"/>
      <c r="AP1982" s="197"/>
      <c r="AQ1982" s="197"/>
      <c r="AR1982" s="197"/>
      <c r="AS1982" s="197"/>
      <c r="AT1982" s="197"/>
      <c r="AU1982" s="197"/>
      <c r="AV1982" s="197"/>
      <c r="AW1982" s="197"/>
    </row>
    <row r="1983" spans="28:49" s="196" customFormat="1">
      <c r="AB1983" s="201"/>
      <c r="AC1983" s="201"/>
      <c r="AD1983" s="197"/>
      <c r="AE1983" s="197"/>
      <c r="AF1983" s="197"/>
      <c r="AG1983" s="197"/>
      <c r="AH1983" s="197"/>
      <c r="AI1983" s="197"/>
      <c r="AJ1983" s="197"/>
      <c r="AK1983" s="197"/>
      <c r="AL1983" s="197"/>
      <c r="AM1983" s="197"/>
      <c r="AN1983" s="197"/>
      <c r="AO1983" s="197"/>
      <c r="AP1983" s="197"/>
      <c r="AQ1983" s="197"/>
      <c r="AR1983" s="197"/>
      <c r="AS1983" s="197"/>
      <c r="AT1983" s="197"/>
      <c r="AU1983" s="197"/>
      <c r="AV1983" s="197"/>
      <c r="AW1983" s="197"/>
    </row>
    <row r="1984" spans="28:49" s="196" customFormat="1">
      <c r="AB1984" s="201"/>
      <c r="AC1984" s="201"/>
      <c r="AD1984" s="197"/>
      <c r="AE1984" s="197"/>
      <c r="AF1984" s="197"/>
      <c r="AG1984" s="197"/>
      <c r="AH1984" s="197"/>
      <c r="AI1984" s="197"/>
      <c r="AJ1984" s="197"/>
      <c r="AK1984" s="197"/>
      <c r="AL1984" s="197"/>
      <c r="AM1984" s="197"/>
      <c r="AN1984" s="197"/>
      <c r="AO1984" s="197"/>
      <c r="AP1984" s="197"/>
      <c r="AQ1984" s="197"/>
      <c r="AR1984" s="197"/>
      <c r="AS1984" s="197"/>
      <c r="AT1984" s="197"/>
      <c r="AU1984" s="197"/>
      <c r="AV1984" s="197"/>
      <c r="AW1984" s="197"/>
    </row>
    <row r="1985" spans="28:49" s="196" customFormat="1">
      <c r="AB1985" s="201"/>
      <c r="AC1985" s="201"/>
      <c r="AD1985" s="197"/>
      <c r="AE1985" s="197"/>
      <c r="AF1985" s="197"/>
      <c r="AG1985" s="197"/>
      <c r="AH1985" s="197"/>
      <c r="AI1985" s="197"/>
      <c r="AJ1985" s="197"/>
      <c r="AK1985" s="197"/>
      <c r="AL1985" s="197"/>
      <c r="AM1985" s="197"/>
      <c r="AN1985" s="197"/>
      <c r="AO1985" s="197"/>
      <c r="AP1985" s="197"/>
      <c r="AQ1985" s="197"/>
      <c r="AR1985" s="197"/>
      <c r="AS1985" s="197"/>
      <c r="AT1985" s="197"/>
      <c r="AU1985" s="197"/>
      <c r="AV1985" s="197"/>
      <c r="AW1985" s="197"/>
    </row>
    <row r="1986" spans="28:49" s="196" customFormat="1">
      <c r="AB1986" s="201"/>
      <c r="AC1986" s="201"/>
      <c r="AD1986" s="197"/>
      <c r="AE1986" s="197"/>
      <c r="AF1986" s="197"/>
      <c r="AG1986" s="197"/>
      <c r="AH1986" s="197"/>
      <c r="AI1986" s="197"/>
      <c r="AJ1986" s="197"/>
      <c r="AK1986" s="197"/>
      <c r="AL1986" s="197"/>
      <c r="AM1986" s="197"/>
      <c r="AN1986" s="197"/>
      <c r="AO1986" s="197"/>
      <c r="AP1986" s="197"/>
      <c r="AQ1986" s="197"/>
      <c r="AR1986" s="197"/>
      <c r="AS1986" s="197"/>
      <c r="AT1986" s="197"/>
      <c r="AU1986" s="197"/>
      <c r="AV1986" s="197"/>
      <c r="AW1986" s="197"/>
    </row>
    <row r="1987" spans="28:49" s="196" customFormat="1">
      <c r="AB1987" s="201"/>
      <c r="AC1987" s="201"/>
      <c r="AD1987" s="197"/>
      <c r="AE1987" s="197"/>
      <c r="AF1987" s="197"/>
      <c r="AG1987" s="197"/>
      <c r="AH1987" s="197"/>
      <c r="AI1987" s="197"/>
      <c r="AJ1987" s="197"/>
      <c r="AK1987" s="197"/>
      <c r="AL1987" s="197"/>
      <c r="AM1987" s="197"/>
      <c r="AN1987" s="197"/>
      <c r="AO1987" s="197"/>
      <c r="AP1987" s="197"/>
      <c r="AQ1987" s="197"/>
      <c r="AR1987" s="197"/>
      <c r="AS1987" s="197"/>
      <c r="AT1987" s="197"/>
      <c r="AU1987" s="197"/>
      <c r="AV1987" s="197"/>
      <c r="AW1987" s="197"/>
    </row>
    <row r="1988" spans="28:49" s="196" customFormat="1">
      <c r="AB1988" s="201"/>
      <c r="AC1988" s="201"/>
      <c r="AD1988" s="197"/>
      <c r="AE1988" s="197"/>
      <c r="AF1988" s="197"/>
      <c r="AG1988" s="197"/>
      <c r="AH1988" s="197"/>
      <c r="AI1988" s="197"/>
      <c r="AJ1988" s="197"/>
      <c r="AK1988" s="197"/>
      <c r="AL1988" s="197"/>
      <c r="AM1988" s="197"/>
      <c r="AN1988" s="197"/>
      <c r="AO1988" s="197"/>
      <c r="AP1988" s="197"/>
      <c r="AQ1988" s="197"/>
      <c r="AR1988" s="197"/>
      <c r="AS1988" s="197"/>
      <c r="AT1988" s="197"/>
      <c r="AU1988" s="197"/>
      <c r="AV1988" s="197"/>
      <c r="AW1988" s="197"/>
    </row>
    <row r="1989" spans="28:49" s="196" customFormat="1">
      <c r="AB1989" s="201"/>
      <c r="AC1989" s="201"/>
      <c r="AD1989" s="197"/>
      <c r="AE1989" s="197"/>
      <c r="AF1989" s="197"/>
      <c r="AG1989" s="197"/>
      <c r="AH1989" s="197"/>
      <c r="AI1989" s="197"/>
      <c r="AJ1989" s="197"/>
      <c r="AK1989" s="197"/>
      <c r="AL1989" s="197"/>
      <c r="AM1989" s="197"/>
      <c r="AN1989" s="197"/>
      <c r="AO1989" s="197"/>
      <c r="AP1989" s="197"/>
      <c r="AQ1989" s="197"/>
      <c r="AR1989" s="197"/>
      <c r="AS1989" s="197"/>
      <c r="AT1989" s="197"/>
      <c r="AU1989" s="197"/>
      <c r="AV1989" s="197"/>
      <c r="AW1989" s="197"/>
    </row>
    <row r="1990" spans="28:49" s="196" customFormat="1">
      <c r="AB1990" s="201"/>
      <c r="AC1990" s="201"/>
      <c r="AD1990" s="197"/>
      <c r="AE1990" s="197"/>
      <c r="AF1990" s="197"/>
      <c r="AG1990" s="197"/>
      <c r="AH1990" s="197"/>
      <c r="AI1990" s="197"/>
      <c r="AJ1990" s="197"/>
      <c r="AK1990" s="197"/>
      <c r="AL1990" s="197"/>
      <c r="AM1990" s="197"/>
      <c r="AN1990" s="197"/>
      <c r="AO1990" s="197"/>
      <c r="AP1990" s="197"/>
      <c r="AQ1990" s="197"/>
      <c r="AR1990" s="197"/>
      <c r="AS1990" s="197"/>
      <c r="AT1990" s="197"/>
      <c r="AU1990" s="197"/>
      <c r="AV1990" s="197"/>
      <c r="AW1990" s="197"/>
    </row>
    <row r="1991" spans="28:49" s="196" customFormat="1">
      <c r="AB1991" s="201"/>
      <c r="AC1991" s="201"/>
      <c r="AD1991" s="197"/>
      <c r="AE1991" s="197"/>
      <c r="AF1991" s="197"/>
      <c r="AG1991" s="197"/>
      <c r="AH1991" s="197"/>
      <c r="AI1991" s="197"/>
      <c r="AJ1991" s="197"/>
      <c r="AK1991" s="197"/>
      <c r="AL1991" s="197"/>
      <c r="AM1991" s="197"/>
      <c r="AN1991" s="197"/>
      <c r="AO1991" s="197"/>
      <c r="AP1991" s="197"/>
      <c r="AQ1991" s="197"/>
      <c r="AR1991" s="197"/>
      <c r="AS1991" s="197"/>
      <c r="AT1991" s="197"/>
      <c r="AU1991" s="197"/>
      <c r="AV1991" s="197"/>
      <c r="AW1991" s="197"/>
    </row>
    <row r="1992" spans="28:49" s="196" customFormat="1">
      <c r="AB1992" s="201"/>
      <c r="AC1992" s="201"/>
      <c r="AD1992" s="197"/>
      <c r="AE1992" s="197"/>
      <c r="AF1992" s="197"/>
      <c r="AG1992" s="197"/>
      <c r="AH1992" s="197"/>
      <c r="AI1992" s="197"/>
      <c r="AJ1992" s="197"/>
      <c r="AK1992" s="197"/>
      <c r="AL1992" s="197"/>
      <c r="AM1992" s="197"/>
      <c r="AN1992" s="197"/>
      <c r="AO1992" s="197"/>
      <c r="AP1992" s="197"/>
      <c r="AQ1992" s="197"/>
      <c r="AR1992" s="197"/>
      <c r="AS1992" s="197"/>
      <c r="AT1992" s="197"/>
      <c r="AU1992" s="197"/>
      <c r="AV1992" s="197"/>
      <c r="AW1992" s="197"/>
    </row>
    <row r="1993" spans="28:49" s="196" customFormat="1">
      <c r="AB1993" s="201"/>
      <c r="AC1993" s="201"/>
      <c r="AD1993" s="197"/>
      <c r="AE1993" s="197"/>
      <c r="AF1993" s="197"/>
      <c r="AG1993" s="197"/>
      <c r="AH1993" s="197"/>
      <c r="AI1993" s="197"/>
      <c r="AJ1993" s="197"/>
      <c r="AK1993" s="197"/>
      <c r="AL1993" s="197"/>
      <c r="AM1993" s="197"/>
      <c r="AN1993" s="197"/>
      <c r="AO1993" s="197"/>
      <c r="AP1993" s="197"/>
      <c r="AQ1993" s="197"/>
      <c r="AR1993" s="197"/>
      <c r="AS1993" s="197"/>
      <c r="AT1993" s="197"/>
      <c r="AU1993" s="197"/>
      <c r="AV1993" s="197"/>
      <c r="AW1993" s="197"/>
    </row>
    <row r="1994" spans="28:49" s="196" customFormat="1">
      <c r="AB1994" s="201"/>
      <c r="AC1994" s="201"/>
      <c r="AD1994" s="197"/>
      <c r="AE1994" s="197"/>
      <c r="AF1994" s="197"/>
      <c r="AG1994" s="197"/>
      <c r="AH1994" s="197"/>
      <c r="AI1994" s="197"/>
      <c r="AJ1994" s="197"/>
      <c r="AK1994" s="197"/>
      <c r="AL1994" s="197"/>
      <c r="AM1994" s="197"/>
      <c r="AN1994" s="197"/>
      <c r="AO1994" s="197"/>
      <c r="AP1994" s="197"/>
      <c r="AQ1994" s="197"/>
      <c r="AR1994" s="197"/>
      <c r="AS1994" s="197"/>
      <c r="AT1994" s="197"/>
      <c r="AU1994" s="197"/>
      <c r="AV1994" s="197"/>
      <c r="AW1994" s="197"/>
    </row>
    <row r="1995" spans="28:49" s="196" customFormat="1">
      <c r="AB1995" s="201"/>
      <c r="AC1995" s="201"/>
      <c r="AD1995" s="197"/>
      <c r="AE1995" s="197"/>
      <c r="AF1995" s="197"/>
      <c r="AG1995" s="197"/>
      <c r="AH1995" s="197"/>
      <c r="AI1995" s="197"/>
      <c r="AJ1995" s="197"/>
      <c r="AK1995" s="197"/>
      <c r="AL1995" s="197"/>
      <c r="AM1995" s="197"/>
      <c r="AN1995" s="197"/>
      <c r="AO1995" s="197"/>
      <c r="AP1995" s="197"/>
      <c r="AQ1995" s="197"/>
      <c r="AR1995" s="197"/>
      <c r="AS1995" s="197"/>
      <c r="AT1995" s="197"/>
      <c r="AU1995" s="197"/>
      <c r="AV1995" s="197"/>
      <c r="AW1995" s="197"/>
    </row>
    <row r="1996" spans="28:49" s="196" customFormat="1">
      <c r="AB1996" s="201"/>
      <c r="AC1996" s="201"/>
      <c r="AD1996" s="197"/>
      <c r="AE1996" s="197"/>
      <c r="AF1996" s="197"/>
      <c r="AG1996" s="197"/>
      <c r="AH1996" s="197"/>
      <c r="AI1996" s="197"/>
      <c r="AJ1996" s="197"/>
      <c r="AK1996" s="197"/>
      <c r="AL1996" s="197"/>
      <c r="AM1996" s="197"/>
      <c r="AN1996" s="197"/>
      <c r="AO1996" s="197"/>
      <c r="AP1996" s="197"/>
      <c r="AQ1996" s="197"/>
      <c r="AR1996" s="197"/>
      <c r="AS1996" s="197"/>
      <c r="AT1996" s="197"/>
      <c r="AU1996" s="197"/>
      <c r="AV1996" s="197"/>
      <c r="AW1996" s="197"/>
    </row>
    <row r="1997" spans="28:49" s="196" customFormat="1">
      <c r="AB1997" s="201"/>
      <c r="AC1997" s="201"/>
      <c r="AD1997" s="197"/>
      <c r="AE1997" s="197"/>
      <c r="AF1997" s="197"/>
      <c r="AG1997" s="197"/>
      <c r="AH1997" s="197"/>
      <c r="AI1997" s="197"/>
      <c r="AJ1997" s="197"/>
      <c r="AK1997" s="197"/>
      <c r="AL1997" s="197"/>
      <c r="AM1997" s="197"/>
      <c r="AN1997" s="197"/>
      <c r="AO1997" s="197"/>
      <c r="AP1997" s="197"/>
      <c r="AQ1997" s="197"/>
      <c r="AR1997" s="197"/>
      <c r="AS1997" s="197"/>
      <c r="AT1997" s="197"/>
      <c r="AU1997" s="197"/>
      <c r="AV1997" s="197"/>
      <c r="AW1997" s="197"/>
    </row>
    <row r="1998" spans="28:49" s="196" customFormat="1">
      <c r="AB1998" s="201"/>
      <c r="AC1998" s="201"/>
      <c r="AD1998" s="197"/>
      <c r="AE1998" s="197"/>
      <c r="AF1998" s="197"/>
      <c r="AG1998" s="197"/>
      <c r="AH1998" s="197"/>
      <c r="AI1998" s="197"/>
      <c r="AJ1998" s="197"/>
      <c r="AK1998" s="197"/>
      <c r="AL1998" s="197"/>
      <c r="AM1998" s="197"/>
      <c r="AN1998" s="197"/>
      <c r="AO1998" s="197"/>
      <c r="AP1998" s="197"/>
      <c r="AQ1998" s="197"/>
      <c r="AR1998" s="197"/>
      <c r="AS1998" s="197"/>
      <c r="AT1998" s="197"/>
      <c r="AU1998" s="197"/>
      <c r="AV1998" s="197"/>
      <c r="AW1998" s="197"/>
    </row>
    <row r="1999" spans="28:49" s="196" customFormat="1">
      <c r="AB1999" s="201"/>
      <c r="AC1999" s="201"/>
      <c r="AD1999" s="197"/>
      <c r="AE1999" s="197"/>
      <c r="AF1999" s="197"/>
      <c r="AG1999" s="197"/>
      <c r="AH1999" s="197"/>
      <c r="AI1999" s="197"/>
      <c r="AJ1999" s="197"/>
      <c r="AK1999" s="197"/>
      <c r="AL1999" s="197"/>
      <c r="AM1999" s="197"/>
      <c r="AN1999" s="197"/>
      <c r="AO1999" s="197"/>
      <c r="AP1999" s="197"/>
      <c r="AQ1999" s="197"/>
      <c r="AR1999" s="197"/>
      <c r="AS1999" s="197"/>
      <c r="AT1999" s="197"/>
      <c r="AU1999" s="197"/>
      <c r="AV1999" s="197"/>
      <c r="AW1999" s="197"/>
    </row>
    <row r="2000" spans="28:49" s="196" customFormat="1">
      <c r="AB2000" s="201"/>
      <c r="AC2000" s="201"/>
      <c r="AD2000" s="197"/>
      <c r="AE2000" s="197"/>
      <c r="AF2000" s="197"/>
      <c r="AG2000" s="197"/>
      <c r="AH2000" s="197"/>
      <c r="AI2000" s="197"/>
      <c r="AJ2000" s="197"/>
      <c r="AK2000" s="197"/>
      <c r="AL2000" s="197"/>
      <c r="AM2000" s="197"/>
      <c r="AN2000" s="197"/>
      <c r="AO2000" s="197"/>
      <c r="AP2000" s="197"/>
      <c r="AQ2000" s="197"/>
      <c r="AR2000" s="197"/>
      <c r="AS2000" s="197"/>
      <c r="AT2000" s="197"/>
      <c r="AU2000" s="197"/>
      <c r="AV2000" s="197"/>
      <c r="AW2000" s="197"/>
    </row>
    <row r="2001" spans="28:49" s="196" customFormat="1">
      <c r="AB2001" s="201"/>
      <c r="AC2001" s="201"/>
      <c r="AD2001" s="197"/>
      <c r="AE2001" s="197"/>
      <c r="AF2001" s="197"/>
      <c r="AG2001" s="197"/>
      <c r="AH2001" s="197"/>
      <c r="AI2001" s="197"/>
      <c r="AJ2001" s="197"/>
      <c r="AK2001" s="197"/>
      <c r="AL2001" s="197"/>
      <c r="AM2001" s="197"/>
      <c r="AN2001" s="197"/>
      <c r="AO2001" s="197"/>
      <c r="AP2001" s="197"/>
      <c r="AQ2001" s="197"/>
      <c r="AR2001" s="197"/>
      <c r="AS2001" s="197"/>
      <c r="AT2001" s="197"/>
      <c r="AU2001" s="197"/>
      <c r="AV2001" s="197"/>
      <c r="AW2001" s="197"/>
    </row>
    <row r="2002" spans="28:49" s="196" customFormat="1">
      <c r="AB2002" s="201"/>
      <c r="AC2002" s="201"/>
      <c r="AD2002" s="197"/>
      <c r="AE2002" s="197"/>
      <c r="AF2002" s="197"/>
      <c r="AG2002" s="197"/>
      <c r="AH2002" s="197"/>
      <c r="AI2002" s="197"/>
      <c r="AJ2002" s="197"/>
      <c r="AK2002" s="197"/>
      <c r="AL2002" s="197"/>
      <c r="AM2002" s="197"/>
      <c r="AN2002" s="197"/>
      <c r="AO2002" s="197"/>
      <c r="AP2002" s="197"/>
      <c r="AQ2002" s="197"/>
      <c r="AR2002" s="197"/>
      <c r="AS2002" s="197"/>
      <c r="AT2002" s="197"/>
      <c r="AU2002" s="197"/>
      <c r="AV2002" s="197"/>
      <c r="AW2002" s="197"/>
    </row>
    <row r="2003" spans="28:49" s="196" customFormat="1">
      <c r="AB2003" s="201"/>
      <c r="AC2003" s="201"/>
      <c r="AD2003" s="197"/>
      <c r="AE2003" s="197"/>
      <c r="AF2003" s="197"/>
      <c r="AG2003" s="197"/>
      <c r="AH2003" s="197"/>
      <c r="AI2003" s="197"/>
      <c r="AJ2003" s="197"/>
      <c r="AK2003" s="197"/>
      <c r="AL2003" s="197"/>
      <c r="AM2003" s="197"/>
      <c r="AN2003" s="197"/>
      <c r="AO2003" s="197"/>
      <c r="AP2003" s="197"/>
      <c r="AQ2003" s="197"/>
      <c r="AR2003" s="197"/>
      <c r="AS2003" s="197"/>
      <c r="AT2003" s="197"/>
      <c r="AU2003" s="197"/>
      <c r="AV2003" s="197"/>
      <c r="AW2003" s="197"/>
    </row>
    <row r="2004" spans="28:49" s="196" customFormat="1">
      <c r="AB2004" s="201"/>
      <c r="AC2004" s="201"/>
      <c r="AD2004" s="197"/>
      <c r="AE2004" s="197"/>
      <c r="AF2004" s="197"/>
      <c r="AG2004" s="197"/>
      <c r="AH2004" s="197"/>
      <c r="AI2004" s="197"/>
      <c r="AJ2004" s="197"/>
      <c r="AK2004" s="197"/>
      <c r="AL2004" s="197"/>
      <c r="AM2004" s="197"/>
      <c r="AN2004" s="197"/>
      <c r="AO2004" s="197"/>
      <c r="AP2004" s="197"/>
      <c r="AQ2004" s="197"/>
      <c r="AR2004" s="197"/>
      <c r="AS2004" s="197"/>
      <c r="AT2004" s="197"/>
      <c r="AU2004" s="197"/>
      <c r="AV2004" s="197"/>
      <c r="AW2004" s="197"/>
    </row>
    <row r="2005" spans="28:49" s="196" customFormat="1">
      <c r="AB2005" s="201"/>
      <c r="AC2005" s="201"/>
      <c r="AD2005" s="197"/>
      <c r="AE2005" s="197"/>
      <c r="AF2005" s="197"/>
      <c r="AG2005" s="197"/>
      <c r="AH2005" s="197"/>
      <c r="AI2005" s="197"/>
      <c r="AJ2005" s="197"/>
      <c r="AK2005" s="197"/>
      <c r="AL2005" s="197"/>
      <c r="AM2005" s="197"/>
      <c r="AN2005" s="197"/>
      <c r="AO2005" s="197"/>
      <c r="AP2005" s="197"/>
      <c r="AQ2005" s="197"/>
      <c r="AR2005" s="197"/>
      <c r="AS2005" s="197"/>
      <c r="AT2005" s="197"/>
      <c r="AU2005" s="197"/>
      <c r="AV2005" s="197"/>
      <c r="AW2005" s="197"/>
    </row>
    <row r="2006" spans="28:49" s="196" customFormat="1">
      <c r="AB2006" s="201"/>
      <c r="AC2006" s="201"/>
      <c r="AD2006" s="197"/>
      <c r="AE2006" s="197"/>
      <c r="AF2006" s="197"/>
      <c r="AG2006" s="197"/>
      <c r="AH2006" s="197"/>
      <c r="AI2006" s="197"/>
      <c r="AJ2006" s="197"/>
      <c r="AK2006" s="197"/>
      <c r="AL2006" s="197"/>
      <c r="AM2006" s="197"/>
      <c r="AN2006" s="197"/>
      <c r="AO2006" s="197"/>
      <c r="AP2006" s="197"/>
      <c r="AQ2006" s="197"/>
      <c r="AR2006" s="197"/>
      <c r="AS2006" s="197"/>
      <c r="AT2006" s="197"/>
      <c r="AU2006" s="197"/>
      <c r="AV2006" s="197"/>
      <c r="AW2006" s="197"/>
    </row>
    <row r="2007" spans="28:49" s="196" customFormat="1">
      <c r="AB2007" s="201"/>
      <c r="AC2007" s="201"/>
      <c r="AD2007" s="197"/>
      <c r="AE2007" s="197"/>
      <c r="AF2007" s="197"/>
      <c r="AG2007" s="197"/>
      <c r="AH2007" s="197"/>
      <c r="AI2007" s="197"/>
      <c r="AJ2007" s="197"/>
      <c r="AK2007" s="197"/>
      <c r="AL2007" s="197"/>
      <c r="AM2007" s="197"/>
      <c r="AN2007" s="197"/>
      <c r="AO2007" s="197"/>
      <c r="AP2007" s="197"/>
      <c r="AQ2007" s="197"/>
      <c r="AR2007" s="197"/>
      <c r="AS2007" s="197"/>
      <c r="AT2007" s="197"/>
      <c r="AU2007" s="197"/>
      <c r="AV2007" s="197"/>
      <c r="AW2007" s="197"/>
    </row>
    <row r="2008" spans="28:49" s="196" customFormat="1">
      <c r="AB2008" s="201"/>
      <c r="AC2008" s="201"/>
      <c r="AD2008" s="197"/>
      <c r="AE2008" s="197"/>
      <c r="AF2008" s="197"/>
      <c r="AG2008" s="197"/>
      <c r="AH2008" s="197"/>
      <c r="AI2008" s="197"/>
      <c r="AJ2008" s="197"/>
      <c r="AK2008" s="197"/>
      <c r="AL2008" s="197"/>
      <c r="AM2008" s="197"/>
      <c r="AN2008" s="197"/>
      <c r="AO2008" s="197"/>
      <c r="AP2008" s="197"/>
      <c r="AQ2008" s="197"/>
      <c r="AR2008" s="197"/>
      <c r="AS2008" s="197"/>
      <c r="AT2008" s="197"/>
      <c r="AU2008" s="197"/>
      <c r="AV2008" s="197"/>
      <c r="AW2008" s="197"/>
    </row>
    <row r="2009" spans="28:49" s="196" customFormat="1">
      <c r="AB2009" s="201"/>
      <c r="AC2009" s="201"/>
      <c r="AD2009" s="197"/>
      <c r="AE2009" s="197"/>
      <c r="AF2009" s="197"/>
      <c r="AG2009" s="197"/>
      <c r="AH2009" s="197"/>
      <c r="AI2009" s="197"/>
      <c r="AJ2009" s="197"/>
      <c r="AK2009" s="197"/>
      <c r="AL2009" s="197"/>
      <c r="AM2009" s="197"/>
      <c r="AN2009" s="197"/>
      <c r="AO2009" s="197"/>
      <c r="AP2009" s="197"/>
      <c r="AQ2009" s="197"/>
      <c r="AR2009" s="197"/>
      <c r="AS2009" s="197"/>
      <c r="AT2009" s="197"/>
      <c r="AU2009" s="197"/>
      <c r="AV2009" s="197"/>
      <c r="AW2009" s="197"/>
    </row>
    <row r="2010" spans="28:49" s="196" customFormat="1">
      <c r="AB2010" s="201"/>
      <c r="AC2010" s="201"/>
      <c r="AD2010" s="197"/>
      <c r="AE2010" s="197"/>
      <c r="AF2010" s="197"/>
      <c r="AG2010" s="197"/>
      <c r="AH2010" s="197"/>
      <c r="AI2010" s="197"/>
      <c r="AJ2010" s="197"/>
      <c r="AK2010" s="197"/>
      <c r="AL2010" s="197"/>
      <c r="AM2010" s="197"/>
      <c r="AN2010" s="197"/>
      <c r="AO2010" s="197"/>
      <c r="AP2010" s="197"/>
      <c r="AQ2010" s="197"/>
      <c r="AR2010" s="197"/>
      <c r="AS2010" s="197"/>
      <c r="AT2010" s="197"/>
      <c r="AU2010" s="197"/>
      <c r="AV2010" s="197"/>
      <c r="AW2010" s="197"/>
    </row>
    <row r="2011" spans="28:49" s="196" customFormat="1">
      <c r="AB2011" s="201"/>
      <c r="AC2011" s="201"/>
      <c r="AD2011" s="197"/>
      <c r="AE2011" s="197"/>
      <c r="AF2011" s="197"/>
      <c r="AG2011" s="197"/>
      <c r="AH2011" s="197"/>
      <c r="AI2011" s="197"/>
      <c r="AJ2011" s="197"/>
      <c r="AK2011" s="197"/>
      <c r="AL2011" s="197"/>
      <c r="AM2011" s="197"/>
      <c r="AN2011" s="197"/>
      <c r="AO2011" s="197"/>
      <c r="AP2011" s="197"/>
      <c r="AQ2011" s="197"/>
      <c r="AR2011" s="197"/>
      <c r="AS2011" s="197"/>
      <c r="AT2011" s="197"/>
      <c r="AU2011" s="197"/>
      <c r="AV2011" s="197"/>
      <c r="AW2011" s="197"/>
    </row>
    <row r="2012" spans="28:49" s="196" customFormat="1">
      <c r="AB2012" s="201"/>
      <c r="AC2012" s="201"/>
      <c r="AD2012" s="197"/>
      <c r="AE2012" s="197"/>
      <c r="AF2012" s="197"/>
      <c r="AG2012" s="197"/>
      <c r="AH2012" s="197"/>
      <c r="AI2012" s="197"/>
      <c r="AJ2012" s="197"/>
      <c r="AK2012" s="197"/>
      <c r="AL2012" s="197"/>
      <c r="AM2012" s="197"/>
      <c r="AN2012" s="197"/>
      <c r="AO2012" s="197"/>
      <c r="AP2012" s="197"/>
      <c r="AQ2012" s="197"/>
      <c r="AR2012" s="197"/>
      <c r="AS2012" s="197"/>
      <c r="AT2012" s="197"/>
      <c r="AU2012" s="197"/>
      <c r="AV2012" s="197"/>
      <c r="AW2012" s="197"/>
    </row>
    <row r="2013" spans="28:49" s="196" customFormat="1">
      <c r="AB2013" s="201"/>
      <c r="AC2013" s="201"/>
      <c r="AD2013" s="197"/>
      <c r="AE2013" s="197"/>
      <c r="AF2013" s="197"/>
      <c r="AG2013" s="197"/>
      <c r="AH2013" s="197"/>
      <c r="AI2013" s="197"/>
      <c r="AJ2013" s="197"/>
      <c r="AK2013" s="197"/>
      <c r="AL2013" s="197"/>
      <c r="AM2013" s="197"/>
      <c r="AN2013" s="197"/>
      <c r="AO2013" s="197"/>
      <c r="AP2013" s="197"/>
      <c r="AQ2013" s="197"/>
      <c r="AR2013" s="197"/>
      <c r="AS2013" s="197"/>
      <c r="AT2013" s="197"/>
      <c r="AU2013" s="197"/>
      <c r="AV2013" s="197"/>
      <c r="AW2013" s="197"/>
    </row>
    <row r="2014" spans="28:49" s="196" customFormat="1">
      <c r="AB2014" s="201"/>
      <c r="AC2014" s="201"/>
      <c r="AD2014" s="197"/>
      <c r="AE2014" s="197"/>
      <c r="AF2014" s="197"/>
      <c r="AG2014" s="197"/>
      <c r="AH2014" s="197"/>
      <c r="AI2014" s="197"/>
      <c r="AJ2014" s="197"/>
      <c r="AK2014" s="197"/>
      <c r="AL2014" s="197"/>
      <c r="AM2014" s="197"/>
      <c r="AN2014" s="197"/>
      <c r="AO2014" s="197"/>
      <c r="AP2014" s="197"/>
      <c r="AQ2014" s="197"/>
      <c r="AR2014" s="197"/>
      <c r="AS2014" s="197"/>
      <c r="AT2014" s="197"/>
      <c r="AU2014" s="197"/>
      <c r="AV2014" s="197"/>
      <c r="AW2014" s="197"/>
    </row>
    <row r="2015" spans="28:49" s="196" customFormat="1">
      <c r="AB2015" s="201"/>
      <c r="AC2015" s="201"/>
      <c r="AD2015" s="197"/>
      <c r="AE2015" s="197"/>
      <c r="AF2015" s="197"/>
      <c r="AG2015" s="197"/>
      <c r="AH2015" s="197"/>
      <c r="AI2015" s="197"/>
      <c r="AJ2015" s="197"/>
      <c r="AK2015" s="197"/>
      <c r="AL2015" s="197"/>
      <c r="AM2015" s="197"/>
      <c r="AN2015" s="197"/>
      <c r="AO2015" s="197"/>
      <c r="AP2015" s="197"/>
      <c r="AQ2015" s="197"/>
      <c r="AR2015" s="197"/>
      <c r="AS2015" s="197"/>
      <c r="AT2015" s="197"/>
      <c r="AU2015" s="197"/>
      <c r="AV2015" s="197"/>
      <c r="AW2015" s="197"/>
    </row>
    <row r="2016" spans="28:49" s="196" customFormat="1">
      <c r="AB2016" s="201"/>
      <c r="AC2016" s="201"/>
      <c r="AD2016" s="197"/>
      <c r="AE2016" s="197"/>
      <c r="AF2016" s="197"/>
      <c r="AG2016" s="197"/>
      <c r="AH2016" s="197"/>
      <c r="AI2016" s="197"/>
      <c r="AJ2016" s="197"/>
      <c r="AK2016" s="197"/>
      <c r="AL2016" s="197"/>
      <c r="AM2016" s="197"/>
      <c r="AN2016" s="197"/>
      <c r="AO2016" s="197"/>
      <c r="AP2016" s="197"/>
      <c r="AQ2016" s="197"/>
      <c r="AR2016" s="197"/>
      <c r="AS2016" s="197"/>
      <c r="AT2016" s="197"/>
      <c r="AU2016" s="197"/>
      <c r="AV2016" s="197"/>
      <c r="AW2016" s="197"/>
    </row>
    <row r="2017" spans="28:49" s="196" customFormat="1">
      <c r="AB2017" s="201"/>
      <c r="AC2017" s="201"/>
      <c r="AD2017" s="197"/>
      <c r="AE2017" s="197"/>
      <c r="AF2017" s="197"/>
      <c r="AG2017" s="197"/>
      <c r="AH2017" s="197"/>
      <c r="AI2017" s="197"/>
      <c r="AJ2017" s="197"/>
      <c r="AK2017" s="197"/>
      <c r="AL2017" s="197"/>
      <c r="AM2017" s="197"/>
      <c r="AN2017" s="197"/>
      <c r="AO2017" s="197"/>
      <c r="AP2017" s="197"/>
      <c r="AQ2017" s="197"/>
      <c r="AR2017" s="197"/>
      <c r="AS2017" s="197"/>
      <c r="AT2017" s="197"/>
      <c r="AU2017" s="197"/>
      <c r="AV2017" s="197"/>
      <c r="AW2017" s="197"/>
    </row>
    <row r="2018" spans="28:49" s="196" customFormat="1">
      <c r="AB2018" s="201"/>
      <c r="AC2018" s="201"/>
      <c r="AD2018" s="197"/>
      <c r="AE2018" s="197"/>
      <c r="AF2018" s="197"/>
      <c r="AG2018" s="197"/>
      <c r="AH2018" s="197"/>
      <c r="AI2018" s="197"/>
      <c r="AJ2018" s="197"/>
      <c r="AK2018" s="197"/>
      <c r="AL2018" s="197"/>
      <c r="AM2018" s="197"/>
      <c r="AN2018" s="197"/>
      <c r="AO2018" s="197"/>
      <c r="AP2018" s="197"/>
      <c r="AQ2018" s="197"/>
      <c r="AR2018" s="197"/>
      <c r="AS2018" s="197"/>
      <c r="AT2018" s="197"/>
      <c r="AU2018" s="197"/>
      <c r="AV2018" s="197"/>
      <c r="AW2018" s="197"/>
    </row>
    <row r="2019" spans="28:49" s="196" customFormat="1">
      <c r="AB2019" s="201"/>
      <c r="AC2019" s="201"/>
      <c r="AD2019" s="197"/>
      <c r="AE2019" s="197"/>
      <c r="AF2019" s="197"/>
      <c r="AG2019" s="197"/>
      <c r="AH2019" s="197"/>
      <c r="AI2019" s="197"/>
      <c r="AJ2019" s="197"/>
      <c r="AK2019" s="197"/>
      <c r="AL2019" s="197"/>
      <c r="AM2019" s="197"/>
      <c r="AN2019" s="197"/>
      <c r="AO2019" s="197"/>
      <c r="AP2019" s="197"/>
      <c r="AQ2019" s="197"/>
      <c r="AR2019" s="197"/>
      <c r="AS2019" s="197"/>
      <c r="AT2019" s="197"/>
      <c r="AU2019" s="197"/>
      <c r="AV2019" s="197"/>
      <c r="AW2019" s="197"/>
    </row>
    <row r="2020" spans="28:49" s="196" customFormat="1">
      <c r="AB2020" s="201"/>
      <c r="AC2020" s="201"/>
      <c r="AD2020" s="197"/>
      <c r="AE2020" s="197"/>
      <c r="AF2020" s="197"/>
      <c r="AG2020" s="197"/>
      <c r="AH2020" s="197"/>
      <c r="AI2020" s="197"/>
      <c r="AJ2020" s="197"/>
      <c r="AK2020" s="197"/>
      <c r="AL2020" s="197"/>
      <c r="AM2020" s="197"/>
      <c r="AN2020" s="197"/>
      <c r="AO2020" s="197"/>
      <c r="AP2020" s="197"/>
      <c r="AQ2020" s="197"/>
      <c r="AR2020" s="197"/>
      <c r="AS2020" s="197"/>
      <c r="AT2020" s="197"/>
      <c r="AU2020" s="197"/>
      <c r="AV2020" s="197"/>
      <c r="AW2020" s="197"/>
    </row>
    <row r="2021" spans="28:49" s="196" customFormat="1">
      <c r="AB2021" s="201"/>
      <c r="AC2021" s="201"/>
      <c r="AD2021" s="197"/>
      <c r="AE2021" s="197"/>
      <c r="AF2021" s="197"/>
      <c r="AG2021" s="197"/>
      <c r="AH2021" s="197"/>
      <c r="AI2021" s="197"/>
      <c r="AJ2021" s="197"/>
      <c r="AK2021" s="197"/>
      <c r="AL2021" s="197"/>
      <c r="AM2021" s="197"/>
      <c r="AN2021" s="197"/>
      <c r="AO2021" s="197"/>
      <c r="AP2021" s="197"/>
      <c r="AQ2021" s="197"/>
      <c r="AR2021" s="197"/>
      <c r="AS2021" s="197"/>
      <c r="AT2021" s="197"/>
      <c r="AU2021" s="197"/>
      <c r="AV2021" s="197"/>
      <c r="AW2021" s="197"/>
    </row>
    <row r="2022" spans="28:49" s="196" customFormat="1">
      <c r="AB2022" s="201"/>
      <c r="AC2022" s="201"/>
      <c r="AD2022" s="197"/>
      <c r="AE2022" s="197"/>
      <c r="AF2022" s="197"/>
      <c r="AG2022" s="197"/>
      <c r="AH2022" s="197"/>
      <c r="AI2022" s="197"/>
      <c r="AJ2022" s="197"/>
      <c r="AK2022" s="197"/>
      <c r="AL2022" s="197"/>
      <c r="AM2022" s="197"/>
      <c r="AN2022" s="197"/>
      <c r="AO2022" s="197"/>
      <c r="AP2022" s="197"/>
      <c r="AQ2022" s="197"/>
      <c r="AR2022" s="197"/>
      <c r="AS2022" s="197"/>
      <c r="AT2022" s="197"/>
      <c r="AU2022" s="197"/>
      <c r="AV2022" s="197"/>
      <c r="AW2022" s="197"/>
    </row>
    <row r="2023" spans="28:49" s="196" customFormat="1">
      <c r="AB2023" s="201"/>
      <c r="AC2023" s="201"/>
      <c r="AD2023" s="197"/>
      <c r="AE2023" s="197"/>
      <c r="AF2023" s="197"/>
      <c r="AG2023" s="197"/>
      <c r="AH2023" s="197"/>
      <c r="AI2023" s="197"/>
      <c r="AJ2023" s="197"/>
      <c r="AK2023" s="197"/>
      <c r="AL2023" s="197"/>
      <c r="AM2023" s="197"/>
      <c r="AN2023" s="197"/>
      <c r="AO2023" s="197"/>
      <c r="AP2023" s="197"/>
      <c r="AQ2023" s="197"/>
      <c r="AR2023" s="197"/>
      <c r="AS2023" s="197"/>
      <c r="AT2023" s="197"/>
      <c r="AU2023" s="197"/>
      <c r="AV2023" s="197"/>
      <c r="AW2023" s="197"/>
    </row>
    <row r="2024" spans="28:49" s="196" customFormat="1">
      <c r="AB2024" s="201"/>
      <c r="AC2024" s="201"/>
      <c r="AD2024" s="197"/>
      <c r="AE2024" s="197"/>
      <c r="AF2024" s="197"/>
      <c r="AG2024" s="197"/>
      <c r="AH2024" s="197"/>
      <c r="AI2024" s="197"/>
      <c r="AJ2024" s="197"/>
      <c r="AK2024" s="197"/>
      <c r="AL2024" s="197"/>
      <c r="AM2024" s="197"/>
      <c r="AN2024" s="197"/>
      <c r="AO2024" s="197"/>
      <c r="AP2024" s="197"/>
      <c r="AQ2024" s="197"/>
      <c r="AR2024" s="197"/>
      <c r="AS2024" s="197"/>
      <c r="AT2024" s="197"/>
      <c r="AU2024" s="197"/>
      <c r="AV2024" s="197"/>
      <c r="AW2024" s="197"/>
    </row>
    <row r="2025" spans="28:49" s="196" customFormat="1">
      <c r="AB2025" s="201"/>
      <c r="AC2025" s="201"/>
      <c r="AD2025" s="197"/>
      <c r="AE2025" s="197"/>
      <c r="AF2025" s="197"/>
      <c r="AG2025" s="197"/>
      <c r="AH2025" s="197"/>
      <c r="AI2025" s="197"/>
      <c r="AJ2025" s="197"/>
      <c r="AK2025" s="197"/>
      <c r="AL2025" s="197"/>
      <c r="AM2025" s="197"/>
      <c r="AN2025" s="197"/>
      <c r="AO2025" s="197"/>
      <c r="AP2025" s="197"/>
      <c r="AQ2025" s="197"/>
      <c r="AR2025" s="197"/>
      <c r="AS2025" s="197"/>
      <c r="AT2025" s="197"/>
      <c r="AU2025" s="197"/>
      <c r="AV2025" s="197"/>
      <c r="AW2025" s="197"/>
    </row>
    <row r="2026" spans="28:49" s="196" customFormat="1">
      <c r="AB2026" s="201"/>
      <c r="AC2026" s="201"/>
      <c r="AD2026" s="197"/>
      <c r="AE2026" s="197"/>
      <c r="AF2026" s="197"/>
      <c r="AG2026" s="197"/>
      <c r="AH2026" s="197"/>
      <c r="AI2026" s="197"/>
      <c r="AJ2026" s="197"/>
      <c r="AK2026" s="197"/>
      <c r="AL2026" s="197"/>
      <c r="AM2026" s="197"/>
      <c r="AN2026" s="197"/>
      <c r="AO2026" s="197"/>
      <c r="AP2026" s="197"/>
      <c r="AQ2026" s="197"/>
      <c r="AR2026" s="197"/>
      <c r="AS2026" s="197"/>
      <c r="AT2026" s="197"/>
      <c r="AU2026" s="197"/>
      <c r="AV2026" s="197"/>
      <c r="AW2026" s="197"/>
    </row>
    <row r="2027" spans="28:49" s="196" customFormat="1">
      <c r="AB2027" s="201"/>
      <c r="AC2027" s="201"/>
      <c r="AD2027" s="197"/>
      <c r="AE2027" s="197"/>
      <c r="AF2027" s="197"/>
      <c r="AG2027" s="197"/>
      <c r="AH2027" s="197"/>
      <c r="AI2027" s="197"/>
      <c r="AJ2027" s="197"/>
      <c r="AK2027" s="197"/>
      <c r="AL2027" s="197"/>
      <c r="AM2027" s="197"/>
      <c r="AN2027" s="197"/>
      <c r="AO2027" s="197"/>
      <c r="AP2027" s="197"/>
      <c r="AQ2027" s="197"/>
      <c r="AR2027" s="197"/>
      <c r="AS2027" s="197"/>
      <c r="AT2027" s="197"/>
      <c r="AU2027" s="197"/>
      <c r="AV2027" s="197"/>
      <c r="AW2027" s="197"/>
    </row>
    <row r="2028" spans="28:49" s="196" customFormat="1">
      <c r="AB2028" s="201"/>
      <c r="AC2028" s="201"/>
      <c r="AD2028" s="197"/>
      <c r="AE2028" s="197"/>
      <c r="AF2028" s="197"/>
      <c r="AG2028" s="197"/>
      <c r="AH2028" s="197"/>
      <c r="AI2028" s="197"/>
      <c r="AJ2028" s="197"/>
      <c r="AK2028" s="197"/>
      <c r="AL2028" s="197"/>
      <c r="AM2028" s="197"/>
      <c r="AN2028" s="197"/>
      <c r="AO2028" s="197"/>
      <c r="AP2028" s="197"/>
      <c r="AQ2028" s="197"/>
      <c r="AR2028" s="197"/>
      <c r="AS2028" s="197"/>
      <c r="AT2028" s="197"/>
      <c r="AU2028" s="197"/>
      <c r="AV2028" s="197"/>
      <c r="AW2028" s="197"/>
    </row>
    <row r="2029" spans="28:49" s="196" customFormat="1">
      <c r="AB2029" s="201"/>
      <c r="AC2029" s="201"/>
      <c r="AD2029" s="197"/>
      <c r="AE2029" s="197"/>
      <c r="AF2029" s="197"/>
      <c r="AG2029" s="197"/>
      <c r="AH2029" s="197"/>
      <c r="AI2029" s="197"/>
      <c r="AJ2029" s="197"/>
      <c r="AK2029" s="197"/>
      <c r="AL2029" s="197"/>
      <c r="AM2029" s="197"/>
      <c r="AN2029" s="197"/>
      <c r="AO2029" s="197"/>
      <c r="AP2029" s="197"/>
      <c r="AQ2029" s="197"/>
      <c r="AR2029" s="197"/>
      <c r="AS2029" s="197"/>
      <c r="AT2029" s="197"/>
      <c r="AU2029" s="197"/>
      <c r="AV2029" s="197"/>
      <c r="AW2029" s="197"/>
    </row>
    <row r="2030" spans="28:49" s="196" customFormat="1">
      <c r="AB2030" s="201"/>
      <c r="AC2030" s="201"/>
      <c r="AD2030" s="197"/>
      <c r="AE2030" s="197"/>
      <c r="AF2030" s="197"/>
      <c r="AG2030" s="197"/>
      <c r="AH2030" s="197"/>
      <c r="AI2030" s="197"/>
      <c r="AJ2030" s="197"/>
      <c r="AK2030" s="197"/>
      <c r="AL2030" s="197"/>
      <c r="AM2030" s="197"/>
      <c r="AN2030" s="197"/>
      <c r="AO2030" s="197"/>
      <c r="AP2030" s="197"/>
      <c r="AQ2030" s="197"/>
      <c r="AR2030" s="197"/>
      <c r="AS2030" s="197"/>
      <c r="AT2030" s="197"/>
      <c r="AU2030" s="197"/>
      <c r="AV2030" s="197"/>
      <c r="AW2030" s="197"/>
    </row>
    <row r="2031" spans="28:49" s="196" customFormat="1">
      <c r="AB2031" s="201"/>
      <c r="AC2031" s="201"/>
      <c r="AD2031" s="197"/>
      <c r="AE2031" s="197"/>
      <c r="AF2031" s="197"/>
      <c r="AG2031" s="197"/>
      <c r="AH2031" s="197"/>
      <c r="AI2031" s="197"/>
      <c r="AJ2031" s="197"/>
      <c r="AK2031" s="197"/>
      <c r="AL2031" s="197"/>
      <c r="AM2031" s="197"/>
      <c r="AN2031" s="197"/>
      <c r="AO2031" s="197"/>
      <c r="AP2031" s="197"/>
      <c r="AQ2031" s="197"/>
      <c r="AR2031" s="197"/>
      <c r="AS2031" s="197"/>
      <c r="AT2031" s="197"/>
      <c r="AU2031" s="197"/>
      <c r="AV2031" s="197"/>
      <c r="AW2031" s="197"/>
    </row>
    <row r="2032" spans="28:49" s="196" customFormat="1">
      <c r="AB2032" s="201"/>
      <c r="AC2032" s="201"/>
      <c r="AD2032" s="197"/>
      <c r="AE2032" s="197"/>
      <c r="AF2032" s="197"/>
      <c r="AG2032" s="197"/>
      <c r="AH2032" s="197"/>
      <c r="AI2032" s="197"/>
      <c r="AJ2032" s="197"/>
      <c r="AK2032" s="197"/>
      <c r="AL2032" s="197"/>
      <c r="AM2032" s="197"/>
      <c r="AN2032" s="197"/>
      <c r="AO2032" s="197"/>
      <c r="AP2032" s="197"/>
      <c r="AQ2032" s="197"/>
      <c r="AR2032" s="197"/>
      <c r="AS2032" s="197"/>
      <c r="AT2032" s="197"/>
      <c r="AU2032" s="197"/>
      <c r="AV2032" s="197"/>
      <c r="AW2032" s="197"/>
    </row>
    <row r="2033" spans="28:49" s="196" customFormat="1">
      <c r="AB2033" s="201"/>
      <c r="AC2033" s="201"/>
      <c r="AD2033" s="197"/>
      <c r="AE2033" s="197"/>
      <c r="AF2033" s="197"/>
      <c r="AG2033" s="197"/>
      <c r="AH2033" s="197"/>
      <c r="AI2033" s="197"/>
      <c r="AJ2033" s="197"/>
      <c r="AK2033" s="197"/>
      <c r="AL2033" s="197"/>
      <c r="AM2033" s="197"/>
      <c r="AN2033" s="197"/>
      <c r="AO2033" s="197"/>
      <c r="AP2033" s="197"/>
      <c r="AQ2033" s="197"/>
      <c r="AR2033" s="197"/>
      <c r="AS2033" s="197"/>
      <c r="AT2033" s="197"/>
      <c r="AU2033" s="197"/>
      <c r="AV2033" s="197"/>
      <c r="AW2033" s="197"/>
    </row>
    <row r="2034" spans="28:49" s="196" customFormat="1">
      <c r="AB2034" s="201"/>
      <c r="AC2034" s="201"/>
      <c r="AD2034" s="197"/>
      <c r="AE2034" s="197"/>
      <c r="AF2034" s="197"/>
      <c r="AG2034" s="197"/>
      <c r="AH2034" s="197"/>
      <c r="AI2034" s="197"/>
      <c r="AJ2034" s="197"/>
      <c r="AK2034" s="197"/>
      <c r="AL2034" s="197"/>
      <c r="AM2034" s="197"/>
      <c r="AN2034" s="197"/>
      <c r="AO2034" s="197"/>
      <c r="AP2034" s="197"/>
      <c r="AQ2034" s="197"/>
      <c r="AR2034" s="197"/>
      <c r="AS2034" s="197"/>
      <c r="AT2034" s="197"/>
      <c r="AU2034" s="197"/>
      <c r="AV2034" s="197"/>
      <c r="AW2034" s="197"/>
    </row>
    <row r="2035" spans="28:49" s="196" customFormat="1">
      <c r="AB2035" s="201"/>
      <c r="AC2035" s="201"/>
      <c r="AD2035" s="197"/>
      <c r="AE2035" s="197"/>
      <c r="AF2035" s="197"/>
      <c r="AG2035" s="197"/>
      <c r="AH2035" s="197"/>
      <c r="AI2035" s="197"/>
      <c r="AJ2035" s="197"/>
      <c r="AK2035" s="197"/>
      <c r="AL2035" s="197"/>
      <c r="AM2035" s="197"/>
      <c r="AN2035" s="197"/>
      <c r="AO2035" s="197"/>
      <c r="AP2035" s="197"/>
      <c r="AQ2035" s="197"/>
      <c r="AR2035" s="197"/>
      <c r="AS2035" s="197"/>
      <c r="AT2035" s="197"/>
      <c r="AU2035" s="197"/>
      <c r="AV2035" s="197"/>
      <c r="AW2035" s="197"/>
    </row>
    <row r="2036" spans="28:49" s="196" customFormat="1">
      <c r="AB2036" s="201"/>
      <c r="AC2036" s="201"/>
      <c r="AD2036" s="197"/>
      <c r="AE2036" s="197"/>
      <c r="AF2036" s="197"/>
      <c r="AG2036" s="197"/>
      <c r="AH2036" s="197"/>
      <c r="AI2036" s="197"/>
      <c r="AJ2036" s="197"/>
      <c r="AK2036" s="197"/>
      <c r="AL2036" s="197"/>
      <c r="AM2036" s="197"/>
      <c r="AN2036" s="197"/>
      <c r="AO2036" s="197"/>
      <c r="AP2036" s="197"/>
      <c r="AQ2036" s="197"/>
      <c r="AR2036" s="197"/>
      <c r="AS2036" s="197"/>
      <c r="AT2036" s="197"/>
      <c r="AU2036" s="197"/>
      <c r="AV2036" s="197"/>
      <c r="AW2036" s="197"/>
    </row>
    <row r="2037" spans="28:49" s="196" customFormat="1">
      <c r="AB2037" s="201"/>
      <c r="AC2037" s="201"/>
      <c r="AD2037" s="197"/>
      <c r="AE2037" s="197"/>
      <c r="AF2037" s="197"/>
      <c r="AG2037" s="197"/>
      <c r="AH2037" s="197"/>
      <c r="AI2037" s="197"/>
      <c r="AJ2037" s="197"/>
      <c r="AK2037" s="197"/>
      <c r="AL2037" s="197"/>
      <c r="AM2037" s="197"/>
      <c r="AN2037" s="197"/>
      <c r="AO2037" s="197"/>
      <c r="AP2037" s="197"/>
      <c r="AQ2037" s="197"/>
      <c r="AR2037" s="197"/>
      <c r="AS2037" s="197"/>
      <c r="AT2037" s="197"/>
      <c r="AU2037" s="197"/>
      <c r="AV2037" s="197"/>
      <c r="AW2037" s="197"/>
    </row>
    <row r="2038" spans="28:49" s="196" customFormat="1">
      <c r="AB2038" s="201"/>
      <c r="AC2038" s="201"/>
      <c r="AD2038" s="197"/>
      <c r="AE2038" s="197"/>
      <c r="AF2038" s="197"/>
      <c r="AG2038" s="197"/>
      <c r="AH2038" s="197"/>
      <c r="AI2038" s="197"/>
      <c r="AJ2038" s="197"/>
      <c r="AK2038" s="197"/>
      <c r="AL2038" s="197"/>
      <c r="AM2038" s="197"/>
      <c r="AN2038" s="197"/>
      <c r="AO2038" s="197"/>
      <c r="AP2038" s="197"/>
      <c r="AQ2038" s="197"/>
      <c r="AR2038" s="197"/>
      <c r="AS2038" s="197"/>
      <c r="AT2038" s="197"/>
      <c r="AU2038" s="197"/>
      <c r="AV2038" s="197"/>
      <c r="AW2038" s="197"/>
    </row>
    <row r="2039" spans="28:49" s="196" customFormat="1">
      <c r="AB2039" s="201"/>
      <c r="AC2039" s="201"/>
      <c r="AD2039" s="197"/>
      <c r="AE2039" s="197"/>
      <c r="AF2039" s="197"/>
      <c r="AG2039" s="197"/>
      <c r="AH2039" s="197"/>
      <c r="AI2039" s="197"/>
      <c r="AJ2039" s="197"/>
      <c r="AK2039" s="197"/>
      <c r="AL2039" s="197"/>
      <c r="AM2039" s="197"/>
      <c r="AN2039" s="197"/>
      <c r="AO2039" s="197"/>
      <c r="AP2039" s="197"/>
      <c r="AQ2039" s="197"/>
      <c r="AR2039" s="197"/>
      <c r="AS2039" s="197"/>
      <c r="AT2039" s="197"/>
      <c r="AU2039" s="197"/>
      <c r="AV2039" s="197"/>
      <c r="AW2039" s="197"/>
    </row>
    <row r="2040" spans="28:49" s="196" customFormat="1">
      <c r="AB2040" s="201"/>
      <c r="AC2040" s="201"/>
      <c r="AD2040" s="197"/>
      <c r="AE2040" s="197"/>
      <c r="AF2040" s="197"/>
      <c r="AG2040" s="197"/>
      <c r="AH2040" s="197"/>
      <c r="AI2040" s="197"/>
      <c r="AJ2040" s="197"/>
      <c r="AK2040" s="197"/>
      <c r="AL2040" s="197"/>
      <c r="AM2040" s="197"/>
      <c r="AN2040" s="197"/>
      <c r="AO2040" s="197"/>
      <c r="AP2040" s="197"/>
      <c r="AQ2040" s="197"/>
      <c r="AR2040" s="197"/>
      <c r="AS2040" s="197"/>
      <c r="AT2040" s="197"/>
      <c r="AU2040" s="197"/>
      <c r="AV2040" s="197"/>
      <c r="AW2040" s="197"/>
    </row>
    <row r="2041" spans="28:49" s="196" customFormat="1">
      <c r="AB2041" s="201"/>
      <c r="AC2041" s="201"/>
      <c r="AD2041" s="197"/>
      <c r="AE2041" s="197"/>
      <c r="AF2041" s="197"/>
      <c r="AG2041" s="197"/>
      <c r="AH2041" s="197"/>
      <c r="AI2041" s="197"/>
      <c r="AJ2041" s="197"/>
      <c r="AK2041" s="197"/>
      <c r="AL2041" s="197"/>
      <c r="AM2041" s="197"/>
      <c r="AN2041" s="197"/>
      <c r="AO2041" s="197"/>
      <c r="AP2041" s="197"/>
      <c r="AQ2041" s="197"/>
      <c r="AR2041" s="197"/>
      <c r="AS2041" s="197"/>
      <c r="AT2041" s="197"/>
      <c r="AU2041" s="197"/>
      <c r="AV2041" s="197"/>
      <c r="AW2041" s="197"/>
    </row>
    <row r="2042" spans="28:49" s="196" customFormat="1">
      <c r="AB2042" s="201"/>
      <c r="AC2042" s="201"/>
      <c r="AD2042" s="197"/>
      <c r="AE2042" s="197"/>
      <c r="AF2042" s="197"/>
      <c r="AG2042" s="197"/>
      <c r="AH2042" s="197"/>
      <c r="AI2042" s="197"/>
      <c r="AJ2042" s="197"/>
      <c r="AK2042" s="197"/>
      <c r="AL2042" s="197"/>
      <c r="AM2042" s="197"/>
      <c r="AN2042" s="197"/>
      <c r="AO2042" s="197"/>
      <c r="AP2042" s="197"/>
      <c r="AQ2042" s="197"/>
      <c r="AR2042" s="197"/>
      <c r="AS2042" s="197"/>
      <c r="AT2042" s="197"/>
      <c r="AU2042" s="197"/>
      <c r="AV2042" s="197"/>
      <c r="AW2042" s="197"/>
    </row>
    <row r="2043" spans="28:49" s="196" customFormat="1">
      <c r="AB2043" s="201"/>
      <c r="AC2043" s="201"/>
      <c r="AD2043" s="197"/>
      <c r="AE2043" s="197"/>
      <c r="AF2043" s="197"/>
      <c r="AG2043" s="197"/>
      <c r="AH2043" s="197"/>
      <c r="AI2043" s="197"/>
      <c r="AJ2043" s="197"/>
      <c r="AK2043" s="197"/>
      <c r="AL2043" s="197"/>
      <c r="AM2043" s="197"/>
      <c r="AN2043" s="197"/>
      <c r="AO2043" s="197"/>
      <c r="AP2043" s="197"/>
      <c r="AQ2043" s="197"/>
      <c r="AR2043" s="197"/>
      <c r="AS2043" s="197"/>
      <c r="AT2043" s="197"/>
      <c r="AU2043" s="197"/>
      <c r="AV2043" s="197"/>
      <c r="AW2043" s="197"/>
    </row>
    <row r="2044" spans="28:49" s="196" customFormat="1">
      <c r="AB2044" s="201"/>
      <c r="AC2044" s="201"/>
      <c r="AD2044" s="197"/>
      <c r="AE2044" s="197"/>
      <c r="AF2044" s="197"/>
      <c r="AG2044" s="197"/>
      <c r="AH2044" s="197"/>
      <c r="AI2044" s="197"/>
      <c r="AJ2044" s="197"/>
      <c r="AK2044" s="197"/>
      <c r="AL2044" s="197"/>
      <c r="AM2044" s="197"/>
      <c r="AN2044" s="197"/>
      <c r="AO2044" s="197"/>
      <c r="AP2044" s="197"/>
      <c r="AQ2044" s="197"/>
      <c r="AR2044" s="197"/>
      <c r="AS2044" s="197"/>
      <c r="AT2044" s="197"/>
      <c r="AU2044" s="197"/>
      <c r="AV2044" s="197"/>
      <c r="AW2044" s="197"/>
    </row>
    <row r="2045" spans="28:49" s="196" customFormat="1">
      <c r="AB2045" s="201"/>
      <c r="AC2045" s="201"/>
      <c r="AD2045" s="197"/>
      <c r="AE2045" s="197"/>
      <c r="AF2045" s="197"/>
      <c r="AG2045" s="197"/>
      <c r="AH2045" s="197"/>
      <c r="AI2045" s="197"/>
      <c r="AJ2045" s="197"/>
      <c r="AK2045" s="197"/>
      <c r="AL2045" s="197"/>
      <c r="AM2045" s="197"/>
      <c r="AN2045" s="197"/>
      <c r="AO2045" s="197"/>
      <c r="AP2045" s="197"/>
      <c r="AQ2045" s="197"/>
      <c r="AR2045" s="197"/>
      <c r="AS2045" s="197"/>
      <c r="AT2045" s="197"/>
      <c r="AU2045" s="197"/>
      <c r="AV2045" s="197"/>
      <c r="AW2045" s="197"/>
    </row>
    <row r="2046" spans="28:49" s="196" customFormat="1">
      <c r="AB2046" s="201"/>
      <c r="AC2046" s="201"/>
      <c r="AD2046" s="197"/>
      <c r="AE2046" s="197"/>
      <c r="AF2046" s="197"/>
      <c r="AG2046" s="197"/>
      <c r="AH2046" s="197"/>
      <c r="AI2046" s="197"/>
      <c r="AJ2046" s="197"/>
      <c r="AK2046" s="197"/>
      <c r="AL2046" s="197"/>
      <c r="AM2046" s="197"/>
      <c r="AN2046" s="197"/>
      <c r="AO2046" s="197"/>
      <c r="AP2046" s="197"/>
      <c r="AQ2046" s="197"/>
      <c r="AR2046" s="197"/>
      <c r="AS2046" s="197"/>
      <c r="AT2046" s="197"/>
      <c r="AU2046" s="197"/>
      <c r="AV2046" s="197"/>
      <c r="AW2046" s="197"/>
    </row>
    <row r="2047" spans="28:49" s="196" customFormat="1">
      <c r="AB2047" s="201"/>
      <c r="AC2047" s="201"/>
      <c r="AD2047" s="197"/>
      <c r="AE2047" s="197"/>
      <c r="AF2047" s="197"/>
      <c r="AG2047" s="197"/>
      <c r="AH2047" s="197"/>
      <c r="AI2047" s="197"/>
      <c r="AJ2047" s="197"/>
      <c r="AK2047" s="197"/>
      <c r="AL2047" s="197"/>
      <c r="AM2047" s="197"/>
      <c r="AN2047" s="197"/>
      <c r="AO2047" s="197"/>
      <c r="AP2047" s="197"/>
      <c r="AQ2047" s="197"/>
      <c r="AR2047" s="197"/>
      <c r="AS2047" s="197"/>
      <c r="AT2047" s="197"/>
      <c r="AU2047" s="197"/>
      <c r="AV2047" s="197"/>
      <c r="AW2047" s="197"/>
    </row>
    <row r="2048" spans="28:49" s="196" customFormat="1">
      <c r="AB2048" s="201"/>
      <c r="AC2048" s="201"/>
      <c r="AD2048" s="197"/>
      <c r="AE2048" s="197"/>
      <c r="AF2048" s="197"/>
      <c r="AG2048" s="197"/>
      <c r="AH2048" s="197"/>
      <c r="AI2048" s="197"/>
      <c r="AJ2048" s="197"/>
      <c r="AK2048" s="197"/>
      <c r="AL2048" s="197"/>
      <c r="AM2048" s="197"/>
      <c r="AN2048" s="197"/>
      <c r="AO2048" s="197"/>
      <c r="AP2048" s="197"/>
      <c r="AQ2048" s="197"/>
      <c r="AR2048" s="197"/>
      <c r="AS2048" s="197"/>
      <c r="AT2048" s="197"/>
      <c r="AU2048" s="197"/>
      <c r="AV2048" s="197"/>
      <c r="AW2048" s="197"/>
    </row>
    <row r="2049" spans="28:49" s="196" customFormat="1">
      <c r="AB2049" s="201"/>
      <c r="AC2049" s="201"/>
      <c r="AD2049" s="197"/>
      <c r="AE2049" s="197"/>
      <c r="AF2049" s="197"/>
      <c r="AG2049" s="197"/>
      <c r="AH2049" s="197"/>
      <c r="AI2049" s="197"/>
      <c r="AJ2049" s="197"/>
      <c r="AK2049" s="197"/>
      <c r="AL2049" s="197"/>
      <c r="AM2049" s="197"/>
      <c r="AN2049" s="197"/>
      <c r="AO2049" s="197"/>
      <c r="AP2049" s="197"/>
      <c r="AQ2049" s="197"/>
      <c r="AR2049" s="197"/>
      <c r="AS2049" s="197"/>
      <c r="AT2049" s="197"/>
      <c r="AU2049" s="197"/>
      <c r="AV2049" s="197"/>
      <c r="AW2049" s="197"/>
    </row>
    <row r="2050" spans="28:49" s="196" customFormat="1">
      <c r="AB2050" s="201"/>
      <c r="AC2050" s="201"/>
      <c r="AD2050" s="197"/>
      <c r="AE2050" s="197"/>
      <c r="AF2050" s="197"/>
      <c r="AG2050" s="197"/>
      <c r="AH2050" s="197"/>
      <c r="AI2050" s="197"/>
      <c r="AJ2050" s="197"/>
      <c r="AK2050" s="197"/>
      <c r="AL2050" s="197"/>
      <c r="AM2050" s="197"/>
      <c r="AN2050" s="197"/>
      <c r="AO2050" s="197"/>
      <c r="AP2050" s="197"/>
      <c r="AQ2050" s="197"/>
      <c r="AR2050" s="197"/>
      <c r="AS2050" s="197"/>
      <c r="AT2050" s="197"/>
      <c r="AU2050" s="197"/>
      <c r="AV2050" s="197"/>
      <c r="AW2050" s="197"/>
    </row>
    <row r="2051" spans="28:49" s="196" customFormat="1">
      <c r="AB2051" s="201"/>
      <c r="AC2051" s="201"/>
      <c r="AD2051" s="197"/>
      <c r="AE2051" s="197"/>
      <c r="AF2051" s="197"/>
      <c r="AG2051" s="197"/>
      <c r="AH2051" s="197"/>
      <c r="AI2051" s="197"/>
      <c r="AJ2051" s="197"/>
      <c r="AK2051" s="197"/>
      <c r="AL2051" s="197"/>
      <c r="AM2051" s="197"/>
      <c r="AN2051" s="197"/>
      <c r="AO2051" s="197"/>
      <c r="AP2051" s="197"/>
      <c r="AQ2051" s="197"/>
      <c r="AR2051" s="197"/>
      <c r="AS2051" s="197"/>
      <c r="AT2051" s="197"/>
      <c r="AU2051" s="197"/>
      <c r="AV2051" s="197"/>
      <c r="AW2051" s="197"/>
    </row>
    <row r="2052" spans="28:49" s="196" customFormat="1">
      <c r="AB2052" s="201"/>
      <c r="AC2052" s="201"/>
      <c r="AD2052" s="197"/>
      <c r="AE2052" s="197"/>
      <c r="AF2052" s="197"/>
      <c r="AG2052" s="197"/>
      <c r="AH2052" s="197"/>
      <c r="AI2052" s="197"/>
      <c r="AJ2052" s="197"/>
      <c r="AK2052" s="197"/>
      <c r="AL2052" s="197"/>
      <c r="AM2052" s="197"/>
      <c r="AN2052" s="197"/>
      <c r="AO2052" s="197"/>
      <c r="AP2052" s="197"/>
      <c r="AQ2052" s="197"/>
      <c r="AR2052" s="197"/>
      <c r="AS2052" s="197"/>
      <c r="AT2052" s="197"/>
      <c r="AU2052" s="197"/>
      <c r="AV2052" s="197"/>
      <c r="AW2052" s="197"/>
    </row>
    <row r="2053" spans="28:49" s="196" customFormat="1">
      <c r="AB2053" s="201"/>
      <c r="AC2053" s="201"/>
      <c r="AD2053" s="197"/>
      <c r="AE2053" s="197"/>
      <c r="AF2053" s="197"/>
      <c r="AG2053" s="197"/>
      <c r="AH2053" s="197"/>
      <c r="AI2053" s="197"/>
      <c r="AJ2053" s="197"/>
      <c r="AK2053" s="197"/>
      <c r="AL2053" s="197"/>
      <c r="AM2053" s="197"/>
      <c r="AN2053" s="197"/>
      <c r="AO2053" s="197"/>
      <c r="AP2053" s="197"/>
      <c r="AQ2053" s="197"/>
      <c r="AR2053" s="197"/>
      <c r="AS2053" s="197"/>
      <c r="AT2053" s="197"/>
      <c r="AU2053" s="197"/>
      <c r="AV2053" s="197"/>
      <c r="AW2053" s="197"/>
    </row>
    <row r="2054" spans="28:49" s="196" customFormat="1">
      <c r="AB2054" s="201"/>
      <c r="AC2054" s="201"/>
      <c r="AD2054" s="197"/>
      <c r="AE2054" s="197"/>
      <c r="AF2054" s="197"/>
      <c r="AG2054" s="197"/>
      <c r="AH2054" s="197"/>
      <c r="AI2054" s="197"/>
      <c r="AJ2054" s="197"/>
      <c r="AK2054" s="197"/>
      <c r="AL2054" s="197"/>
      <c r="AM2054" s="197"/>
      <c r="AN2054" s="197"/>
      <c r="AO2054" s="197"/>
      <c r="AP2054" s="197"/>
      <c r="AQ2054" s="197"/>
      <c r="AR2054" s="197"/>
      <c r="AS2054" s="197"/>
      <c r="AT2054" s="197"/>
      <c r="AU2054" s="197"/>
      <c r="AV2054" s="197"/>
      <c r="AW2054" s="197"/>
    </row>
    <row r="2055" spans="28:49" s="196" customFormat="1">
      <c r="AB2055" s="201"/>
      <c r="AC2055" s="201"/>
      <c r="AD2055" s="197"/>
      <c r="AE2055" s="197"/>
      <c r="AF2055" s="197"/>
      <c r="AG2055" s="197"/>
      <c r="AH2055" s="197"/>
      <c r="AI2055" s="197"/>
      <c r="AJ2055" s="197"/>
      <c r="AK2055" s="197"/>
      <c r="AL2055" s="197"/>
      <c r="AM2055" s="197"/>
      <c r="AN2055" s="197"/>
      <c r="AO2055" s="197"/>
      <c r="AP2055" s="197"/>
      <c r="AQ2055" s="197"/>
      <c r="AR2055" s="197"/>
      <c r="AS2055" s="197"/>
      <c r="AT2055" s="197"/>
      <c r="AU2055" s="197"/>
      <c r="AV2055" s="197"/>
      <c r="AW2055" s="197"/>
    </row>
    <row r="2056" spans="28:49" s="196" customFormat="1">
      <c r="AB2056" s="201"/>
      <c r="AC2056" s="201"/>
      <c r="AD2056" s="197"/>
      <c r="AE2056" s="197"/>
      <c r="AF2056" s="197"/>
      <c r="AG2056" s="197"/>
      <c r="AH2056" s="197"/>
      <c r="AI2056" s="197"/>
      <c r="AJ2056" s="197"/>
      <c r="AK2056" s="197"/>
      <c r="AL2056" s="197"/>
      <c r="AM2056" s="197"/>
      <c r="AN2056" s="197"/>
      <c r="AO2056" s="197"/>
      <c r="AP2056" s="197"/>
      <c r="AQ2056" s="197"/>
      <c r="AR2056" s="197"/>
      <c r="AS2056" s="197"/>
      <c r="AT2056" s="197"/>
      <c r="AU2056" s="197"/>
      <c r="AV2056" s="197"/>
      <c r="AW2056" s="197"/>
    </row>
    <row r="2057" spans="28:49" s="196" customFormat="1">
      <c r="AB2057" s="201"/>
      <c r="AC2057" s="201"/>
      <c r="AD2057" s="197"/>
      <c r="AE2057" s="197"/>
      <c r="AF2057" s="197"/>
      <c r="AG2057" s="197"/>
      <c r="AH2057" s="197"/>
      <c r="AI2057" s="197"/>
      <c r="AJ2057" s="197"/>
      <c r="AK2057" s="197"/>
      <c r="AL2057" s="197"/>
      <c r="AM2057" s="197"/>
      <c r="AN2057" s="197"/>
      <c r="AO2057" s="197"/>
      <c r="AP2057" s="197"/>
      <c r="AQ2057" s="197"/>
      <c r="AR2057" s="197"/>
      <c r="AS2057" s="197"/>
      <c r="AT2057" s="197"/>
      <c r="AU2057" s="197"/>
      <c r="AV2057" s="197"/>
      <c r="AW2057" s="197"/>
    </row>
    <row r="2058" spans="28:49" s="196" customFormat="1">
      <c r="AB2058" s="201"/>
      <c r="AC2058" s="201"/>
      <c r="AD2058" s="197"/>
      <c r="AE2058" s="197"/>
      <c r="AF2058" s="197"/>
      <c r="AG2058" s="197"/>
      <c r="AH2058" s="197"/>
      <c r="AI2058" s="197"/>
      <c r="AJ2058" s="197"/>
      <c r="AK2058" s="197"/>
      <c r="AL2058" s="197"/>
      <c r="AM2058" s="197"/>
      <c r="AN2058" s="197"/>
      <c r="AO2058" s="197"/>
      <c r="AP2058" s="197"/>
      <c r="AQ2058" s="197"/>
      <c r="AR2058" s="197"/>
      <c r="AS2058" s="197"/>
      <c r="AT2058" s="197"/>
      <c r="AU2058" s="197"/>
      <c r="AV2058" s="197"/>
      <c r="AW2058" s="197"/>
    </row>
    <row r="2059" spans="28:49" s="196" customFormat="1">
      <c r="AB2059" s="201"/>
      <c r="AC2059" s="201"/>
      <c r="AD2059" s="197"/>
      <c r="AE2059" s="197"/>
      <c r="AF2059" s="197"/>
      <c r="AG2059" s="197"/>
      <c r="AH2059" s="197"/>
      <c r="AI2059" s="197"/>
      <c r="AJ2059" s="197"/>
      <c r="AK2059" s="197"/>
      <c r="AL2059" s="197"/>
      <c r="AM2059" s="197"/>
      <c r="AN2059" s="197"/>
      <c r="AO2059" s="197"/>
      <c r="AP2059" s="197"/>
      <c r="AQ2059" s="197"/>
      <c r="AR2059" s="197"/>
      <c r="AS2059" s="197"/>
      <c r="AT2059" s="197"/>
      <c r="AU2059" s="197"/>
      <c r="AV2059" s="197"/>
      <c r="AW2059" s="197"/>
    </row>
    <row r="2060" spans="28:49" s="196" customFormat="1">
      <c r="AB2060" s="201"/>
      <c r="AC2060" s="201"/>
      <c r="AD2060" s="197"/>
      <c r="AE2060" s="197"/>
      <c r="AF2060" s="197"/>
      <c r="AG2060" s="197"/>
      <c r="AH2060" s="197"/>
      <c r="AI2060" s="197"/>
      <c r="AJ2060" s="197"/>
      <c r="AK2060" s="197"/>
      <c r="AL2060" s="197"/>
      <c r="AM2060" s="197"/>
      <c r="AN2060" s="197"/>
      <c r="AO2060" s="197"/>
      <c r="AP2060" s="197"/>
      <c r="AQ2060" s="197"/>
      <c r="AR2060" s="197"/>
      <c r="AS2060" s="197"/>
      <c r="AT2060" s="197"/>
      <c r="AU2060" s="197"/>
      <c r="AV2060" s="197"/>
      <c r="AW2060" s="197"/>
    </row>
    <row r="2061" spans="28:49" s="196" customFormat="1">
      <c r="AB2061" s="201"/>
      <c r="AC2061" s="201"/>
      <c r="AD2061" s="197"/>
      <c r="AE2061" s="197"/>
      <c r="AF2061" s="197"/>
      <c r="AG2061" s="197"/>
      <c r="AH2061" s="197"/>
      <c r="AI2061" s="197"/>
      <c r="AJ2061" s="197"/>
      <c r="AK2061" s="197"/>
      <c r="AL2061" s="197"/>
      <c r="AM2061" s="197"/>
      <c r="AN2061" s="197"/>
      <c r="AO2061" s="197"/>
      <c r="AP2061" s="197"/>
      <c r="AQ2061" s="197"/>
      <c r="AR2061" s="197"/>
      <c r="AS2061" s="197"/>
      <c r="AT2061" s="197"/>
      <c r="AU2061" s="197"/>
      <c r="AV2061" s="197"/>
      <c r="AW2061" s="197"/>
    </row>
    <row r="2062" spans="28:49" s="196" customFormat="1">
      <c r="AB2062" s="201"/>
      <c r="AC2062" s="201"/>
      <c r="AD2062" s="197"/>
      <c r="AE2062" s="197"/>
      <c r="AF2062" s="197"/>
      <c r="AG2062" s="197"/>
      <c r="AH2062" s="197"/>
      <c r="AI2062" s="197"/>
      <c r="AJ2062" s="197"/>
      <c r="AK2062" s="197"/>
      <c r="AL2062" s="197"/>
      <c r="AM2062" s="197"/>
      <c r="AN2062" s="197"/>
      <c r="AO2062" s="197"/>
      <c r="AP2062" s="197"/>
      <c r="AQ2062" s="197"/>
      <c r="AR2062" s="197"/>
      <c r="AS2062" s="197"/>
      <c r="AT2062" s="197"/>
      <c r="AU2062" s="197"/>
      <c r="AV2062" s="197"/>
      <c r="AW2062" s="197"/>
    </row>
    <row r="2063" spans="28:49" s="196" customFormat="1">
      <c r="AB2063" s="201"/>
      <c r="AC2063" s="201"/>
      <c r="AD2063" s="197"/>
      <c r="AE2063" s="197"/>
      <c r="AF2063" s="197"/>
      <c r="AG2063" s="197"/>
      <c r="AH2063" s="197"/>
      <c r="AI2063" s="197"/>
      <c r="AJ2063" s="197"/>
      <c r="AK2063" s="197"/>
      <c r="AL2063" s="197"/>
      <c r="AM2063" s="197"/>
      <c r="AN2063" s="197"/>
      <c r="AO2063" s="197"/>
      <c r="AP2063" s="197"/>
      <c r="AQ2063" s="197"/>
      <c r="AR2063" s="197"/>
      <c r="AS2063" s="197"/>
      <c r="AT2063" s="197"/>
      <c r="AU2063" s="197"/>
      <c r="AV2063" s="197"/>
      <c r="AW2063" s="197"/>
    </row>
    <row r="2064" spans="28:49" s="196" customFormat="1">
      <c r="AB2064" s="201"/>
      <c r="AC2064" s="201"/>
      <c r="AD2064" s="197"/>
      <c r="AE2064" s="197"/>
      <c r="AF2064" s="197"/>
      <c r="AG2064" s="197"/>
      <c r="AH2064" s="197"/>
      <c r="AI2064" s="197"/>
      <c r="AJ2064" s="197"/>
      <c r="AK2064" s="197"/>
      <c r="AL2064" s="197"/>
      <c r="AM2064" s="197"/>
      <c r="AN2064" s="197"/>
      <c r="AO2064" s="197"/>
      <c r="AP2064" s="197"/>
      <c r="AQ2064" s="197"/>
      <c r="AR2064" s="197"/>
      <c r="AS2064" s="197"/>
      <c r="AT2064" s="197"/>
      <c r="AU2064" s="197"/>
      <c r="AV2064" s="197"/>
      <c r="AW2064" s="197"/>
    </row>
    <row r="2065" spans="28:49" s="196" customFormat="1">
      <c r="AB2065" s="201"/>
      <c r="AC2065" s="201"/>
      <c r="AD2065" s="197"/>
      <c r="AE2065" s="197"/>
      <c r="AF2065" s="197"/>
      <c r="AG2065" s="197"/>
      <c r="AH2065" s="197"/>
      <c r="AI2065" s="197"/>
      <c r="AJ2065" s="197"/>
      <c r="AK2065" s="197"/>
      <c r="AL2065" s="197"/>
      <c r="AM2065" s="197"/>
      <c r="AN2065" s="197"/>
      <c r="AO2065" s="197"/>
      <c r="AP2065" s="197"/>
      <c r="AQ2065" s="197"/>
      <c r="AR2065" s="197"/>
      <c r="AS2065" s="197"/>
      <c r="AT2065" s="197"/>
      <c r="AU2065" s="197"/>
      <c r="AV2065" s="197"/>
      <c r="AW2065" s="197"/>
    </row>
    <row r="2066" spans="28:49" s="196" customFormat="1">
      <c r="AB2066" s="201"/>
      <c r="AC2066" s="201"/>
      <c r="AD2066" s="197"/>
      <c r="AE2066" s="197"/>
      <c r="AF2066" s="197"/>
      <c r="AG2066" s="197"/>
      <c r="AH2066" s="197"/>
      <c r="AI2066" s="197"/>
      <c r="AJ2066" s="197"/>
      <c r="AK2066" s="197"/>
      <c r="AL2066" s="197"/>
      <c r="AM2066" s="197"/>
      <c r="AN2066" s="197"/>
      <c r="AO2066" s="197"/>
      <c r="AP2066" s="197"/>
      <c r="AQ2066" s="197"/>
      <c r="AR2066" s="197"/>
      <c r="AS2066" s="197"/>
      <c r="AT2066" s="197"/>
      <c r="AU2066" s="197"/>
      <c r="AV2066" s="197"/>
      <c r="AW2066" s="197"/>
    </row>
    <row r="2067" spans="28:49" s="196" customFormat="1">
      <c r="AB2067" s="201"/>
      <c r="AC2067" s="201"/>
      <c r="AD2067" s="197"/>
      <c r="AE2067" s="197"/>
      <c r="AF2067" s="197"/>
      <c r="AG2067" s="197"/>
      <c r="AH2067" s="197"/>
      <c r="AI2067" s="197"/>
      <c r="AJ2067" s="197"/>
      <c r="AK2067" s="197"/>
      <c r="AL2067" s="197"/>
      <c r="AM2067" s="197"/>
      <c r="AN2067" s="197"/>
      <c r="AO2067" s="197"/>
      <c r="AP2067" s="197"/>
      <c r="AQ2067" s="197"/>
      <c r="AR2067" s="197"/>
      <c r="AS2067" s="197"/>
      <c r="AT2067" s="197"/>
      <c r="AU2067" s="197"/>
      <c r="AV2067" s="197"/>
      <c r="AW2067" s="197"/>
    </row>
    <row r="2068" spans="28:49" s="196" customFormat="1">
      <c r="AB2068" s="201"/>
      <c r="AC2068" s="201"/>
      <c r="AD2068" s="197"/>
      <c r="AE2068" s="197"/>
      <c r="AF2068" s="197"/>
      <c r="AG2068" s="197"/>
      <c r="AH2068" s="197"/>
      <c r="AI2068" s="197"/>
      <c r="AJ2068" s="197"/>
      <c r="AK2068" s="197"/>
      <c r="AL2068" s="197"/>
      <c r="AM2068" s="197"/>
      <c r="AN2068" s="197"/>
      <c r="AO2068" s="197"/>
      <c r="AP2068" s="197"/>
      <c r="AQ2068" s="197"/>
      <c r="AR2068" s="197"/>
      <c r="AS2068" s="197"/>
      <c r="AT2068" s="197"/>
      <c r="AU2068" s="197"/>
      <c r="AV2068" s="197"/>
      <c r="AW2068" s="197"/>
    </row>
    <row r="2069" spans="28:49" s="196" customFormat="1">
      <c r="AB2069" s="201"/>
      <c r="AC2069" s="201"/>
      <c r="AD2069" s="197"/>
      <c r="AE2069" s="197"/>
      <c r="AF2069" s="197"/>
      <c r="AG2069" s="197"/>
      <c r="AH2069" s="197"/>
      <c r="AI2069" s="197"/>
      <c r="AJ2069" s="197"/>
      <c r="AK2069" s="197"/>
      <c r="AL2069" s="197"/>
      <c r="AM2069" s="197"/>
      <c r="AN2069" s="197"/>
      <c r="AO2069" s="197"/>
      <c r="AP2069" s="197"/>
      <c r="AQ2069" s="197"/>
      <c r="AR2069" s="197"/>
      <c r="AS2069" s="197"/>
      <c r="AT2069" s="197"/>
      <c r="AU2069" s="197"/>
      <c r="AV2069" s="197"/>
      <c r="AW2069" s="197"/>
    </row>
    <row r="2070" spans="28:49" s="196" customFormat="1">
      <c r="AB2070" s="201"/>
      <c r="AC2070" s="201"/>
      <c r="AD2070" s="197"/>
      <c r="AE2070" s="197"/>
      <c r="AF2070" s="197"/>
      <c r="AG2070" s="197"/>
      <c r="AH2070" s="197"/>
      <c r="AI2070" s="197"/>
      <c r="AJ2070" s="197"/>
      <c r="AK2070" s="197"/>
      <c r="AL2070" s="197"/>
      <c r="AM2070" s="197"/>
      <c r="AN2070" s="197"/>
      <c r="AO2070" s="197"/>
      <c r="AP2070" s="197"/>
      <c r="AQ2070" s="197"/>
      <c r="AR2070" s="197"/>
      <c r="AS2070" s="197"/>
      <c r="AT2070" s="197"/>
      <c r="AU2070" s="197"/>
      <c r="AV2070" s="197"/>
      <c r="AW2070" s="197"/>
    </row>
    <row r="2071" spans="28:49" s="196" customFormat="1">
      <c r="AB2071" s="201"/>
      <c r="AC2071" s="201"/>
      <c r="AD2071" s="197"/>
      <c r="AE2071" s="197"/>
      <c r="AF2071" s="197"/>
      <c r="AG2071" s="197"/>
      <c r="AH2071" s="197"/>
      <c r="AI2071" s="197"/>
      <c r="AJ2071" s="197"/>
      <c r="AK2071" s="197"/>
      <c r="AL2071" s="197"/>
      <c r="AM2071" s="197"/>
      <c r="AN2071" s="197"/>
      <c r="AO2071" s="197"/>
      <c r="AP2071" s="197"/>
      <c r="AQ2071" s="197"/>
      <c r="AR2071" s="197"/>
      <c r="AS2071" s="197"/>
      <c r="AT2071" s="197"/>
      <c r="AU2071" s="197"/>
      <c r="AV2071" s="197"/>
      <c r="AW2071" s="197"/>
    </row>
    <row r="2072" spans="28:49" s="196" customFormat="1">
      <c r="AB2072" s="201"/>
      <c r="AC2072" s="201"/>
      <c r="AD2072" s="197"/>
      <c r="AE2072" s="197"/>
      <c r="AF2072" s="197"/>
      <c r="AG2072" s="197"/>
      <c r="AH2072" s="197"/>
      <c r="AI2072" s="197"/>
      <c r="AJ2072" s="197"/>
      <c r="AK2072" s="197"/>
      <c r="AL2072" s="197"/>
      <c r="AM2072" s="197"/>
      <c r="AN2072" s="197"/>
      <c r="AO2072" s="197"/>
      <c r="AP2072" s="197"/>
      <c r="AQ2072" s="197"/>
      <c r="AR2072" s="197"/>
      <c r="AS2072" s="197"/>
      <c r="AT2072" s="197"/>
      <c r="AU2072" s="197"/>
      <c r="AV2072" s="197"/>
      <c r="AW2072" s="197"/>
    </row>
    <row r="2073" spans="28:49" s="196" customFormat="1">
      <c r="AB2073" s="201"/>
      <c r="AC2073" s="201"/>
      <c r="AD2073" s="197"/>
      <c r="AE2073" s="197"/>
      <c r="AF2073" s="197"/>
      <c r="AG2073" s="197"/>
      <c r="AH2073" s="197"/>
      <c r="AI2073" s="197"/>
      <c r="AJ2073" s="197"/>
      <c r="AK2073" s="197"/>
      <c r="AL2073" s="197"/>
      <c r="AM2073" s="197"/>
      <c r="AN2073" s="197"/>
      <c r="AO2073" s="197"/>
      <c r="AP2073" s="197"/>
      <c r="AQ2073" s="197"/>
      <c r="AR2073" s="197"/>
      <c r="AS2073" s="197"/>
      <c r="AT2073" s="197"/>
      <c r="AU2073" s="197"/>
      <c r="AV2073" s="197"/>
      <c r="AW2073" s="197"/>
    </row>
    <row r="2074" spans="28:49" s="196" customFormat="1">
      <c r="AB2074" s="201"/>
      <c r="AC2074" s="201"/>
      <c r="AD2074" s="197"/>
      <c r="AE2074" s="197"/>
      <c r="AF2074" s="197"/>
      <c r="AG2074" s="197"/>
      <c r="AH2074" s="197"/>
      <c r="AI2074" s="197"/>
      <c r="AJ2074" s="197"/>
      <c r="AK2074" s="197"/>
      <c r="AL2074" s="197"/>
      <c r="AM2074" s="197"/>
      <c r="AN2074" s="197"/>
      <c r="AO2074" s="197"/>
      <c r="AP2074" s="197"/>
      <c r="AQ2074" s="197"/>
      <c r="AR2074" s="197"/>
      <c r="AS2074" s="197"/>
      <c r="AT2074" s="197"/>
      <c r="AU2074" s="197"/>
      <c r="AV2074" s="197"/>
      <c r="AW2074" s="197"/>
    </row>
    <row r="2075" spans="28:49" s="196" customFormat="1">
      <c r="AB2075" s="201"/>
      <c r="AC2075" s="201"/>
      <c r="AD2075" s="197"/>
      <c r="AE2075" s="197"/>
      <c r="AF2075" s="197"/>
      <c r="AG2075" s="197"/>
      <c r="AH2075" s="197"/>
      <c r="AI2075" s="197"/>
      <c r="AJ2075" s="197"/>
      <c r="AK2075" s="197"/>
      <c r="AL2075" s="197"/>
      <c r="AM2075" s="197"/>
      <c r="AN2075" s="197"/>
      <c r="AO2075" s="197"/>
      <c r="AP2075" s="197"/>
      <c r="AQ2075" s="197"/>
      <c r="AR2075" s="197"/>
      <c r="AS2075" s="197"/>
      <c r="AT2075" s="197"/>
      <c r="AU2075" s="197"/>
      <c r="AV2075" s="197"/>
      <c r="AW2075" s="197"/>
    </row>
    <row r="2076" spans="28:49" s="196" customFormat="1">
      <c r="AB2076" s="201"/>
      <c r="AC2076" s="201"/>
      <c r="AD2076" s="197"/>
      <c r="AE2076" s="197"/>
      <c r="AF2076" s="197"/>
      <c r="AG2076" s="197"/>
      <c r="AH2076" s="197"/>
      <c r="AI2076" s="197"/>
      <c r="AJ2076" s="197"/>
      <c r="AK2076" s="197"/>
      <c r="AL2076" s="197"/>
      <c r="AM2076" s="197"/>
      <c r="AN2076" s="197"/>
      <c r="AO2076" s="197"/>
      <c r="AP2076" s="197"/>
      <c r="AQ2076" s="197"/>
      <c r="AR2076" s="197"/>
      <c r="AS2076" s="197"/>
      <c r="AT2076" s="197"/>
      <c r="AU2076" s="197"/>
      <c r="AV2076" s="197"/>
      <c r="AW2076" s="197"/>
    </row>
    <row r="2077" spans="28:49" s="196" customFormat="1">
      <c r="AB2077" s="201"/>
      <c r="AC2077" s="201"/>
      <c r="AD2077" s="197"/>
      <c r="AE2077" s="197"/>
      <c r="AF2077" s="197"/>
      <c r="AG2077" s="197"/>
      <c r="AH2077" s="197"/>
      <c r="AI2077" s="197"/>
      <c r="AJ2077" s="197"/>
      <c r="AK2077" s="197"/>
      <c r="AL2077" s="197"/>
      <c r="AM2077" s="197"/>
      <c r="AN2077" s="197"/>
      <c r="AO2077" s="197"/>
      <c r="AP2077" s="197"/>
      <c r="AQ2077" s="197"/>
      <c r="AR2077" s="197"/>
      <c r="AS2077" s="197"/>
      <c r="AT2077" s="197"/>
      <c r="AU2077" s="197"/>
      <c r="AV2077" s="197"/>
      <c r="AW2077" s="197"/>
    </row>
    <row r="2078" spans="28:49" s="196" customFormat="1">
      <c r="AB2078" s="201"/>
      <c r="AC2078" s="201"/>
      <c r="AD2078" s="197"/>
      <c r="AE2078" s="197"/>
      <c r="AF2078" s="197"/>
      <c r="AG2078" s="197"/>
      <c r="AH2078" s="197"/>
      <c r="AI2078" s="197"/>
      <c r="AJ2078" s="197"/>
      <c r="AK2078" s="197"/>
      <c r="AL2078" s="197"/>
      <c r="AM2078" s="197"/>
      <c r="AN2078" s="197"/>
      <c r="AO2078" s="197"/>
      <c r="AP2078" s="197"/>
      <c r="AQ2078" s="197"/>
      <c r="AR2078" s="197"/>
      <c r="AS2078" s="197"/>
      <c r="AT2078" s="197"/>
      <c r="AU2078" s="197"/>
      <c r="AV2078" s="197"/>
      <c r="AW2078" s="197"/>
    </row>
    <row r="2079" spans="28:49" s="196" customFormat="1">
      <c r="AB2079" s="201"/>
      <c r="AC2079" s="201"/>
      <c r="AD2079" s="197"/>
      <c r="AE2079" s="197"/>
      <c r="AF2079" s="197"/>
      <c r="AG2079" s="197"/>
      <c r="AH2079" s="197"/>
      <c r="AI2079" s="197"/>
      <c r="AJ2079" s="197"/>
      <c r="AK2079" s="197"/>
      <c r="AL2079" s="197"/>
      <c r="AM2079" s="197"/>
      <c r="AN2079" s="197"/>
      <c r="AO2079" s="197"/>
      <c r="AP2079" s="197"/>
      <c r="AQ2079" s="197"/>
      <c r="AR2079" s="197"/>
      <c r="AS2079" s="197"/>
      <c r="AT2079" s="197"/>
      <c r="AU2079" s="197"/>
      <c r="AV2079" s="197"/>
      <c r="AW2079" s="197"/>
    </row>
    <row r="2080" spans="28:49" s="196" customFormat="1">
      <c r="AB2080" s="201"/>
      <c r="AC2080" s="201"/>
      <c r="AD2080" s="197"/>
      <c r="AE2080" s="197"/>
      <c r="AF2080" s="197"/>
      <c r="AG2080" s="197"/>
      <c r="AH2080" s="197"/>
      <c r="AI2080" s="197"/>
      <c r="AJ2080" s="197"/>
      <c r="AK2080" s="197"/>
      <c r="AL2080" s="197"/>
      <c r="AM2080" s="197"/>
      <c r="AN2080" s="197"/>
      <c r="AO2080" s="197"/>
      <c r="AP2080" s="197"/>
      <c r="AQ2080" s="197"/>
      <c r="AR2080" s="197"/>
      <c r="AS2080" s="197"/>
      <c r="AT2080" s="197"/>
      <c r="AU2080" s="197"/>
      <c r="AV2080" s="197"/>
      <c r="AW2080" s="197"/>
    </row>
    <row r="2081" spans="28:49" s="196" customFormat="1">
      <c r="AB2081" s="201"/>
      <c r="AC2081" s="201"/>
      <c r="AD2081" s="197"/>
      <c r="AE2081" s="197"/>
      <c r="AF2081" s="197"/>
      <c r="AG2081" s="197"/>
      <c r="AH2081" s="197"/>
      <c r="AI2081" s="197"/>
      <c r="AJ2081" s="197"/>
      <c r="AK2081" s="197"/>
      <c r="AL2081" s="197"/>
      <c r="AM2081" s="197"/>
      <c r="AN2081" s="197"/>
      <c r="AO2081" s="197"/>
      <c r="AP2081" s="197"/>
      <c r="AQ2081" s="197"/>
      <c r="AR2081" s="197"/>
      <c r="AS2081" s="197"/>
      <c r="AT2081" s="197"/>
      <c r="AU2081" s="197"/>
      <c r="AV2081" s="197"/>
      <c r="AW2081" s="197"/>
    </row>
    <row r="2082" spans="28:49" s="196" customFormat="1">
      <c r="AB2082" s="201"/>
      <c r="AC2082" s="201"/>
      <c r="AD2082" s="197"/>
      <c r="AE2082" s="197"/>
      <c r="AF2082" s="197"/>
      <c r="AG2082" s="197"/>
      <c r="AH2082" s="197"/>
      <c r="AI2082" s="197"/>
      <c r="AJ2082" s="197"/>
      <c r="AK2082" s="197"/>
      <c r="AL2082" s="197"/>
      <c r="AM2082" s="197"/>
      <c r="AN2082" s="197"/>
      <c r="AO2082" s="197"/>
      <c r="AP2082" s="197"/>
      <c r="AQ2082" s="197"/>
      <c r="AR2082" s="197"/>
      <c r="AS2082" s="197"/>
      <c r="AT2082" s="197"/>
      <c r="AU2082" s="197"/>
      <c r="AV2082" s="197"/>
      <c r="AW2082" s="197"/>
    </row>
    <row r="2083" spans="28:49" s="196" customFormat="1">
      <c r="AB2083" s="201"/>
      <c r="AC2083" s="201"/>
      <c r="AD2083" s="197"/>
      <c r="AE2083" s="197"/>
      <c r="AF2083" s="197"/>
      <c r="AG2083" s="197"/>
      <c r="AH2083" s="197"/>
      <c r="AI2083" s="197"/>
      <c r="AJ2083" s="197"/>
      <c r="AK2083" s="197"/>
      <c r="AL2083" s="197"/>
      <c r="AM2083" s="197"/>
      <c r="AN2083" s="197"/>
      <c r="AO2083" s="197"/>
      <c r="AP2083" s="197"/>
      <c r="AQ2083" s="197"/>
      <c r="AR2083" s="197"/>
      <c r="AS2083" s="197"/>
      <c r="AT2083" s="197"/>
      <c r="AU2083" s="197"/>
      <c r="AV2083" s="197"/>
      <c r="AW2083" s="197"/>
    </row>
    <row r="2084" spans="28:49" s="196" customFormat="1">
      <c r="AB2084" s="201"/>
      <c r="AC2084" s="201"/>
      <c r="AD2084" s="197"/>
      <c r="AE2084" s="197"/>
      <c r="AF2084" s="197"/>
      <c r="AG2084" s="197"/>
      <c r="AH2084" s="197"/>
      <c r="AI2084" s="197"/>
      <c r="AJ2084" s="197"/>
      <c r="AK2084" s="197"/>
      <c r="AL2084" s="197"/>
      <c r="AM2084" s="197"/>
      <c r="AN2084" s="197"/>
      <c r="AO2084" s="197"/>
      <c r="AP2084" s="197"/>
      <c r="AQ2084" s="197"/>
      <c r="AR2084" s="197"/>
      <c r="AS2084" s="197"/>
      <c r="AT2084" s="197"/>
      <c r="AU2084" s="197"/>
      <c r="AV2084" s="197"/>
      <c r="AW2084" s="197"/>
    </row>
    <row r="2085" spans="28:49" s="196" customFormat="1">
      <c r="AB2085" s="201"/>
      <c r="AC2085" s="201"/>
      <c r="AD2085" s="197"/>
      <c r="AE2085" s="197"/>
      <c r="AF2085" s="197"/>
      <c r="AG2085" s="197"/>
      <c r="AH2085" s="197"/>
      <c r="AI2085" s="197"/>
      <c r="AJ2085" s="197"/>
      <c r="AK2085" s="197"/>
      <c r="AL2085" s="197"/>
      <c r="AM2085" s="197"/>
      <c r="AN2085" s="197"/>
      <c r="AO2085" s="197"/>
      <c r="AP2085" s="197"/>
      <c r="AQ2085" s="197"/>
      <c r="AR2085" s="197"/>
      <c r="AS2085" s="197"/>
      <c r="AT2085" s="197"/>
      <c r="AU2085" s="197"/>
      <c r="AV2085" s="197"/>
      <c r="AW2085" s="197"/>
    </row>
    <row r="2086" spans="28:49" s="196" customFormat="1">
      <c r="AB2086" s="201"/>
      <c r="AC2086" s="201"/>
      <c r="AD2086" s="197"/>
      <c r="AE2086" s="197"/>
      <c r="AF2086" s="197"/>
      <c r="AG2086" s="197"/>
      <c r="AH2086" s="197"/>
      <c r="AI2086" s="197"/>
      <c r="AJ2086" s="197"/>
      <c r="AK2086" s="197"/>
      <c r="AL2086" s="197"/>
      <c r="AM2086" s="197"/>
      <c r="AN2086" s="197"/>
      <c r="AO2086" s="197"/>
      <c r="AP2086" s="197"/>
      <c r="AQ2086" s="197"/>
      <c r="AR2086" s="197"/>
      <c r="AS2086" s="197"/>
      <c r="AT2086" s="197"/>
      <c r="AU2086" s="197"/>
      <c r="AV2086" s="197"/>
      <c r="AW2086" s="197"/>
    </row>
    <row r="2087" spans="28:49" s="196" customFormat="1">
      <c r="AB2087" s="201"/>
      <c r="AC2087" s="201"/>
      <c r="AD2087" s="197"/>
      <c r="AE2087" s="197"/>
      <c r="AF2087" s="197"/>
      <c r="AG2087" s="197"/>
      <c r="AH2087" s="197"/>
      <c r="AI2087" s="197"/>
      <c r="AJ2087" s="197"/>
      <c r="AK2087" s="197"/>
      <c r="AL2087" s="197"/>
      <c r="AM2087" s="197"/>
      <c r="AN2087" s="197"/>
      <c r="AO2087" s="197"/>
      <c r="AP2087" s="197"/>
      <c r="AQ2087" s="197"/>
      <c r="AR2087" s="197"/>
      <c r="AS2087" s="197"/>
      <c r="AT2087" s="197"/>
      <c r="AU2087" s="197"/>
      <c r="AV2087" s="197"/>
      <c r="AW2087" s="197"/>
    </row>
    <row r="2088" spans="28:49" s="196" customFormat="1">
      <c r="AB2088" s="201"/>
      <c r="AC2088" s="201"/>
      <c r="AD2088" s="197"/>
      <c r="AE2088" s="197"/>
      <c r="AF2088" s="197"/>
      <c r="AG2088" s="197"/>
      <c r="AH2088" s="197"/>
      <c r="AI2088" s="197"/>
      <c r="AJ2088" s="197"/>
      <c r="AK2088" s="197"/>
      <c r="AL2088" s="197"/>
      <c r="AM2088" s="197"/>
      <c r="AN2088" s="197"/>
      <c r="AO2088" s="197"/>
      <c r="AP2088" s="197"/>
      <c r="AQ2088" s="197"/>
      <c r="AR2088" s="197"/>
      <c r="AS2088" s="197"/>
      <c r="AT2088" s="197"/>
      <c r="AU2088" s="197"/>
      <c r="AV2088" s="197"/>
      <c r="AW2088" s="197"/>
    </row>
    <row r="2089" spans="28:49" s="196" customFormat="1">
      <c r="AB2089" s="201"/>
      <c r="AC2089" s="201"/>
      <c r="AD2089" s="197"/>
      <c r="AE2089" s="197"/>
      <c r="AF2089" s="197"/>
      <c r="AG2089" s="197"/>
      <c r="AH2089" s="197"/>
      <c r="AI2089" s="197"/>
      <c r="AJ2089" s="197"/>
      <c r="AK2089" s="197"/>
      <c r="AL2089" s="197"/>
      <c r="AM2089" s="197"/>
      <c r="AN2089" s="197"/>
      <c r="AO2089" s="197"/>
      <c r="AP2089" s="197"/>
      <c r="AQ2089" s="197"/>
      <c r="AR2089" s="197"/>
      <c r="AS2089" s="197"/>
      <c r="AT2089" s="197"/>
      <c r="AU2089" s="197"/>
      <c r="AV2089" s="197"/>
      <c r="AW2089" s="197"/>
    </row>
    <row r="2090" spans="28:49" s="196" customFormat="1">
      <c r="AB2090" s="201"/>
      <c r="AC2090" s="201"/>
      <c r="AD2090" s="197"/>
      <c r="AE2090" s="197"/>
      <c r="AF2090" s="197"/>
      <c r="AG2090" s="197"/>
      <c r="AH2090" s="197"/>
      <c r="AI2090" s="197"/>
      <c r="AJ2090" s="197"/>
      <c r="AK2090" s="197"/>
      <c r="AL2090" s="197"/>
      <c r="AM2090" s="197"/>
      <c r="AN2090" s="197"/>
      <c r="AO2090" s="197"/>
      <c r="AP2090" s="197"/>
      <c r="AQ2090" s="197"/>
      <c r="AR2090" s="197"/>
      <c r="AS2090" s="197"/>
      <c r="AT2090" s="197"/>
      <c r="AU2090" s="197"/>
      <c r="AV2090" s="197"/>
      <c r="AW2090" s="197"/>
    </row>
    <row r="2091" spans="28:49" s="196" customFormat="1">
      <c r="AB2091" s="201"/>
      <c r="AC2091" s="201"/>
      <c r="AD2091" s="197"/>
      <c r="AE2091" s="197"/>
      <c r="AF2091" s="197"/>
      <c r="AG2091" s="197"/>
      <c r="AH2091" s="197"/>
      <c r="AI2091" s="197"/>
      <c r="AJ2091" s="197"/>
      <c r="AK2091" s="197"/>
      <c r="AL2091" s="197"/>
      <c r="AM2091" s="197"/>
      <c r="AN2091" s="197"/>
      <c r="AO2091" s="197"/>
      <c r="AP2091" s="197"/>
      <c r="AQ2091" s="197"/>
      <c r="AR2091" s="197"/>
      <c r="AS2091" s="197"/>
      <c r="AT2091" s="197"/>
      <c r="AU2091" s="197"/>
      <c r="AV2091" s="197"/>
      <c r="AW2091" s="197"/>
    </row>
    <row r="2092" spans="28:49" s="196" customFormat="1">
      <c r="AB2092" s="201"/>
      <c r="AC2092" s="201"/>
      <c r="AD2092" s="197"/>
      <c r="AE2092" s="197"/>
      <c r="AF2092" s="197"/>
      <c r="AG2092" s="197"/>
      <c r="AH2092" s="197"/>
      <c r="AI2092" s="197"/>
      <c r="AJ2092" s="197"/>
      <c r="AK2092" s="197"/>
      <c r="AL2092" s="197"/>
      <c r="AM2092" s="197"/>
      <c r="AN2092" s="197"/>
      <c r="AO2092" s="197"/>
      <c r="AP2092" s="197"/>
      <c r="AQ2092" s="197"/>
      <c r="AR2092" s="197"/>
      <c r="AS2092" s="197"/>
      <c r="AT2092" s="197"/>
      <c r="AU2092" s="197"/>
      <c r="AV2092" s="197"/>
      <c r="AW2092" s="197"/>
    </row>
    <row r="2093" spans="28:49" s="196" customFormat="1">
      <c r="AB2093" s="201"/>
      <c r="AC2093" s="201"/>
      <c r="AD2093" s="197"/>
      <c r="AE2093" s="197"/>
      <c r="AF2093" s="197"/>
      <c r="AG2093" s="197"/>
      <c r="AH2093" s="197"/>
      <c r="AI2093" s="197"/>
      <c r="AJ2093" s="197"/>
      <c r="AK2093" s="197"/>
      <c r="AL2093" s="197"/>
      <c r="AM2093" s="197"/>
      <c r="AN2093" s="197"/>
      <c r="AO2093" s="197"/>
      <c r="AP2093" s="197"/>
      <c r="AQ2093" s="197"/>
      <c r="AR2093" s="197"/>
      <c r="AS2093" s="197"/>
      <c r="AT2093" s="197"/>
      <c r="AU2093" s="197"/>
      <c r="AV2093" s="197"/>
      <c r="AW2093" s="197"/>
    </row>
    <row r="2094" spans="28:49" s="196" customFormat="1">
      <c r="AB2094" s="201"/>
      <c r="AC2094" s="201"/>
      <c r="AD2094" s="197"/>
      <c r="AE2094" s="197"/>
      <c r="AF2094" s="197"/>
      <c r="AG2094" s="197"/>
      <c r="AH2094" s="197"/>
      <c r="AI2094" s="197"/>
      <c r="AJ2094" s="197"/>
      <c r="AK2094" s="197"/>
      <c r="AL2094" s="197"/>
      <c r="AM2094" s="197"/>
      <c r="AN2094" s="197"/>
      <c r="AO2094" s="197"/>
      <c r="AP2094" s="197"/>
      <c r="AQ2094" s="197"/>
      <c r="AR2094" s="197"/>
      <c r="AS2094" s="197"/>
      <c r="AT2094" s="197"/>
      <c r="AU2094" s="197"/>
      <c r="AV2094" s="197"/>
      <c r="AW2094" s="197"/>
    </row>
    <row r="2095" spans="28:49" s="196" customFormat="1">
      <c r="AB2095" s="201"/>
      <c r="AC2095" s="201"/>
      <c r="AD2095" s="197"/>
      <c r="AE2095" s="197"/>
      <c r="AF2095" s="197"/>
      <c r="AG2095" s="197"/>
      <c r="AH2095" s="197"/>
      <c r="AI2095" s="197"/>
      <c r="AJ2095" s="197"/>
      <c r="AK2095" s="197"/>
      <c r="AL2095" s="197"/>
      <c r="AM2095" s="197"/>
      <c r="AN2095" s="197"/>
      <c r="AO2095" s="197"/>
      <c r="AP2095" s="197"/>
      <c r="AQ2095" s="197"/>
      <c r="AR2095" s="197"/>
      <c r="AS2095" s="197"/>
      <c r="AT2095" s="197"/>
      <c r="AU2095" s="197"/>
      <c r="AV2095" s="197"/>
      <c r="AW2095" s="197"/>
    </row>
    <row r="2096" spans="28:49" s="196" customFormat="1">
      <c r="AB2096" s="201"/>
      <c r="AC2096" s="201"/>
      <c r="AD2096" s="197"/>
      <c r="AE2096" s="197"/>
      <c r="AF2096" s="197"/>
      <c r="AG2096" s="197"/>
      <c r="AH2096" s="197"/>
      <c r="AI2096" s="197"/>
      <c r="AJ2096" s="197"/>
      <c r="AK2096" s="197"/>
      <c r="AL2096" s="197"/>
      <c r="AM2096" s="197"/>
      <c r="AN2096" s="197"/>
      <c r="AO2096" s="197"/>
      <c r="AP2096" s="197"/>
      <c r="AQ2096" s="197"/>
      <c r="AR2096" s="197"/>
      <c r="AS2096" s="197"/>
      <c r="AT2096" s="197"/>
      <c r="AU2096" s="197"/>
      <c r="AV2096" s="197"/>
      <c r="AW2096" s="197"/>
    </row>
    <row r="2097" spans="28:49" s="196" customFormat="1">
      <c r="AB2097" s="201"/>
      <c r="AC2097" s="201"/>
      <c r="AD2097" s="197"/>
      <c r="AE2097" s="197"/>
      <c r="AF2097" s="197"/>
      <c r="AG2097" s="197"/>
      <c r="AH2097" s="197"/>
      <c r="AI2097" s="197"/>
      <c r="AJ2097" s="197"/>
      <c r="AK2097" s="197"/>
      <c r="AL2097" s="197"/>
      <c r="AM2097" s="197"/>
      <c r="AN2097" s="197"/>
      <c r="AO2097" s="197"/>
      <c r="AP2097" s="197"/>
      <c r="AQ2097" s="197"/>
      <c r="AR2097" s="197"/>
      <c r="AS2097" s="197"/>
      <c r="AT2097" s="197"/>
      <c r="AU2097" s="197"/>
      <c r="AV2097" s="197"/>
      <c r="AW2097" s="197"/>
    </row>
    <row r="2098" spans="28:49" s="196" customFormat="1">
      <c r="AB2098" s="201"/>
      <c r="AC2098" s="201"/>
      <c r="AD2098" s="197"/>
      <c r="AE2098" s="197"/>
      <c r="AF2098" s="197"/>
      <c r="AG2098" s="197"/>
      <c r="AH2098" s="197"/>
      <c r="AI2098" s="197"/>
      <c r="AJ2098" s="197"/>
      <c r="AK2098" s="197"/>
      <c r="AL2098" s="197"/>
      <c r="AM2098" s="197"/>
      <c r="AN2098" s="197"/>
      <c r="AO2098" s="197"/>
      <c r="AP2098" s="197"/>
      <c r="AQ2098" s="197"/>
      <c r="AR2098" s="197"/>
      <c r="AS2098" s="197"/>
      <c r="AT2098" s="197"/>
      <c r="AU2098" s="197"/>
      <c r="AV2098" s="197"/>
      <c r="AW2098" s="197"/>
    </row>
    <row r="2099" spans="28:49" s="196" customFormat="1">
      <c r="AB2099" s="201"/>
      <c r="AC2099" s="201"/>
      <c r="AD2099" s="197"/>
      <c r="AE2099" s="197"/>
      <c r="AF2099" s="197"/>
      <c r="AG2099" s="197"/>
      <c r="AH2099" s="197"/>
      <c r="AI2099" s="197"/>
      <c r="AJ2099" s="197"/>
      <c r="AK2099" s="197"/>
      <c r="AL2099" s="197"/>
      <c r="AM2099" s="197"/>
      <c r="AN2099" s="197"/>
      <c r="AO2099" s="197"/>
      <c r="AP2099" s="197"/>
      <c r="AQ2099" s="197"/>
      <c r="AR2099" s="197"/>
      <c r="AS2099" s="197"/>
      <c r="AT2099" s="197"/>
      <c r="AU2099" s="197"/>
      <c r="AV2099" s="197"/>
      <c r="AW2099" s="197"/>
    </row>
    <row r="2100" spans="28:49" s="196" customFormat="1">
      <c r="AB2100" s="201"/>
      <c r="AC2100" s="201"/>
      <c r="AD2100" s="197"/>
      <c r="AE2100" s="197"/>
      <c r="AF2100" s="197"/>
      <c r="AG2100" s="197"/>
      <c r="AH2100" s="197"/>
      <c r="AI2100" s="197"/>
      <c r="AJ2100" s="197"/>
      <c r="AK2100" s="197"/>
      <c r="AL2100" s="197"/>
      <c r="AM2100" s="197"/>
      <c r="AN2100" s="197"/>
      <c r="AO2100" s="197"/>
      <c r="AP2100" s="197"/>
      <c r="AQ2100" s="197"/>
      <c r="AR2100" s="197"/>
      <c r="AS2100" s="197"/>
      <c r="AT2100" s="197"/>
      <c r="AU2100" s="197"/>
      <c r="AV2100" s="197"/>
      <c r="AW2100" s="197"/>
    </row>
    <row r="2101" spans="28:49" s="196" customFormat="1">
      <c r="AB2101" s="201"/>
      <c r="AC2101" s="201"/>
      <c r="AD2101" s="197"/>
      <c r="AE2101" s="197"/>
      <c r="AF2101" s="197"/>
      <c r="AG2101" s="197"/>
      <c r="AH2101" s="197"/>
      <c r="AI2101" s="197"/>
      <c r="AJ2101" s="197"/>
      <c r="AK2101" s="197"/>
      <c r="AL2101" s="197"/>
      <c r="AM2101" s="197"/>
      <c r="AN2101" s="197"/>
      <c r="AO2101" s="197"/>
      <c r="AP2101" s="197"/>
      <c r="AQ2101" s="197"/>
      <c r="AR2101" s="197"/>
      <c r="AS2101" s="197"/>
      <c r="AT2101" s="197"/>
      <c r="AU2101" s="197"/>
      <c r="AV2101" s="197"/>
      <c r="AW2101" s="197"/>
    </row>
    <row r="2102" spans="28:49" s="196" customFormat="1">
      <c r="AB2102" s="201"/>
      <c r="AC2102" s="201"/>
      <c r="AD2102" s="197"/>
      <c r="AE2102" s="197"/>
      <c r="AF2102" s="197"/>
      <c r="AG2102" s="197"/>
      <c r="AH2102" s="197"/>
      <c r="AI2102" s="197"/>
      <c r="AJ2102" s="197"/>
      <c r="AK2102" s="197"/>
      <c r="AL2102" s="197"/>
      <c r="AM2102" s="197"/>
      <c r="AN2102" s="197"/>
      <c r="AO2102" s="197"/>
      <c r="AP2102" s="197"/>
      <c r="AQ2102" s="197"/>
      <c r="AR2102" s="197"/>
      <c r="AS2102" s="197"/>
      <c r="AT2102" s="197"/>
      <c r="AU2102" s="197"/>
      <c r="AV2102" s="197"/>
      <c r="AW2102" s="197"/>
    </row>
    <row r="2103" spans="28:49" s="196" customFormat="1">
      <c r="AB2103" s="201"/>
      <c r="AC2103" s="201"/>
      <c r="AD2103" s="197"/>
      <c r="AE2103" s="197"/>
      <c r="AF2103" s="197"/>
      <c r="AG2103" s="197"/>
      <c r="AH2103" s="197"/>
      <c r="AI2103" s="197"/>
      <c r="AJ2103" s="197"/>
      <c r="AK2103" s="197"/>
      <c r="AL2103" s="197"/>
      <c r="AM2103" s="197"/>
      <c r="AN2103" s="197"/>
      <c r="AO2103" s="197"/>
      <c r="AP2103" s="197"/>
      <c r="AQ2103" s="197"/>
      <c r="AR2103" s="197"/>
      <c r="AS2103" s="197"/>
      <c r="AT2103" s="197"/>
      <c r="AU2103" s="197"/>
      <c r="AV2103" s="197"/>
      <c r="AW2103" s="197"/>
    </row>
    <row r="2104" spans="28:49" s="196" customFormat="1">
      <c r="AB2104" s="201"/>
      <c r="AC2104" s="201"/>
      <c r="AD2104" s="197"/>
      <c r="AE2104" s="197"/>
      <c r="AF2104" s="197"/>
      <c r="AG2104" s="197"/>
      <c r="AH2104" s="197"/>
      <c r="AI2104" s="197"/>
      <c r="AJ2104" s="197"/>
      <c r="AK2104" s="197"/>
      <c r="AL2104" s="197"/>
      <c r="AM2104" s="197"/>
      <c r="AN2104" s="197"/>
      <c r="AO2104" s="197"/>
      <c r="AP2104" s="197"/>
      <c r="AQ2104" s="197"/>
      <c r="AR2104" s="197"/>
      <c r="AS2104" s="197"/>
      <c r="AT2104" s="197"/>
      <c r="AU2104" s="197"/>
      <c r="AV2104" s="197"/>
      <c r="AW2104" s="197"/>
    </row>
    <row r="2105" spans="28:49" s="196" customFormat="1">
      <c r="AB2105" s="201"/>
      <c r="AC2105" s="201"/>
      <c r="AD2105" s="197"/>
      <c r="AE2105" s="197"/>
      <c r="AF2105" s="197"/>
      <c r="AG2105" s="197"/>
      <c r="AH2105" s="197"/>
      <c r="AI2105" s="197"/>
      <c r="AJ2105" s="197"/>
      <c r="AK2105" s="197"/>
      <c r="AL2105" s="197"/>
      <c r="AM2105" s="197"/>
      <c r="AN2105" s="197"/>
      <c r="AO2105" s="197"/>
      <c r="AP2105" s="197"/>
      <c r="AQ2105" s="197"/>
      <c r="AR2105" s="197"/>
      <c r="AS2105" s="197"/>
      <c r="AT2105" s="197"/>
      <c r="AU2105" s="197"/>
      <c r="AV2105" s="197"/>
      <c r="AW2105" s="197"/>
    </row>
    <row r="2106" spans="28:49" s="196" customFormat="1">
      <c r="AB2106" s="201"/>
      <c r="AC2106" s="201"/>
      <c r="AD2106" s="197"/>
      <c r="AE2106" s="197"/>
      <c r="AF2106" s="197"/>
      <c r="AG2106" s="197"/>
      <c r="AH2106" s="197"/>
      <c r="AI2106" s="197"/>
      <c r="AJ2106" s="197"/>
      <c r="AK2106" s="197"/>
      <c r="AL2106" s="197"/>
      <c r="AM2106" s="197"/>
      <c r="AN2106" s="197"/>
      <c r="AO2106" s="197"/>
      <c r="AP2106" s="197"/>
      <c r="AQ2106" s="197"/>
      <c r="AR2106" s="197"/>
      <c r="AS2106" s="197"/>
      <c r="AT2106" s="197"/>
      <c r="AU2106" s="197"/>
      <c r="AV2106" s="197"/>
      <c r="AW2106" s="197"/>
    </row>
    <row r="2107" spans="28:49" s="196" customFormat="1">
      <c r="AB2107" s="201"/>
      <c r="AC2107" s="201"/>
      <c r="AD2107" s="197"/>
      <c r="AE2107" s="197"/>
      <c r="AF2107" s="197"/>
      <c r="AG2107" s="197"/>
      <c r="AH2107" s="197"/>
      <c r="AI2107" s="197"/>
      <c r="AJ2107" s="197"/>
      <c r="AK2107" s="197"/>
      <c r="AL2107" s="197"/>
      <c r="AM2107" s="197"/>
      <c r="AN2107" s="197"/>
      <c r="AO2107" s="197"/>
      <c r="AP2107" s="197"/>
      <c r="AQ2107" s="197"/>
      <c r="AR2107" s="197"/>
      <c r="AS2107" s="197"/>
      <c r="AT2107" s="197"/>
      <c r="AU2107" s="197"/>
      <c r="AV2107" s="197"/>
      <c r="AW2107" s="197"/>
    </row>
    <row r="2108" spans="28:49" s="196" customFormat="1">
      <c r="AB2108" s="201"/>
      <c r="AC2108" s="201"/>
      <c r="AD2108" s="197"/>
      <c r="AE2108" s="197"/>
      <c r="AF2108" s="197"/>
      <c r="AG2108" s="197"/>
      <c r="AH2108" s="197"/>
      <c r="AI2108" s="197"/>
      <c r="AJ2108" s="197"/>
      <c r="AK2108" s="197"/>
      <c r="AL2108" s="197"/>
      <c r="AM2108" s="197"/>
      <c r="AN2108" s="197"/>
      <c r="AO2108" s="197"/>
      <c r="AP2108" s="197"/>
      <c r="AQ2108" s="197"/>
      <c r="AR2108" s="197"/>
      <c r="AS2108" s="197"/>
      <c r="AT2108" s="197"/>
      <c r="AU2108" s="197"/>
      <c r="AV2108" s="197"/>
      <c r="AW2108" s="197"/>
    </row>
    <row r="2109" spans="28:49" s="196" customFormat="1">
      <c r="AB2109" s="201"/>
      <c r="AC2109" s="201"/>
      <c r="AD2109" s="197"/>
      <c r="AE2109" s="197"/>
      <c r="AF2109" s="197"/>
      <c r="AG2109" s="197"/>
      <c r="AH2109" s="197"/>
      <c r="AI2109" s="197"/>
      <c r="AJ2109" s="197"/>
      <c r="AK2109" s="197"/>
      <c r="AL2109" s="197"/>
      <c r="AM2109" s="197"/>
      <c r="AN2109" s="197"/>
      <c r="AO2109" s="197"/>
      <c r="AP2109" s="197"/>
      <c r="AQ2109" s="197"/>
      <c r="AR2109" s="197"/>
      <c r="AS2109" s="197"/>
      <c r="AT2109" s="197"/>
      <c r="AU2109" s="197"/>
      <c r="AV2109" s="197"/>
      <c r="AW2109" s="197"/>
    </row>
    <row r="2110" spans="28:49" s="196" customFormat="1">
      <c r="AB2110" s="201"/>
      <c r="AC2110" s="201"/>
      <c r="AD2110" s="197"/>
      <c r="AE2110" s="197"/>
      <c r="AF2110" s="197"/>
      <c r="AG2110" s="197"/>
      <c r="AH2110" s="197"/>
      <c r="AI2110" s="197"/>
      <c r="AJ2110" s="197"/>
      <c r="AK2110" s="197"/>
      <c r="AL2110" s="197"/>
      <c r="AM2110" s="197"/>
      <c r="AN2110" s="197"/>
      <c r="AO2110" s="197"/>
      <c r="AP2110" s="197"/>
      <c r="AQ2110" s="197"/>
      <c r="AR2110" s="197"/>
      <c r="AS2110" s="197"/>
      <c r="AT2110" s="197"/>
      <c r="AU2110" s="197"/>
      <c r="AV2110" s="197"/>
      <c r="AW2110" s="197"/>
    </row>
    <row r="2111" spans="28:49" s="196" customFormat="1">
      <c r="AB2111" s="201"/>
      <c r="AC2111" s="201"/>
      <c r="AD2111" s="197"/>
      <c r="AE2111" s="197"/>
      <c r="AF2111" s="197"/>
      <c r="AG2111" s="197"/>
      <c r="AH2111" s="197"/>
      <c r="AI2111" s="197"/>
      <c r="AJ2111" s="197"/>
      <c r="AK2111" s="197"/>
      <c r="AL2111" s="197"/>
      <c r="AM2111" s="197"/>
      <c r="AN2111" s="197"/>
      <c r="AO2111" s="197"/>
      <c r="AP2111" s="197"/>
      <c r="AQ2111" s="197"/>
      <c r="AR2111" s="197"/>
      <c r="AS2111" s="197"/>
      <c r="AT2111" s="197"/>
      <c r="AU2111" s="197"/>
      <c r="AV2111" s="197"/>
      <c r="AW2111" s="197"/>
    </row>
    <row r="2112" spans="28:49" s="196" customFormat="1">
      <c r="AB2112" s="201"/>
      <c r="AC2112" s="201"/>
      <c r="AD2112" s="197"/>
      <c r="AE2112" s="197"/>
      <c r="AF2112" s="197"/>
      <c r="AG2112" s="197"/>
      <c r="AH2112" s="197"/>
      <c r="AI2112" s="197"/>
      <c r="AJ2112" s="197"/>
      <c r="AK2112" s="197"/>
      <c r="AL2112" s="197"/>
      <c r="AM2112" s="197"/>
      <c r="AN2112" s="197"/>
      <c r="AO2112" s="197"/>
      <c r="AP2112" s="197"/>
      <c r="AQ2112" s="197"/>
      <c r="AR2112" s="197"/>
      <c r="AS2112" s="197"/>
      <c r="AT2112" s="197"/>
      <c r="AU2112" s="197"/>
      <c r="AV2112" s="197"/>
      <c r="AW2112" s="197"/>
    </row>
    <row r="2113" spans="28:49" s="196" customFormat="1">
      <c r="AB2113" s="201"/>
      <c r="AC2113" s="201"/>
      <c r="AD2113" s="197"/>
      <c r="AE2113" s="197"/>
      <c r="AF2113" s="197"/>
      <c r="AG2113" s="197"/>
      <c r="AH2113" s="197"/>
      <c r="AI2113" s="197"/>
      <c r="AJ2113" s="197"/>
      <c r="AK2113" s="197"/>
      <c r="AL2113" s="197"/>
      <c r="AM2113" s="197"/>
      <c r="AN2113" s="197"/>
      <c r="AO2113" s="197"/>
      <c r="AP2113" s="197"/>
      <c r="AQ2113" s="197"/>
      <c r="AR2113" s="197"/>
      <c r="AS2113" s="197"/>
      <c r="AT2113" s="197"/>
      <c r="AU2113" s="197"/>
      <c r="AV2113" s="197"/>
      <c r="AW2113" s="197"/>
    </row>
    <row r="2114" spans="28:49" s="196" customFormat="1">
      <c r="AB2114" s="201"/>
      <c r="AC2114" s="201"/>
      <c r="AD2114" s="197"/>
      <c r="AE2114" s="197"/>
      <c r="AF2114" s="197"/>
      <c r="AG2114" s="197"/>
      <c r="AH2114" s="197"/>
      <c r="AI2114" s="197"/>
      <c r="AJ2114" s="197"/>
      <c r="AK2114" s="197"/>
      <c r="AL2114" s="197"/>
      <c r="AM2114" s="197"/>
      <c r="AN2114" s="197"/>
      <c r="AO2114" s="197"/>
      <c r="AP2114" s="197"/>
      <c r="AQ2114" s="197"/>
      <c r="AR2114" s="197"/>
      <c r="AS2114" s="197"/>
      <c r="AT2114" s="197"/>
      <c r="AU2114" s="197"/>
      <c r="AV2114" s="197"/>
      <c r="AW2114" s="197"/>
    </row>
    <row r="2115" spans="28:49" s="196" customFormat="1">
      <c r="AB2115" s="201"/>
      <c r="AC2115" s="201"/>
      <c r="AD2115" s="197"/>
      <c r="AE2115" s="197"/>
      <c r="AF2115" s="197"/>
      <c r="AG2115" s="197"/>
      <c r="AH2115" s="197"/>
      <c r="AI2115" s="197"/>
      <c r="AJ2115" s="197"/>
      <c r="AK2115" s="197"/>
      <c r="AL2115" s="197"/>
      <c r="AM2115" s="197"/>
      <c r="AN2115" s="197"/>
      <c r="AO2115" s="197"/>
      <c r="AP2115" s="197"/>
      <c r="AQ2115" s="197"/>
      <c r="AR2115" s="197"/>
      <c r="AS2115" s="197"/>
      <c r="AT2115" s="197"/>
      <c r="AU2115" s="197"/>
      <c r="AV2115" s="197"/>
      <c r="AW2115" s="197"/>
    </row>
    <row r="2116" spans="28:49" s="196" customFormat="1">
      <c r="AB2116" s="201"/>
      <c r="AC2116" s="201"/>
      <c r="AD2116" s="197"/>
      <c r="AE2116" s="197"/>
      <c r="AF2116" s="197"/>
      <c r="AG2116" s="197"/>
      <c r="AH2116" s="197"/>
      <c r="AI2116" s="197"/>
      <c r="AJ2116" s="197"/>
      <c r="AK2116" s="197"/>
      <c r="AL2116" s="197"/>
      <c r="AM2116" s="197"/>
      <c r="AN2116" s="197"/>
      <c r="AO2116" s="197"/>
      <c r="AP2116" s="197"/>
      <c r="AQ2116" s="197"/>
      <c r="AR2116" s="197"/>
      <c r="AS2116" s="197"/>
      <c r="AT2116" s="197"/>
      <c r="AU2116" s="197"/>
      <c r="AV2116" s="197"/>
      <c r="AW2116" s="197"/>
    </row>
    <row r="2117" spans="28:49" s="196" customFormat="1">
      <c r="AB2117" s="201"/>
      <c r="AC2117" s="201"/>
      <c r="AD2117" s="197"/>
      <c r="AE2117" s="197"/>
      <c r="AF2117" s="197"/>
      <c r="AG2117" s="197"/>
      <c r="AH2117" s="197"/>
      <c r="AI2117" s="197"/>
      <c r="AJ2117" s="197"/>
      <c r="AK2117" s="197"/>
      <c r="AL2117" s="197"/>
      <c r="AM2117" s="197"/>
      <c r="AN2117" s="197"/>
      <c r="AO2117" s="197"/>
      <c r="AP2117" s="197"/>
      <c r="AQ2117" s="197"/>
      <c r="AR2117" s="197"/>
      <c r="AS2117" s="197"/>
      <c r="AT2117" s="197"/>
      <c r="AU2117" s="197"/>
      <c r="AV2117" s="197"/>
      <c r="AW2117" s="197"/>
    </row>
    <row r="2118" spans="28:49" s="196" customFormat="1">
      <c r="AB2118" s="201"/>
      <c r="AC2118" s="201"/>
      <c r="AD2118" s="197"/>
      <c r="AE2118" s="197"/>
      <c r="AF2118" s="197"/>
      <c r="AG2118" s="197"/>
      <c r="AH2118" s="197"/>
      <c r="AI2118" s="197"/>
      <c r="AJ2118" s="197"/>
      <c r="AK2118" s="197"/>
      <c r="AL2118" s="197"/>
      <c r="AM2118" s="197"/>
      <c r="AN2118" s="197"/>
      <c r="AO2118" s="197"/>
      <c r="AP2118" s="197"/>
      <c r="AQ2118" s="197"/>
      <c r="AR2118" s="197"/>
      <c r="AS2118" s="197"/>
      <c r="AT2118" s="197"/>
      <c r="AU2118" s="197"/>
      <c r="AV2118" s="197"/>
      <c r="AW2118" s="197"/>
    </row>
    <row r="2119" spans="28:49" s="196" customFormat="1">
      <c r="AB2119" s="201"/>
      <c r="AC2119" s="201"/>
      <c r="AD2119" s="197"/>
      <c r="AE2119" s="197"/>
      <c r="AF2119" s="197"/>
      <c r="AG2119" s="197"/>
      <c r="AH2119" s="197"/>
      <c r="AI2119" s="197"/>
      <c r="AJ2119" s="197"/>
      <c r="AK2119" s="197"/>
      <c r="AL2119" s="197"/>
      <c r="AM2119" s="197"/>
      <c r="AN2119" s="197"/>
      <c r="AO2119" s="197"/>
      <c r="AP2119" s="197"/>
      <c r="AQ2119" s="197"/>
      <c r="AR2119" s="197"/>
      <c r="AS2119" s="197"/>
      <c r="AT2119" s="197"/>
      <c r="AU2119" s="197"/>
      <c r="AV2119" s="197"/>
      <c r="AW2119" s="197"/>
    </row>
    <row r="2120" spans="28:49" s="196" customFormat="1">
      <c r="AB2120" s="201"/>
      <c r="AC2120" s="201"/>
      <c r="AD2120" s="197"/>
      <c r="AE2120" s="197"/>
      <c r="AF2120" s="197"/>
      <c r="AG2120" s="197"/>
      <c r="AH2120" s="197"/>
      <c r="AI2120" s="197"/>
      <c r="AJ2120" s="197"/>
      <c r="AK2120" s="197"/>
      <c r="AL2120" s="197"/>
      <c r="AM2120" s="197"/>
      <c r="AN2120" s="197"/>
      <c r="AO2120" s="197"/>
      <c r="AP2120" s="197"/>
      <c r="AQ2120" s="197"/>
      <c r="AR2120" s="197"/>
      <c r="AS2120" s="197"/>
      <c r="AT2120" s="197"/>
      <c r="AU2120" s="197"/>
      <c r="AV2120" s="197"/>
      <c r="AW2120" s="197"/>
    </row>
    <row r="2121" spans="28:49" s="196" customFormat="1">
      <c r="AB2121" s="201"/>
      <c r="AC2121" s="201"/>
      <c r="AD2121" s="197"/>
      <c r="AE2121" s="197"/>
      <c r="AF2121" s="197"/>
      <c r="AG2121" s="197"/>
      <c r="AH2121" s="197"/>
      <c r="AI2121" s="197"/>
      <c r="AJ2121" s="197"/>
      <c r="AK2121" s="197"/>
      <c r="AL2121" s="197"/>
      <c r="AM2121" s="197"/>
      <c r="AN2121" s="197"/>
      <c r="AO2121" s="197"/>
      <c r="AP2121" s="197"/>
      <c r="AQ2121" s="197"/>
      <c r="AR2121" s="197"/>
      <c r="AS2121" s="197"/>
      <c r="AT2121" s="197"/>
      <c r="AU2121" s="197"/>
      <c r="AV2121" s="197"/>
      <c r="AW2121" s="197"/>
    </row>
    <row r="2122" spans="28:49" s="196" customFormat="1">
      <c r="AB2122" s="201"/>
      <c r="AC2122" s="201"/>
      <c r="AD2122" s="197"/>
      <c r="AE2122" s="197"/>
      <c r="AF2122" s="197"/>
      <c r="AG2122" s="197"/>
      <c r="AH2122" s="197"/>
      <c r="AI2122" s="197"/>
      <c r="AJ2122" s="197"/>
      <c r="AK2122" s="197"/>
      <c r="AL2122" s="197"/>
      <c r="AM2122" s="197"/>
      <c r="AN2122" s="197"/>
      <c r="AO2122" s="197"/>
      <c r="AP2122" s="197"/>
      <c r="AQ2122" s="197"/>
      <c r="AR2122" s="197"/>
      <c r="AS2122" s="197"/>
      <c r="AT2122" s="197"/>
      <c r="AU2122" s="197"/>
      <c r="AV2122" s="197"/>
      <c r="AW2122" s="197"/>
    </row>
    <row r="2123" spans="28:49" s="196" customFormat="1">
      <c r="AB2123" s="201"/>
      <c r="AC2123" s="201"/>
      <c r="AD2123" s="197"/>
      <c r="AE2123" s="197"/>
      <c r="AF2123" s="197"/>
      <c r="AG2123" s="197"/>
      <c r="AH2123" s="197"/>
      <c r="AI2123" s="197"/>
      <c r="AJ2123" s="197"/>
      <c r="AK2123" s="197"/>
      <c r="AL2123" s="197"/>
      <c r="AM2123" s="197"/>
      <c r="AN2123" s="197"/>
      <c r="AO2123" s="197"/>
      <c r="AP2123" s="197"/>
      <c r="AQ2123" s="197"/>
      <c r="AR2123" s="197"/>
      <c r="AS2123" s="197"/>
      <c r="AT2123" s="197"/>
      <c r="AU2123" s="197"/>
      <c r="AV2123" s="197"/>
      <c r="AW2123" s="197"/>
    </row>
    <row r="2124" spans="28:49" s="196" customFormat="1">
      <c r="AB2124" s="201"/>
      <c r="AC2124" s="201"/>
      <c r="AD2124" s="197"/>
      <c r="AE2124" s="197"/>
      <c r="AF2124" s="197"/>
      <c r="AG2124" s="197"/>
      <c r="AH2124" s="197"/>
      <c r="AI2124" s="197"/>
      <c r="AJ2124" s="197"/>
      <c r="AK2124" s="197"/>
      <c r="AL2124" s="197"/>
      <c r="AM2124" s="197"/>
      <c r="AN2124" s="197"/>
      <c r="AO2124" s="197"/>
      <c r="AP2124" s="197"/>
      <c r="AQ2124" s="197"/>
      <c r="AR2124" s="197"/>
      <c r="AS2124" s="197"/>
      <c r="AT2124" s="197"/>
      <c r="AU2124" s="197"/>
      <c r="AV2124" s="197"/>
      <c r="AW2124" s="197"/>
    </row>
    <row r="2125" spans="28:49" s="196" customFormat="1">
      <c r="AB2125" s="201"/>
      <c r="AC2125" s="201"/>
      <c r="AD2125" s="197"/>
      <c r="AE2125" s="197"/>
      <c r="AF2125" s="197"/>
      <c r="AG2125" s="197"/>
      <c r="AH2125" s="197"/>
      <c r="AI2125" s="197"/>
      <c r="AJ2125" s="197"/>
      <c r="AK2125" s="197"/>
      <c r="AL2125" s="197"/>
      <c r="AM2125" s="197"/>
      <c r="AN2125" s="197"/>
      <c r="AO2125" s="197"/>
      <c r="AP2125" s="197"/>
      <c r="AQ2125" s="197"/>
      <c r="AR2125" s="197"/>
      <c r="AS2125" s="197"/>
      <c r="AT2125" s="197"/>
      <c r="AU2125" s="197"/>
      <c r="AV2125" s="197"/>
      <c r="AW2125" s="197"/>
    </row>
    <row r="2126" spans="28:49" s="196" customFormat="1">
      <c r="AB2126" s="201"/>
      <c r="AC2126" s="201"/>
      <c r="AD2126" s="197"/>
      <c r="AE2126" s="197"/>
      <c r="AF2126" s="197"/>
      <c r="AG2126" s="197"/>
      <c r="AH2126" s="197"/>
      <c r="AI2126" s="197"/>
      <c r="AJ2126" s="197"/>
      <c r="AK2126" s="197"/>
      <c r="AL2126" s="197"/>
      <c r="AM2126" s="197"/>
      <c r="AN2126" s="197"/>
      <c r="AO2126" s="197"/>
      <c r="AP2126" s="197"/>
      <c r="AQ2126" s="197"/>
      <c r="AR2126" s="197"/>
      <c r="AS2126" s="197"/>
      <c r="AT2126" s="197"/>
      <c r="AU2126" s="197"/>
      <c r="AV2126" s="197"/>
      <c r="AW2126" s="197"/>
    </row>
    <row r="2127" spans="28:49" s="196" customFormat="1">
      <c r="AB2127" s="201"/>
      <c r="AC2127" s="201"/>
      <c r="AD2127" s="197"/>
      <c r="AE2127" s="197"/>
      <c r="AF2127" s="197"/>
      <c r="AG2127" s="197"/>
      <c r="AH2127" s="197"/>
      <c r="AI2127" s="197"/>
      <c r="AJ2127" s="197"/>
      <c r="AK2127" s="197"/>
      <c r="AL2127" s="197"/>
      <c r="AM2127" s="197"/>
      <c r="AN2127" s="197"/>
      <c r="AO2127" s="197"/>
      <c r="AP2127" s="197"/>
      <c r="AQ2127" s="197"/>
      <c r="AR2127" s="197"/>
      <c r="AS2127" s="197"/>
      <c r="AT2127" s="197"/>
      <c r="AU2127" s="197"/>
      <c r="AV2127" s="197"/>
      <c r="AW2127" s="197"/>
    </row>
    <row r="2128" spans="28:49" s="196" customFormat="1">
      <c r="AB2128" s="201"/>
      <c r="AC2128" s="201"/>
      <c r="AD2128" s="197"/>
      <c r="AE2128" s="197"/>
      <c r="AF2128" s="197"/>
      <c r="AG2128" s="197"/>
      <c r="AH2128" s="197"/>
      <c r="AI2128" s="197"/>
      <c r="AJ2128" s="197"/>
      <c r="AK2128" s="197"/>
      <c r="AL2128" s="197"/>
      <c r="AM2128" s="197"/>
      <c r="AN2128" s="197"/>
      <c r="AO2128" s="197"/>
      <c r="AP2128" s="197"/>
      <c r="AQ2128" s="197"/>
      <c r="AR2128" s="197"/>
      <c r="AS2128" s="197"/>
      <c r="AT2128" s="197"/>
      <c r="AU2128" s="197"/>
      <c r="AV2128" s="197"/>
      <c r="AW2128" s="197"/>
    </row>
    <row r="2129" spans="28:49" s="196" customFormat="1">
      <c r="AB2129" s="201"/>
      <c r="AC2129" s="201"/>
      <c r="AD2129" s="197"/>
      <c r="AE2129" s="197"/>
      <c r="AF2129" s="197"/>
      <c r="AG2129" s="197"/>
      <c r="AH2129" s="197"/>
      <c r="AI2129" s="197"/>
      <c r="AJ2129" s="197"/>
      <c r="AK2129" s="197"/>
      <c r="AL2129" s="197"/>
      <c r="AM2129" s="197"/>
      <c r="AN2129" s="197"/>
      <c r="AO2129" s="197"/>
      <c r="AP2129" s="197"/>
      <c r="AQ2129" s="197"/>
      <c r="AR2129" s="197"/>
      <c r="AS2129" s="197"/>
      <c r="AT2129" s="197"/>
      <c r="AU2129" s="197"/>
      <c r="AV2129" s="197"/>
      <c r="AW2129" s="197"/>
    </row>
    <row r="2130" spans="28:49" s="196" customFormat="1">
      <c r="AB2130" s="201"/>
      <c r="AC2130" s="201"/>
      <c r="AD2130" s="197"/>
      <c r="AE2130" s="197"/>
      <c r="AF2130" s="197"/>
      <c r="AG2130" s="197"/>
      <c r="AH2130" s="197"/>
      <c r="AI2130" s="197"/>
      <c r="AJ2130" s="197"/>
      <c r="AK2130" s="197"/>
      <c r="AL2130" s="197"/>
      <c r="AM2130" s="197"/>
      <c r="AN2130" s="197"/>
      <c r="AO2130" s="197"/>
      <c r="AP2130" s="197"/>
      <c r="AQ2130" s="197"/>
      <c r="AR2130" s="197"/>
      <c r="AS2130" s="197"/>
      <c r="AT2130" s="197"/>
      <c r="AU2130" s="197"/>
      <c r="AV2130" s="197"/>
      <c r="AW2130" s="197"/>
    </row>
    <row r="2131" spans="28:49" s="196" customFormat="1">
      <c r="AB2131" s="201"/>
      <c r="AC2131" s="201"/>
      <c r="AD2131" s="197"/>
      <c r="AE2131" s="197"/>
      <c r="AF2131" s="197"/>
      <c r="AG2131" s="197"/>
      <c r="AH2131" s="197"/>
      <c r="AI2131" s="197"/>
      <c r="AJ2131" s="197"/>
      <c r="AK2131" s="197"/>
      <c r="AL2131" s="197"/>
      <c r="AM2131" s="197"/>
      <c r="AN2131" s="197"/>
      <c r="AO2131" s="197"/>
      <c r="AP2131" s="197"/>
      <c r="AQ2131" s="197"/>
      <c r="AR2131" s="197"/>
      <c r="AS2131" s="197"/>
      <c r="AT2131" s="197"/>
      <c r="AU2131" s="197"/>
      <c r="AV2131" s="197"/>
      <c r="AW2131" s="197"/>
    </row>
    <row r="2132" spans="28:49" s="196" customFormat="1">
      <c r="AB2132" s="201"/>
      <c r="AC2132" s="201"/>
      <c r="AD2132" s="197"/>
      <c r="AE2132" s="197"/>
      <c r="AF2132" s="197"/>
      <c r="AG2132" s="197"/>
      <c r="AH2132" s="197"/>
      <c r="AI2132" s="197"/>
      <c r="AJ2132" s="197"/>
      <c r="AK2132" s="197"/>
      <c r="AL2132" s="197"/>
      <c r="AM2132" s="197"/>
      <c r="AN2132" s="197"/>
      <c r="AO2132" s="197"/>
      <c r="AP2132" s="197"/>
      <c r="AQ2132" s="197"/>
      <c r="AR2132" s="197"/>
      <c r="AS2132" s="197"/>
      <c r="AT2132" s="197"/>
      <c r="AU2132" s="197"/>
      <c r="AV2132" s="197"/>
      <c r="AW2132" s="197"/>
    </row>
    <row r="2133" spans="28:49" s="196" customFormat="1">
      <c r="AB2133" s="201"/>
      <c r="AC2133" s="201"/>
      <c r="AD2133" s="197"/>
      <c r="AE2133" s="197"/>
      <c r="AF2133" s="197"/>
      <c r="AG2133" s="197"/>
      <c r="AH2133" s="197"/>
      <c r="AI2133" s="197"/>
      <c r="AJ2133" s="197"/>
      <c r="AK2133" s="197"/>
      <c r="AL2133" s="197"/>
      <c r="AM2133" s="197"/>
      <c r="AN2133" s="197"/>
      <c r="AO2133" s="197"/>
      <c r="AP2133" s="197"/>
      <c r="AQ2133" s="197"/>
      <c r="AR2133" s="197"/>
      <c r="AS2133" s="197"/>
      <c r="AT2133" s="197"/>
      <c r="AU2133" s="197"/>
      <c r="AV2133" s="197"/>
      <c r="AW2133" s="197"/>
    </row>
    <row r="2134" spans="28:49" s="196" customFormat="1">
      <c r="AB2134" s="201"/>
      <c r="AC2134" s="201"/>
      <c r="AD2134" s="197"/>
      <c r="AE2134" s="197"/>
      <c r="AF2134" s="197"/>
      <c r="AG2134" s="197"/>
      <c r="AH2134" s="197"/>
      <c r="AI2134" s="197"/>
      <c r="AJ2134" s="197"/>
      <c r="AK2134" s="197"/>
      <c r="AL2134" s="197"/>
      <c r="AM2134" s="197"/>
      <c r="AN2134" s="197"/>
      <c r="AO2134" s="197"/>
      <c r="AP2134" s="197"/>
      <c r="AQ2134" s="197"/>
      <c r="AR2134" s="197"/>
      <c r="AS2134" s="197"/>
      <c r="AT2134" s="197"/>
      <c r="AU2134" s="197"/>
      <c r="AV2134" s="197"/>
      <c r="AW2134" s="197"/>
    </row>
    <row r="2135" spans="28:49" s="196" customFormat="1">
      <c r="AB2135" s="201"/>
      <c r="AC2135" s="201"/>
      <c r="AD2135" s="197"/>
      <c r="AE2135" s="197"/>
      <c r="AF2135" s="197"/>
      <c r="AG2135" s="197"/>
      <c r="AH2135" s="197"/>
      <c r="AI2135" s="197"/>
      <c r="AJ2135" s="197"/>
      <c r="AK2135" s="197"/>
      <c r="AL2135" s="197"/>
      <c r="AM2135" s="197"/>
      <c r="AN2135" s="197"/>
      <c r="AO2135" s="197"/>
      <c r="AP2135" s="197"/>
      <c r="AQ2135" s="197"/>
      <c r="AR2135" s="197"/>
      <c r="AS2135" s="197"/>
      <c r="AT2135" s="197"/>
      <c r="AU2135" s="197"/>
      <c r="AV2135" s="197"/>
      <c r="AW2135" s="197"/>
    </row>
    <row r="2136" spans="28:49" s="196" customFormat="1">
      <c r="AB2136" s="201"/>
      <c r="AC2136" s="201"/>
      <c r="AD2136" s="197"/>
      <c r="AE2136" s="197"/>
      <c r="AF2136" s="197"/>
      <c r="AG2136" s="197"/>
      <c r="AH2136" s="197"/>
      <c r="AI2136" s="197"/>
      <c r="AJ2136" s="197"/>
      <c r="AK2136" s="197"/>
      <c r="AL2136" s="197"/>
      <c r="AM2136" s="197"/>
      <c r="AN2136" s="197"/>
      <c r="AO2136" s="197"/>
      <c r="AP2136" s="197"/>
      <c r="AQ2136" s="197"/>
      <c r="AR2136" s="197"/>
      <c r="AS2136" s="197"/>
      <c r="AT2136" s="197"/>
      <c r="AU2136" s="197"/>
      <c r="AV2136" s="197"/>
      <c r="AW2136" s="197"/>
    </row>
    <row r="2137" spans="28:49" s="196" customFormat="1">
      <c r="AB2137" s="201"/>
      <c r="AC2137" s="201"/>
      <c r="AD2137" s="197"/>
      <c r="AE2137" s="197"/>
      <c r="AF2137" s="197"/>
      <c r="AG2137" s="197"/>
      <c r="AH2137" s="197"/>
      <c r="AI2137" s="197"/>
      <c r="AJ2137" s="197"/>
      <c r="AK2137" s="197"/>
      <c r="AL2137" s="197"/>
      <c r="AM2137" s="197"/>
      <c r="AN2137" s="197"/>
      <c r="AO2137" s="197"/>
      <c r="AP2137" s="197"/>
      <c r="AQ2137" s="197"/>
      <c r="AR2137" s="197"/>
      <c r="AS2137" s="197"/>
      <c r="AT2137" s="197"/>
      <c r="AU2137" s="197"/>
      <c r="AV2137" s="197"/>
      <c r="AW2137" s="197"/>
    </row>
    <row r="2138" spans="28:49" s="196" customFormat="1">
      <c r="AB2138" s="201"/>
      <c r="AC2138" s="201"/>
      <c r="AD2138" s="197"/>
      <c r="AE2138" s="197"/>
      <c r="AF2138" s="197"/>
      <c r="AG2138" s="197"/>
      <c r="AH2138" s="197"/>
      <c r="AI2138" s="197"/>
      <c r="AJ2138" s="197"/>
      <c r="AK2138" s="197"/>
      <c r="AL2138" s="197"/>
      <c r="AM2138" s="197"/>
      <c r="AN2138" s="197"/>
      <c r="AO2138" s="197"/>
      <c r="AP2138" s="197"/>
      <c r="AQ2138" s="197"/>
      <c r="AR2138" s="197"/>
      <c r="AS2138" s="197"/>
      <c r="AT2138" s="197"/>
      <c r="AU2138" s="197"/>
      <c r="AV2138" s="197"/>
      <c r="AW2138" s="197"/>
    </row>
    <row r="2139" spans="28:49" s="196" customFormat="1">
      <c r="AB2139" s="201"/>
      <c r="AC2139" s="201"/>
      <c r="AD2139" s="197"/>
      <c r="AE2139" s="197"/>
      <c r="AF2139" s="197"/>
      <c r="AG2139" s="197"/>
      <c r="AH2139" s="197"/>
      <c r="AI2139" s="197"/>
      <c r="AJ2139" s="197"/>
      <c r="AK2139" s="197"/>
      <c r="AL2139" s="197"/>
      <c r="AM2139" s="197"/>
      <c r="AN2139" s="197"/>
      <c r="AO2139" s="197"/>
      <c r="AP2139" s="197"/>
      <c r="AQ2139" s="197"/>
      <c r="AR2139" s="197"/>
      <c r="AS2139" s="197"/>
      <c r="AT2139" s="197"/>
      <c r="AU2139" s="197"/>
      <c r="AV2139" s="197"/>
      <c r="AW2139" s="197"/>
    </row>
    <row r="2140" spans="28:49" s="196" customFormat="1">
      <c r="AB2140" s="201"/>
      <c r="AC2140" s="201"/>
      <c r="AD2140" s="197"/>
      <c r="AE2140" s="197"/>
      <c r="AF2140" s="197"/>
      <c r="AG2140" s="197"/>
      <c r="AH2140" s="197"/>
      <c r="AI2140" s="197"/>
      <c r="AJ2140" s="197"/>
      <c r="AK2140" s="197"/>
      <c r="AL2140" s="197"/>
      <c r="AM2140" s="197"/>
      <c r="AN2140" s="197"/>
      <c r="AO2140" s="197"/>
      <c r="AP2140" s="197"/>
      <c r="AQ2140" s="197"/>
      <c r="AR2140" s="197"/>
      <c r="AS2140" s="197"/>
      <c r="AT2140" s="197"/>
      <c r="AU2140" s="197"/>
      <c r="AV2140" s="197"/>
      <c r="AW2140" s="197"/>
    </row>
    <row r="2141" spans="28:49" s="196" customFormat="1">
      <c r="AB2141" s="201"/>
      <c r="AC2141" s="201"/>
      <c r="AD2141" s="197"/>
      <c r="AE2141" s="197"/>
      <c r="AF2141" s="197"/>
      <c r="AG2141" s="197"/>
      <c r="AH2141" s="197"/>
      <c r="AI2141" s="197"/>
      <c r="AJ2141" s="197"/>
      <c r="AK2141" s="197"/>
      <c r="AL2141" s="197"/>
      <c r="AM2141" s="197"/>
      <c r="AN2141" s="197"/>
      <c r="AO2141" s="197"/>
      <c r="AP2141" s="197"/>
      <c r="AQ2141" s="197"/>
      <c r="AR2141" s="197"/>
      <c r="AS2141" s="197"/>
      <c r="AT2141" s="197"/>
      <c r="AU2141" s="197"/>
      <c r="AV2141" s="197"/>
      <c r="AW2141" s="197"/>
    </row>
    <row r="2142" spans="28:49" s="196" customFormat="1">
      <c r="AB2142" s="201"/>
      <c r="AC2142" s="201"/>
      <c r="AD2142" s="197"/>
      <c r="AE2142" s="197"/>
      <c r="AF2142" s="197"/>
      <c r="AG2142" s="197"/>
      <c r="AH2142" s="197"/>
      <c r="AI2142" s="197"/>
      <c r="AJ2142" s="197"/>
      <c r="AK2142" s="197"/>
      <c r="AL2142" s="197"/>
      <c r="AM2142" s="197"/>
      <c r="AN2142" s="197"/>
      <c r="AO2142" s="197"/>
      <c r="AP2142" s="197"/>
      <c r="AQ2142" s="197"/>
      <c r="AR2142" s="197"/>
      <c r="AS2142" s="197"/>
      <c r="AT2142" s="197"/>
      <c r="AU2142" s="197"/>
      <c r="AV2142" s="197"/>
      <c r="AW2142" s="197"/>
    </row>
    <row r="2143" spans="28:49" s="196" customFormat="1">
      <c r="AB2143" s="201"/>
      <c r="AC2143" s="201"/>
      <c r="AD2143" s="197"/>
      <c r="AE2143" s="197"/>
      <c r="AF2143" s="197"/>
      <c r="AG2143" s="197"/>
      <c r="AH2143" s="197"/>
      <c r="AI2143" s="197"/>
      <c r="AJ2143" s="197"/>
      <c r="AK2143" s="197"/>
      <c r="AL2143" s="197"/>
      <c r="AM2143" s="197"/>
      <c r="AN2143" s="197"/>
      <c r="AO2143" s="197"/>
      <c r="AP2143" s="197"/>
      <c r="AQ2143" s="197"/>
      <c r="AR2143" s="197"/>
      <c r="AS2143" s="197"/>
      <c r="AT2143" s="197"/>
      <c r="AU2143" s="197"/>
      <c r="AV2143" s="197"/>
      <c r="AW2143" s="197"/>
    </row>
    <row r="2144" spans="28:49" s="196" customFormat="1">
      <c r="AB2144" s="201"/>
      <c r="AC2144" s="201"/>
      <c r="AD2144" s="197"/>
      <c r="AE2144" s="197"/>
      <c r="AF2144" s="197"/>
      <c r="AG2144" s="197"/>
      <c r="AH2144" s="197"/>
      <c r="AI2144" s="197"/>
      <c r="AJ2144" s="197"/>
      <c r="AK2144" s="197"/>
      <c r="AL2144" s="197"/>
      <c r="AM2144" s="197"/>
      <c r="AN2144" s="197"/>
      <c r="AO2144" s="197"/>
      <c r="AP2144" s="197"/>
      <c r="AQ2144" s="197"/>
      <c r="AR2144" s="197"/>
      <c r="AS2144" s="197"/>
      <c r="AT2144" s="197"/>
      <c r="AU2144" s="197"/>
      <c r="AV2144" s="197"/>
      <c r="AW2144" s="197"/>
    </row>
    <row r="2145" spans="28:49" s="196" customFormat="1">
      <c r="AB2145" s="201"/>
      <c r="AC2145" s="201"/>
      <c r="AD2145" s="197"/>
      <c r="AE2145" s="197"/>
      <c r="AF2145" s="197"/>
      <c r="AG2145" s="197"/>
      <c r="AH2145" s="197"/>
      <c r="AI2145" s="197"/>
      <c r="AJ2145" s="197"/>
      <c r="AK2145" s="197"/>
      <c r="AL2145" s="197"/>
      <c r="AM2145" s="197"/>
      <c r="AN2145" s="197"/>
      <c r="AO2145" s="197"/>
      <c r="AP2145" s="197"/>
      <c r="AQ2145" s="197"/>
      <c r="AR2145" s="197"/>
      <c r="AS2145" s="197"/>
      <c r="AT2145" s="197"/>
      <c r="AU2145" s="197"/>
      <c r="AV2145" s="197"/>
      <c r="AW2145" s="197"/>
    </row>
    <row r="2146" spans="28:49" s="196" customFormat="1">
      <c r="AB2146" s="201"/>
      <c r="AC2146" s="201"/>
      <c r="AD2146" s="197"/>
      <c r="AE2146" s="197"/>
      <c r="AF2146" s="197"/>
      <c r="AG2146" s="197"/>
      <c r="AH2146" s="197"/>
      <c r="AI2146" s="197"/>
      <c r="AJ2146" s="197"/>
      <c r="AK2146" s="197"/>
      <c r="AL2146" s="197"/>
      <c r="AM2146" s="197"/>
      <c r="AN2146" s="197"/>
      <c r="AO2146" s="197"/>
      <c r="AP2146" s="197"/>
      <c r="AQ2146" s="197"/>
      <c r="AR2146" s="197"/>
      <c r="AS2146" s="197"/>
      <c r="AT2146" s="197"/>
      <c r="AU2146" s="197"/>
      <c r="AV2146" s="197"/>
      <c r="AW2146" s="197"/>
    </row>
    <row r="2147" spans="28:49" s="196" customFormat="1">
      <c r="AB2147" s="201"/>
      <c r="AC2147" s="201"/>
      <c r="AD2147" s="197"/>
      <c r="AE2147" s="197"/>
      <c r="AF2147" s="197"/>
      <c r="AG2147" s="197"/>
      <c r="AH2147" s="197"/>
      <c r="AI2147" s="197"/>
      <c r="AJ2147" s="197"/>
      <c r="AK2147" s="197"/>
      <c r="AL2147" s="197"/>
      <c r="AM2147" s="197"/>
      <c r="AN2147" s="197"/>
      <c r="AO2147" s="197"/>
      <c r="AP2147" s="197"/>
      <c r="AQ2147" s="197"/>
      <c r="AR2147" s="197"/>
      <c r="AS2147" s="197"/>
      <c r="AT2147" s="197"/>
      <c r="AU2147" s="197"/>
      <c r="AV2147" s="197"/>
      <c r="AW2147" s="197"/>
    </row>
    <row r="2148" spans="28:49" s="196" customFormat="1">
      <c r="AB2148" s="201"/>
      <c r="AC2148" s="201"/>
      <c r="AD2148" s="197"/>
      <c r="AE2148" s="197"/>
      <c r="AF2148" s="197"/>
      <c r="AG2148" s="197"/>
      <c r="AH2148" s="197"/>
      <c r="AI2148" s="197"/>
      <c r="AJ2148" s="197"/>
      <c r="AK2148" s="197"/>
      <c r="AL2148" s="197"/>
      <c r="AM2148" s="197"/>
      <c r="AN2148" s="197"/>
      <c r="AO2148" s="197"/>
      <c r="AP2148" s="197"/>
      <c r="AQ2148" s="197"/>
      <c r="AR2148" s="197"/>
      <c r="AS2148" s="197"/>
      <c r="AT2148" s="197"/>
      <c r="AU2148" s="197"/>
      <c r="AV2148" s="197"/>
      <c r="AW2148" s="197"/>
    </row>
    <row r="2149" spans="28:49" s="196" customFormat="1">
      <c r="AB2149" s="201"/>
      <c r="AC2149" s="201"/>
      <c r="AD2149" s="197"/>
      <c r="AE2149" s="197"/>
      <c r="AF2149" s="197"/>
      <c r="AG2149" s="197"/>
      <c r="AH2149" s="197"/>
      <c r="AI2149" s="197"/>
      <c r="AJ2149" s="197"/>
      <c r="AK2149" s="197"/>
      <c r="AL2149" s="197"/>
      <c r="AM2149" s="197"/>
      <c r="AN2149" s="197"/>
      <c r="AO2149" s="197"/>
      <c r="AP2149" s="197"/>
      <c r="AQ2149" s="197"/>
      <c r="AR2149" s="197"/>
      <c r="AS2149" s="197"/>
      <c r="AT2149" s="197"/>
      <c r="AU2149" s="197"/>
      <c r="AV2149" s="197"/>
      <c r="AW2149" s="197"/>
    </row>
    <row r="2150" spans="28:49" s="196" customFormat="1">
      <c r="AB2150" s="201"/>
      <c r="AC2150" s="201"/>
      <c r="AD2150" s="197"/>
      <c r="AE2150" s="197"/>
      <c r="AF2150" s="197"/>
      <c r="AG2150" s="197"/>
      <c r="AH2150" s="197"/>
      <c r="AI2150" s="197"/>
      <c r="AJ2150" s="197"/>
      <c r="AK2150" s="197"/>
      <c r="AL2150" s="197"/>
      <c r="AM2150" s="197"/>
      <c r="AN2150" s="197"/>
      <c r="AO2150" s="197"/>
      <c r="AP2150" s="197"/>
      <c r="AQ2150" s="197"/>
      <c r="AR2150" s="197"/>
      <c r="AS2150" s="197"/>
      <c r="AT2150" s="197"/>
      <c r="AU2150" s="197"/>
      <c r="AV2150" s="197"/>
      <c r="AW2150" s="197"/>
    </row>
    <row r="2151" spans="28:49" s="196" customFormat="1">
      <c r="AB2151" s="201"/>
      <c r="AC2151" s="201"/>
      <c r="AD2151" s="197"/>
      <c r="AE2151" s="197"/>
      <c r="AF2151" s="197"/>
      <c r="AG2151" s="197"/>
      <c r="AH2151" s="197"/>
      <c r="AI2151" s="197"/>
      <c r="AJ2151" s="197"/>
      <c r="AK2151" s="197"/>
      <c r="AL2151" s="197"/>
      <c r="AM2151" s="197"/>
      <c r="AN2151" s="197"/>
      <c r="AO2151" s="197"/>
      <c r="AP2151" s="197"/>
      <c r="AQ2151" s="197"/>
      <c r="AR2151" s="197"/>
      <c r="AS2151" s="197"/>
      <c r="AT2151" s="197"/>
      <c r="AU2151" s="197"/>
      <c r="AV2151" s="197"/>
      <c r="AW2151" s="197"/>
    </row>
    <row r="2152" spans="28:49" s="196" customFormat="1">
      <c r="AB2152" s="201"/>
      <c r="AC2152" s="201"/>
      <c r="AD2152" s="197"/>
      <c r="AE2152" s="197"/>
      <c r="AF2152" s="197"/>
      <c r="AG2152" s="197"/>
      <c r="AH2152" s="197"/>
      <c r="AI2152" s="197"/>
      <c r="AJ2152" s="197"/>
      <c r="AK2152" s="197"/>
      <c r="AL2152" s="197"/>
      <c r="AM2152" s="197"/>
      <c r="AN2152" s="197"/>
      <c r="AO2152" s="197"/>
      <c r="AP2152" s="197"/>
      <c r="AQ2152" s="197"/>
      <c r="AR2152" s="197"/>
      <c r="AS2152" s="197"/>
      <c r="AT2152" s="197"/>
      <c r="AU2152" s="197"/>
      <c r="AV2152" s="197"/>
      <c r="AW2152" s="197"/>
    </row>
    <row r="2153" spans="28:49" s="196" customFormat="1">
      <c r="AB2153" s="201"/>
      <c r="AC2153" s="201"/>
      <c r="AD2153" s="197"/>
      <c r="AE2153" s="197"/>
      <c r="AF2153" s="197"/>
      <c r="AG2153" s="197"/>
      <c r="AH2153" s="197"/>
      <c r="AI2153" s="197"/>
      <c r="AJ2153" s="197"/>
      <c r="AK2153" s="197"/>
      <c r="AL2153" s="197"/>
      <c r="AM2153" s="197"/>
      <c r="AN2153" s="197"/>
      <c r="AO2153" s="197"/>
      <c r="AP2153" s="197"/>
      <c r="AQ2153" s="197"/>
      <c r="AR2153" s="197"/>
      <c r="AS2153" s="197"/>
      <c r="AT2153" s="197"/>
      <c r="AU2153" s="197"/>
      <c r="AV2153" s="197"/>
      <c r="AW2153" s="197"/>
    </row>
    <row r="2154" spans="28:49" s="196" customFormat="1">
      <c r="AB2154" s="201"/>
      <c r="AC2154" s="201"/>
      <c r="AD2154" s="197"/>
      <c r="AE2154" s="197"/>
      <c r="AF2154" s="197"/>
      <c r="AG2154" s="197"/>
      <c r="AH2154" s="197"/>
      <c r="AI2154" s="197"/>
      <c r="AJ2154" s="197"/>
      <c r="AK2154" s="197"/>
      <c r="AL2154" s="197"/>
      <c r="AM2154" s="197"/>
      <c r="AN2154" s="197"/>
      <c r="AO2154" s="197"/>
      <c r="AP2154" s="197"/>
      <c r="AQ2154" s="197"/>
      <c r="AR2154" s="197"/>
      <c r="AS2154" s="197"/>
      <c r="AT2154" s="197"/>
      <c r="AU2154" s="197"/>
      <c r="AV2154" s="197"/>
      <c r="AW2154" s="197"/>
    </row>
    <row r="2155" spans="28:49" s="196" customFormat="1">
      <c r="AB2155" s="201"/>
      <c r="AC2155" s="201"/>
      <c r="AD2155" s="197"/>
      <c r="AE2155" s="197"/>
      <c r="AF2155" s="197"/>
      <c r="AG2155" s="197"/>
      <c r="AH2155" s="197"/>
      <c r="AI2155" s="197"/>
      <c r="AJ2155" s="197"/>
      <c r="AK2155" s="197"/>
      <c r="AL2155" s="197"/>
      <c r="AM2155" s="197"/>
      <c r="AN2155" s="197"/>
      <c r="AO2155" s="197"/>
      <c r="AP2155" s="197"/>
      <c r="AQ2155" s="197"/>
      <c r="AR2155" s="197"/>
      <c r="AS2155" s="197"/>
      <c r="AT2155" s="197"/>
      <c r="AU2155" s="197"/>
      <c r="AV2155" s="197"/>
      <c r="AW2155" s="197"/>
    </row>
    <row r="2156" spans="28:49" s="196" customFormat="1">
      <c r="AB2156" s="201"/>
      <c r="AC2156" s="201"/>
      <c r="AD2156" s="197"/>
      <c r="AE2156" s="197"/>
      <c r="AF2156" s="197"/>
      <c r="AG2156" s="197"/>
      <c r="AH2156" s="197"/>
      <c r="AI2156" s="197"/>
      <c r="AJ2156" s="197"/>
      <c r="AK2156" s="197"/>
      <c r="AL2156" s="197"/>
      <c r="AM2156" s="197"/>
      <c r="AN2156" s="197"/>
      <c r="AO2156" s="197"/>
      <c r="AP2156" s="197"/>
      <c r="AQ2156" s="197"/>
      <c r="AR2156" s="197"/>
      <c r="AS2156" s="197"/>
      <c r="AT2156" s="197"/>
      <c r="AU2156" s="197"/>
      <c r="AV2156" s="197"/>
      <c r="AW2156" s="197"/>
    </row>
    <row r="2157" spans="28:49" s="196" customFormat="1">
      <c r="AB2157" s="201"/>
      <c r="AC2157" s="201"/>
      <c r="AD2157" s="197"/>
      <c r="AE2157" s="197"/>
      <c r="AF2157" s="197"/>
      <c r="AG2157" s="197"/>
      <c r="AH2157" s="197"/>
      <c r="AI2157" s="197"/>
      <c r="AJ2157" s="197"/>
      <c r="AK2157" s="197"/>
      <c r="AL2157" s="197"/>
      <c r="AM2157" s="197"/>
      <c r="AN2157" s="197"/>
      <c r="AO2157" s="197"/>
      <c r="AP2157" s="197"/>
      <c r="AQ2157" s="197"/>
      <c r="AR2157" s="197"/>
      <c r="AS2157" s="197"/>
      <c r="AT2157" s="197"/>
      <c r="AU2157" s="197"/>
      <c r="AV2157" s="197"/>
      <c r="AW2157" s="197"/>
    </row>
    <row r="2158" spans="28:49" s="196" customFormat="1">
      <c r="AB2158" s="201"/>
      <c r="AC2158" s="201"/>
      <c r="AD2158" s="197"/>
      <c r="AE2158" s="197"/>
      <c r="AF2158" s="197"/>
      <c r="AG2158" s="197"/>
      <c r="AH2158" s="197"/>
      <c r="AI2158" s="197"/>
      <c r="AJ2158" s="197"/>
      <c r="AK2158" s="197"/>
      <c r="AL2158" s="197"/>
      <c r="AM2158" s="197"/>
      <c r="AN2158" s="197"/>
      <c r="AO2158" s="197"/>
      <c r="AP2158" s="197"/>
      <c r="AQ2158" s="197"/>
      <c r="AR2158" s="197"/>
      <c r="AS2158" s="197"/>
      <c r="AT2158" s="197"/>
      <c r="AU2158" s="197"/>
      <c r="AV2158" s="197"/>
      <c r="AW2158" s="197"/>
    </row>
    <row r="2159" spans="28:49" s="196" customFormat="1">
      <c r="AB2159" s="201"/>
      <c r="AC2159" s="201"/>
      <c r="AD2159" s="197"/>
      <c r="AE2159" s="197"/>
      <c r="AF2159" s="197"/>
      <c r="AG2159" s="197"/>
      <c r="AH2159" s="197"/>
      <c r="AI2159" s="197"/>
      <c r="AJ2159" s="197"/>
      <c r="AK2159" s="197"/>
      <c r="AL2159" s="197"/>
      <c r="AM2159" s="197"/>
      <c r="AN2159" s="197"/>
      <c r="AO2159" s="197"/>
      <c r="AP2159" s="197"/>
      <c r="AQ2159" s="197"/>
      <c r="AR2159" s="197"/>
      <c r="AS2159" s="197"/>
      <c r="AT2159" s="197"/>
      <c r="AU2159" s="197"/>
      <c r="AV2159" s="197"/>
      <c r="AW2159" s="197"/>
    </row>
    <row r="2160" spans="28:49" s="196" customFormat="1">
      <c r="AB2160" s="201"/>
      <c r="AC2160" s="201"/>
      <c r="AD2160" s="197"/>
      <c r="AE2160" s="197"/>
      <c r="AF2160" s="197"/>
      <c r="AG2160" s="197"/>
      <c r="AH2160" s="197"/>
      <c r="AI2160" s="197"/>
      <c r="AJ2160" s="197"/>
      <c r="AK2160" s="197"/>
      <c r="AL2160" s="197"/>
      <c r="AM2160" s="197"/>
      <c r="AN2160" s="197"/>
      <c r="AO2160" s="197"/>
      <c r="AP2160" s="197"/>
      <c r="AQ2160" s="197"/>
      <c r="AR2160" s="197"/>
      <c r="AS2160" s="197"/>
      <c r="AT2160" s="197"/>
      <c r="AU2160" s="197"/>
      <c r="AV2160" s="197"/>
      <c r="AW2160" s="197"/>
    </row>
    <row r="2161" spans="28:49" s="196" customFormat="1">
      <c r="AB2161" s="201"/>
      <c r="AC2161" s="201"/>
      <c r="AD2161" s="197"/>
      <c r="AE2161" s="197"/>
      <c r="AF2161" s="197"/>
      <c r="AG2161" s="197"/>
      <c r="AH2161" s="197"/>
      <c r="AI2161" s="197"/>
      <c r="AJ2161" s="197"/>
      <c r="AK2161" s="197"/>
      <c r="AL2161" s="197"/>
      <c r="AM2161" s="197"/>
      <c r="AN2161" s="197"/>
      <c r="AO2161" s="197"/>
      <c r="AP2161" s="197"/>
      <c r="AQ2161" s="197"/>
      <c r="AR2161" s="197"/>
      <c r="AS2161" s="197"/>
      <c r="AT2161" s="197"/>
      <c r="AU2161" s="197"/>
      <c r="AV2161" s="197"/>
      <c r="AW2161" s="197"/>
    </row>
    <row r="2162" spans="28:49" s="196" customFormat="1">
      <c r="AB2162" s="201"/>
      <c r="AC2162" s="201"/>
      <c r="AD2162" s="197"/>
      <c r="AE2162" s="197"/>
      <c r="AF2162" s="197"/>
      <c r="AG2162" s="197"/>
      <c r="AH2162" s="197"/>
      <c r="AI2162" s="197"/>
      <c r="AJ2162" s="197"/>
      <c r="AK2162" s="197"/>
      <c r="AL2162" s="197"/>
      <c r="AM2162" s="197"/>
      <c r="AN2162" s="197"/>
      <c r="AO2162" s="197"/>
      <c r="AP2162" s="197"/>
      <c r="AQ2162" s="197"/>
      <c r="AR2162" s="197"/>
      <c r="AS2162" s="197"/>
      <c r="AT2162" s="197"/>
      <c r="AU2162" s="197"/>
      <c r="AV2162" s="197"/>
      <c r="AW2162" s="197"/>
    </row>
    <row r="2163" spans="28:49" s="196" customFormat="1">
      <c r="AB2163" s="201"/>
      <c r="AC2163" s="201"/>
      <c r="AD2163" s="197"/>
      <c r="AE2163" s="197"/>
      <c r="AF2163" s="197"/>
      <c r="AG2163" s="197"/>
      <c r="AH2163" s="197"/>
      <c r="AI2163" s="197"/>
      <c r="AJ2163" s="197"/>
      <c r="AK2163" s="197"/>
      <c r="AL2163" s="197"/>
      <c r="AM2163" s="197"/>
      <c r="AN2163" s="197"/>
      <c r="AO2163" s="197"/>
      <c r="AP2163" s="197"/>
      <c r="AQ2163" s="197"/>
      <c r="AR2163" s="197"/>
      <c r="AS2163" s="197"/>
      <c r="AT2163" s="197"/>
      <c r="AU2163" s="197"/>
      <c r="AV2163" s="197"/>
      <c r="AW2163" s="197"/>
    </row>
    <row r="2164" spans="28:49" s="196" customFormat="1">
      <c r="AB2164" s="201"/>
      <c r="AC2164" s="201"/>
      <c r="AD2164" s="197"/>
      <c r="AE2164" s="197"/>
      <c r="AF2164" s="197"/>
      <c r="AG2164" s="197"/>
      <c r="AH2164" s="197"/>
      <c r="AI2164" s="197"/>
      <c r="AJ2164" s="197"/>
      <c r="AK2164" s="197"/>
      <c r="AL2164" s="197"/>
      <c r="AM2164" s="197"/>
      <c r="AN2164" s="197"/>
      <c r="AO2164" s="197"/>
      <c r="AP2164" s="197"/>
      <c r="AQ2164" s="197"/>
      <c r="AR2164" s="197"/>
      <c r="AS2164" s="197"/>
      <c r="AT2164" s="197"/>
      <c r="AU2164" s="197"/>
      <c r="AV2164" s="197"/>
      <c r="AW2164" s="197"/>
    </row>
    <row r="2165" spans="28:49" s="196" customFormat="1">
      <c r="AB2165" s="201"/>
      <c r="AC2165" s="201"/>
      <c r="AD2165" s="197"/>
      <c r="AE2165" s="197"/>
      <c r="AF2165" s="197"/>
      <c r="AG2165" s="197"/>
      <c r="AH2165" s="197"/>
      <c r="AI2165" s="197"/>
      <c r="AJ2165" s="197"/>
      <c r="AK2165" s="197"/>
      <c r="AL2165" s="197"/>
      <c r="AM2165" s="197"/>
      <c r="AN2165" s="197"/>
      <c r="AO2165" s="197"/>
      <c r="AP2165" s="197"/>
      <c r="AQ2165" s="197"/>
      <c r="AR2165" s="197"/>
      <c r="AS2165" s="197"/>
      <c r="AT2165" s="197"/>
      <c r="AU2165" s="197"/>
      <c r="AV2165" s="197"/>
      <c r="AW2165" s="197"/>
    </row>
    <row r="2166" spans="28:49" s="196" customFormat="1">
      <c r="AB2166" s="201"/>
      <c r="AC2166" s="201"/>
      <c r="AD2166" s="197"/>
      <c r="AE2166" s="197"/>
      <c r="AF2166" s="197"/>
      <c r="AG2166" s="197"/>
      <c r="AH2166" s="197"/>
      <c r="AI2166" s="197"/>
      <c r="AJ2166" s="197"/>
      <c r="AK2166" s="197"/>
      <c r="AL2166" s="197"/>
      <c r="AM2166" s="197"/>
      <c r="AN2166" s="197"/>
      <c r="AO2166" s="197"/>
      <c r="AP2166" s="197"/>
      <c r="AQ2166" s="197"/>
      <c r="AR2166" s="197"/>
      <c r="AS2166" s="197"/>
      <c r="AT2166" s="197"/>
      <c r="AU2166" s="197"/>
      <c r="AV2166" s="197"/>
      <c r="AW2166" s="197"/>
    </row>
    <row r="2167" spans="28:49" s="196" customFormat="1">
      <c r="AB2167" s="201"/>
      <c r="AC2167" s="201"/>
      <c r="AD2167" s="197"/>
      <c r="AE2167" s="197"/>
      <c r="AF2167" s="197"/>
      <c r="AG2167" s="197"/>
      <c r="AH2167" s="197"/>
      <c r="AI2167" s="197"/>
      <c r="AJ2167" s="197"/>
      <c r="AK2167" s="197"/>
      <c r="AL2167" s="197"/>
      <c r="AM2167" s="197"/>
      <c r="AN2167" s="197"/>
      <c r="AO2167" s="197"/>
      <c r="AP2167" s="197"/>
      <c r="AQ2167" s="197"/>
      <c r="AR2167" s="197"/>
      <c r="AS2167" s="197"/>
      <c r="AT2167" s="197"/>
      <c r="AU2167" s="197"/>
      <c r="AV2167" s="197"/>
      <c r="AW2167" s="197"/>
    </row>
    <row r="2168" spans="28:49" s="196" customFormat="1">
      <c r="AB2168" s="201"/>
      <c r="AC2168" s="201"/>
      <c r="AD2168" s="197"/>
      <c r="AE2168" s="197"/>
      <c r="AF2168" s="197"/>
      <c r="AG2168" s="197"/>
      <c r="AH2168" s="197"/>
      <c r="AI2168" s="197"/>
      <c r="AJ2168" s="197"/>
      <c r="AK2168" s="197"/>
      <c r="AL2168" s="197"/>
      <c r="AM2168" s="197"/>
      <c r="AN2168" s="197"/>
      <c r="AO2168" s="197"/>
      <c r="AP2168" s="197"/>
      <c r="AQ2168" s="197"/>
      <c r="AR2168" s="197"/>
      <c r="AS2168" s="197"/>
      <c r="AT2168" s="197"/>
      <c r="AU2168" s="197"/>
      <c r="AV2168" s="197"/>
      <c r="AW2168" s="197"/>
    </row>
    <row r="2169" spans="28:49" s="196" customFormat="1">
      <c r="AB2169" s="201"/>
      <c r="AC2169" s="201"/>
      <c r="AD2169" s="197"/>
      <c r="AE2169" s="197"/>
      <c r="AF2169" s="197"/>
      <c r="AG2169" s="197"/>
      <c r="AH2169" s="197"/>
      <c r="AI2169" s="197"/>
      <c r="AJ2169" s="197"/>
      <c r="AK2169" s="197"/>
      <c r="AL2169" s="197"/>
      <c r="AM2169" s="197"/>
      <c r="AN2169" s="197"/>
      <c r="AO2169" s="197"/>
      <c r="AP2169" s="197"/>
      <c r="AQ2169" s="197"/>
      <c r="AR2169" s="197"/>
      <c r="AS2169" s="197"/>
      <c r="AT2169" s="197"/>
      <c r="AU2169" s="197"/>
      <c r="AV2169" s="197"/>
      <c r="AW2169" s="197"/>
    </row>
    <row r="2170" spans="28:49" s="196" customFormat="1">
      <c r="AB2170" s="201"/>
      <c r="AC2170" s="201"/>
      <c r="AD2170" s="197"/>
      <c r="AE2170" s="197"/>
      <c r="AF2170" s="197"/>
      <c r="AG2170" s="197"/>
      <c r="AH2170" s="197"/>
      <c r="AI2170" s="197"/>
      <c r="AJ2170" s="197"/>
      <c r="AK2170" s="197"/>
      <c r="AL2170" s="197"/>
      <c r="AM2170" s="197"/>
      <c r="AN2170" s="197"/>
      <c r="AO2170" s="197"/>
      <c r="AP2170" s="197"/>
      <c r="AQ2170" s="197"/>
      <c r="AR2170" s="197"/>
      <c r="AS2170" s="197"/>
      <c r="AT2170" s="197"/>
      <c r="AU2170" s="197"/>
      <c r="AV2170" s="197"/>
      <c r="AW2170" s="197"/>
    </row>
    <row r="2171" spans="28:49" s="196" customFormat="1">
      <c r="AB2171" s="201"/>
      <c r="AC2171" s="201"/>
      <c r="AD2171" s="197"/>
      <c r="AE2171" s="197"/>
      <c r="AF2171" s="197"/>
      <c r="AG2171" s="197"/>
      <c r="AH2171" s="197"/>
      <c r="AI2171" s="197"/>
      <c r="AJ2171" s="197"/>
      <c r="AK2171" s="197"/>
      <c r="AL2171" s="197"/>
      <c r="AM2171" s="197"/>
      <c r="AN2171" s="197"/>
      <c r="AO2171" s="197"/>
      <c r="AP2171" s="197"/>
      <c r="AQ2171" s="197"/>
      <c r="AR2171" s="197"/>
      <c r="AS2171" s="197"/>
      <c r="AT2171" s="197"/>
      <c r="AU2171" s="197"/>
      <c r="AV2171" s="197"/>
      <c r="AW2171" s="197"/>
    </row>
    <row r="2172" spans="28:49" s="196" customFormat="1">
      <c r="AB2172" s="201"/>
      <c r="AC2172" s="201"/>
      <c r="AD2172" s="197"/>
      <c r="AE2172" s="197"/>
      <c r="AF2172" s="197"/>
      <c r="AG2172" s="197"/>
      <c r="AH2172" s="197"/>
      <c r="AI2172" s="197"/>
      <c r="AJ2172" s="197"/>
      <c r="AK2172" s="197"/>
      <c r="AL2172" s="197"/>
      <c r="AM2172" s="197"/>
      <c r="AN2172" s="197"/>
      <c r="AO2172" s="197"/>
      <c r="AP2172" s="197"/>
      <c r="AQ2172" s="197"/>
      <c r="AR2172" s="197"/>
      <c r="AS2172" s="197"/>
      <c r="AT2172" s="197"/>
      <c r="AU2172" s="197"/>
      <c r="AV2172" s="197"/>
      <c r="AW2172" s="197"/>
    </row>
    <row r="2173" spans="28:49" s="196" customFormat="1">
      <c r="AB2173" s="201"/>
      <c r="AC2173" s="201"/>
      <c r="AD2173" s="197"/>
      <c r="AE2173" s="197"/>
      <c r="AF2173" s="197"/>
      <c r="AG2173" s="197"/>
      <c r="AH2173" s="197"/>
      <c r="AI2173" s="197"/>
      <c r="AJ2173" s="197"/>
      <c r="AK2173" s="197"/>
      <c r="AL2173" s="197"/>
      <c r="AM2173" s="197"/>
      <c r="AN2173" s="197"/>
      <c r="AO2173" s="197"/>
      <c r="AP2173" s="197"/>
      <c r="AQ2173" s="197"/>
      <c r="AR2173" s="197"/>
      <c r="AS2173" s="197"/>
      <c r="AT2173" s="197"/>
      <c r="AU2173" s="197"/>
      <c r="AV2173" s="197"/>
      <c r="AW2173" s="197"/>
    </row>
    <row r="2174" spans="28:49" s="196" customFormat="1">
      <c r="AB2174" s="201"/>
      <c r="AC2174" s="201"/>
      <c r="AD2174" s="197"/>
      <c r="AE2174" s="197"/>
      <c r="AF2174" s="197"/>
      <c r="AG2174" s="197"/>
      <c r="AH2174" s="197"/>
      <c r="AI2174" s="197"/>
      <c r="AJ2174" s="197"/>
      <c r="AK2174" s="197"/>
      <c r="AL2174" s="197"/>
      <c r="AM2174" s="197"/>
      <c r="AN2174" s="197"/>
      <c r="AO2174" s="197"/>
      <c r="AP2174" s="197"/>
      <c r="AQ2174" s="197"/>
      <c r="AR2174" s="197"/>
      <c r="AS2174" s="197"/>
      <c r="AT2174" s="197"/>
      <c r="AU2174" s="197"/>
      <c r="AV2174" s="197"/>
      <c r="AW2174" s="197"/>
    </row>
    <row r="2175" spans="28:49" s="196" customFormat="1">
      <c r="AB2175" s="201"/>
      <c r="AC2175" s="201"/>
      <c r="AD2175" s="197"/>
      <c r="AE2175" s="197"/>
      <c r="AF2175" s="197"/>
      <c r="AG2175" s="197"/>
      <c r="AH2175" s="197"/>
      <c r="AI2175" s="197"/>
      <c r="AJ2175" s="197"/>
      <c r="AK2175" s="197"/>
      <c r="AL2175" s="197"/>
      <c r="AM2175" s="197"/>
      <c r="AN2175" s="197"/>
      <c r="AO2175" s="197"/>
      <c r="AP2175" s="197"/>
      <c r="AQ2175" s="197"/>
      <c r="AR2175" s="197"/>
      <c r="AS2175" s="197"/>
      <c r="AT2175" s="197"/>
      <c r="AU2175" s="197"/>
      <c r="AV2175" s="197"/>
      <c r="AW2175" s="197"/>
    </row>
    <row r="2176" spans="28:49" s="196" customFormat="1">
      <c r="AB2176" s="201"/>
      <c r="AC2176" s="201"/>
      <c r="AD2176" s="197"/>
      <c r="AE2176" s="197"/>
      <c r="AF2176" s="197"/>
      <c r="AG2176" s="197"/>
      <c r="AH2176" s="197"/>
      <c r="AI2176" s="197"/>
      <c r="AJ2176" s="197"/>
      <c r="AK2176" s="197"/>
      <c r="AL2176" s="197"/>
      <c r="AM2176" s="197"/>
      <c r="AN2176" s="197"/>
      <c r="AO2176" s="197"/>
      <c r="AP2176" s="197"/>
      <c r="AQ2176" s="197"/>
      <c r="AR2176" s="197"/>
      <c r="AS2176" s="197"/>
      <c r="AT2176" s="197"/>
      <c r="AU2176" s="197"/>
      <c r="AV2176" s="197"/>
      <c r="AW2176" s="197"/>
    </row>
    <row r="2177" spans="28:49" s="196" customFormat="1">
      <c r="AB2177" s="201"/>
      <c r="AC2177" s="201"/>
      <c r="AD2177" s="197"/>
      <c r="AE2177" s="197"/>
      <c r="AF2177" s="197"/>
      <c r="AG2177" s="197"/>
      <c r="AH2177" s="197"/>
      <c r="AI2177" s="197"/>
      <c r="AJ2177" s="197"/>
      <c r="AK2177" s="197"/>
      <c r="AL2177" s="197"/>
      <c r="AM2177" s="197"/>
      <c r="AN2177" s="197"/>
      <c r="AO2177" s="197"/>
      <c r="AP2177" s="197"/>
      <c r="AQ2177" s="197"/>
      <c r="AR2177" s="197"/>
      <c r="AS2177" s="197"/>
      <c r="AT2177" s="197"/>
      <c r="AU2177" s="197"/>
      <c r="AV2177" s="197"/>
      <c r="AW2177" s="197"/>
    </row>
    <row r="2178" spans="28:49" s="196" customFormat="1">
      <c r="AB2178" s="201"/>
      <c r="AC2178" s="201"/>
      <c r="AD2178" s="197"/>
      <c r="AE2178" s="197"/>
      <c r="AF2178" s="197"/>
      <c r="AG2178" s="197"/>
      <c r="AH2178" s="197"/>
      <c r="AI2178" s="197"/>
      <c r="AJ2178" s="197"/>
      <c r="AK2178" s="197"/>
      <c r="AL2178" s="197"/>
      <c r="AM2178" s="197"/>
      <c r="AN2178" s="197"/>
      <c r="AO2178" s="197"/>
      <c r="AP2178" s="197"/>
      <c r="AQ2178" s="197"/>
      <c r="AR2178" s="197"/>
      <c r="AS2178" s="197"/>
      <c r="AT2178" s="197"/>
      <c r="AU2178" s="197"/>
      <c r="AV2178" s="197"/>
      <c r="AW2178" s="197"/>
    </row>
    <row r="2179" spans="28:49" s="196" customFormat="1">
      <c r="AB2179" s="201"/>
      <c r="AC2179" s="201"/>
      <c r="AD2179" s="197"/>
      <c r="AE2179" s="197"/>
      <c r="AF2179" s="197"/>
      <c r="AG2179" s="197"/>
      <c r="AH2179" s="197"/>
      <c r="AI2179" s="197"/>
      <c r="AJ2179" s="197"/>
      <c r="AK2179" s="197"/>
      <c r="AL2179" s="197"/>
      <c r="AM2179" s="197"/>
      <c r="AN2179" s="197"/>
      <c r="AO2179" s="197"/>
      <c r="AP2179" s="197"/>
      <c r="AQ2179" s="197"/>
      <c r="AR2179" s="197"/>
      <c r="AS2179" s="197"/>
      <c r="AT2179" s="197"/>
      <c r="AU2179" s="197"/>
      <c r="AV2179" s="197"/>
      <c r="AW2179" s="197"/>
    </row>
    <row r="2180" spans="28:49" s="196" customFormat="1">
      <c r="AB2180" s="201"/>
      <c r="AC2180" s="201"/>
      <c r="AD2180" s="197"/>
      <c r="AE2180" s="197"/>
      <c r="AF2180" s="197"/>
      <c r="AG2180" s="197"/>
      <c r="AH2180" s="197"/>
      <c r="AI2180" s="197"/>
      <c r="AJ2180" s="197"/>
      <c r="AK2180" s="197"/>
      <c r="AL2180" s="197"/>
      <c r="AM2180" s="197"/>
      <c r="AN2180" s="197"/>
      <c r="AO2180" s="197"/>
      <c r="AP2180" s="197"/>
      <c r="AQ2180" s="197"/>
      <c r="AR2180" s="197"/>
      <c r="AS2180" s="197"/>
      <c r="AT2180" s="197"/>
      <c r="AU2180" s="197"/>
      <c r="AV2180" s="197"/>
      <c r="AW2180" s="197"/>
    </row>
    <row r="2181" spans="28:49" s="196" customFormat="1">
      <c r="AB2181" s="201"/>
      <c r="AC2181" s="201"/>
      <c r="AD2181" s="197"/>
      <c r="AE2181" s="197"/>
      <c r="AF2181" s="197"/>
      <c r="AG2181" s="197"/>
      <c r="AH2181" s="197"/>
      <c r="AI2181" s="197"/>
      <c r="AJ2181" s="197"/>
      <c r="AK2181" s="197"/>
      <c r="AL2181" s="197"/>
      <c r="AM2181" s="197"/>
      <c r="AN2181" s="197"/>
      <c r="AO2181" s="197"/>
      <c r="AP2181" s="197"/>
      <c r="AQ2181" s="197"/>
      <c r="AR2181" s="197"/>
      <c r="AS2181" s="197"/>
      <c r="AT2181" s="197"/>
      <c r="AU2181" s="197"/>
      <c r="AV2181" s="197"/>
      <c r="AW2181" s="197"/>
    </row>
    <row r="2182" spans="28:49" s="196" customFormat="1">
      <c r="AB2182" s="201"/>
      <c r="AC2182" s="201"/>
      <c r="AD2182" s="197"/>
      <c r="AE2182" s="197"/>
      <c r="AF2182" s="197"/>
      <c r="AG2182" s="197"/>
      <c r="AH2182" s="197"/>
      <c r="AI2182" s="197"/>
      <c r="AJ2182" s="197"/>
      <c r="AK2182" s="197"/>
      <c r="AL2182" s="197"/>
      <c r="AM2182" s="197"/>
      <c r="AN2182" s="197"/>
      <c r="AO2182" s="197"/>
      <c r="AP2182" s="197"/>
      <c r="AQ2182" s="197"/>
      <c r="AR2182" s="197"/>
      <c r="AS2182" s="197"/>
      <c r="AT2182" s="197"/>
      <c r="AU2182" s="197"/>
      <c r="AV2182" s="197"/>
      <c r="AW2182" s="197"/>
    </row>
    <row r="2183" spans="28:49" s="196" customFormat="1">
      <c r="AB2183" s="201"/>
      <c r="AC2183" s="201"/>
      <c r="AD2183" s="197"/>
      <c r="AE2183" s="197"/>
      <c r="AF2183" s="197"/>
      <c r="AG2183" s="197"/>
      <c r="AH2183" s="197"/>
      <c r="AI2183" s="197"/>
      <c r="AJ2183" s="197"/>
      <c r="AK2183" s="197"/>
      <c r="AL2183" s="197"/>
      <c r="AM2183" s="197"/>
      <c r="AN2183" s="197"/>
      <c r="AO2183" s="197"/>
      <c r="AP2183" s="197"/>
      <c r="AQ2183" s="197"/>
      <c r="AR2183" s="197"/>
      <c r="AS2183" s="197"/>
      <c r="AT2183" s="197"/>
      <c r="AU2183" s="197"/>
      <c r="AV2183" s="197"/>
      <c r="AW2183" s="197"/>
    </row>
    <row r="2184" spans="28:49" s="196" customFormat="1">
      <c r="AB2184" s="201"/>
      <c r="AC2184" s="201"/>
      <c r="AD2184" s="197"/>
      <c r="AE2184" s="197"/>
      <c r="AF2184" s="197"/>
      <c r="AG2184" s="197"/>
      <c r="AH2184" s="197"/>
      <c r="AI2184" s="197"/>
      <c r="AJ2184" s="197"/>
      <c r="AK2184" s="197"/>
      <c r="AL2184" s="197"/>
      <c r="AM2184" s="197"/>
      <c r="AN2184" s="197"/>
      <c r="AO2184" s="197"/>
      <c r="AP2184" s="197"/>
      <c r="AQ2184" s="197"/>
      <c r="AR2184" s="197"/>
      <c r="AS2184" s="197"/>
      <c r="AT2184" s="197"/>
      <c r="AU2184" s="197"/>
      <c r="AV2184" s="197"/>
      <c r="AW2184" s="197"/>
    </row>
    <row r="2185" spans="28:49" s="196" customFormat="1">
      <c r="AB2185" s="201"/>
      <c r="AC2185" s="201"/>
      <c r="AD2185" s="197"/>
      <c r="AE2185" s="197"/>
      <c r="AF2185" s="197"/>
      <c r="AG2185" s="197"/>
      <c r="AH2185" s="197"/>
      <c r="AI2185" s="197"/>
      <c r="AJ2185" s="197"/>
      <c r="AK2185" s="197"/>
      <c r="AL2185" s="197"/>
      <c r="AM2185" s="197"/>
      <c r="AN2185" s="197"/>
      <c r="AO2185" s="197"/>
      <c r="AP2185" s="197"/>
      <c r="AQ2185" s="197"/>
      <c r="AR2185" s="197"/>
      <c r="AS2185" s="197"/>
      <c r="AT2185" s="197"/>
      <c r="AU2185" s="197"/>
      <c r="AV2185" s="197"/>
      <c r="AW2185" s="197"/>
    </row>
    <row r="2186" spans="28:49" s="196" customFormat="1">
      <c r="AB2186" s="201"/>
      <c r="AC2186" s="201"/>
      <c r="AD2186" s="197"/>
      <c r="AE2186" s="197"/>
      <c r="AF2186" s="197"/>
      <c r="AG2186" s="197"/>
      <c r="AH2186" s="197"/>
      <c r="AI2186" s="197"/>
      <c r="AJ2186" s="197"/>
      <c r="AK2186" s="197"/>
      <c r="AL2186" s="197"/>
      <c r="AM2186" s="197"/>
      <c r="AN2186" s="197"/>
      <c r="AO2186" s="197"/>
      <c r="AP2186" s="197"/>
      <c r="AQ2186" s="197"/>
      <c r="AR2186" s="197"/>
      <c r="AS2186" s="197"/>
      <c r="AT2186" s="197"/>
      <c r="AU2186" s="197"/>
      <c r="AV2186" s="197"/>
      <c r="AW2186" s="197"/>
    </row>
    <row r="2187" spans="28:49" s="196" customFormat="1">
      <c r="AB2187" s="201"/>
      <c r="AC2187" s="201"/>
      <c r="AD2187" s="197"/>
      <c r="AE2187" s="197"/>
      <c r="AF2187" s="197"/>
      <c r="AG2187" s="197"/>
      <c r="AH2187" s="197"/>
      <c r="AI2187" s="197"/>
      <c r="AJ2187" s="197"/>
      <c r="AK2187" s="197"/>
      <c r="AL2187" s="197"/>
      <c r="AM2187" s="197"/>
      <c r="AN2187" s="197"/>
      <c r="AO2187" s="197"/>
      <c r="AP2187" s="197"/>
      <c r="AQ2187" s="197"/>
      <c r="AR2187" s="197"/>
      <c r="AS2187" s="197"/>
      <c r="AT2187" s="197"/>
      <c r="AU2187" s="197"/>
      <c r="AV2187" s="197"/>
      <c r="AW2187" s="197"/>
    </row>
    <row r="2188" spans="28:49" s="196" customFormat="1">
      <c r="AB2188" s="201"/>
      <c r="AC2188" s="201"/>
      <c r="AD2188" s="197"/>
      <c r="AE2188" s="197"/>
      <c r="AF2188" s="197"/>
      <c r="AG2188" s="197"/>
      <c r="AH2188" s="197"/>
      <c r="AI2188" s="197"/>
      <c r="AJ2188" s="197"/>
      <c r="AK2188" s="197"/>
      <c r="AL2188" s="197"/>
      <c r="AM2188" s="197"/>
      <c r="AN2188" s="197"/>
      <c r="AO2188" s="197"/>
      <c r="AP2188" s="197"/>
      <c r="AQ2188" s="197"/>
      <c r="AR2188" s="197"/>
      <c r="AS2188" s="197"/>
      <c r="AT2188" s="197"/>
      <c r="AU2188" s="197"/>
      <c r="AV2188" s="197"/>
      <c r="AW2188" s="197"/>
    </row>
    <row r="2189" spans="28:49" s="196" customFormat="1">
      <c r="AB2189" s="201"/>
      <c r="AC2189" s="201"/>
      <c r="AD2189" s="197"/>
      <c r="AE2189" s="197"/>
      <c r="AF2189" s="197"/>
      <c r="AG2189" s="197"/>
      <c r="AH2189" s="197"/>
      <c r="AI2189" s="197"/>
      <c r="AJ2189" s="197"/>
      <c r="AK2189" s="197"/>
      <c r="AL2189" s="197"/>
      <c r="AM2189" s="197"/>
      <c r="AN2189" s="197"/>
      <c r="AO2189" s="197"/>
      <c r="AP2189" s="197"/>
      <c r="AQ2189" s="197"/>
      <c r="AR2189" s="197"/>
      <c r="AS2189" s="197"/>
      <c r="AT2189" s="197"/>
      <c r="AU2189" s="197"/>
      <c r="AV2189" s="197"/>
      <c r="AW2189" s="197"/>
    </row>
    <row r="2190" spans="28:49" s="196" customFormat="1">
      <c r="AB2190" s="201"/>
      <c r="AC2190" s="201"/>
      <c r="AD2190" s="197"/>
      <c r="AE2190" s="197"/>
      <c r="AF2190" s="197"/>
      <c r="AG2190" s="197"/>
      <c r="AH2190" s="197"/>
      <c r="AI2190" s="197"/>
      <c r="AJ2190" s="197"/>
      <c r="AK2190" s="197"/>
      <c r="AL2190" s="197"/>
      <c r="AM2190" s="197"/>
      <c r="AN2190" s="197"/>
      <c r="AO2190" s="197"/>
      <c r="AP2190" s="197"/>
      <c r="AQ2190" s="197"/>
      <c r="AR2190" s="197"/>
      <c r="AS2190" s="197"/>
      <c r="AT2190" s="197"/>
      <c r="AU2190" s="197"/>
      <c r="AV2190" s="197"/>
      <c r="AW2190" s="197"/>
    </row>
    <row r="2191" spans="28:49" s="196" customFormat="1">
      <c r="AB2191" s="201"/>
      <c r="AC2191" s="201"/>
      <c r="AD2191" s="197"/>
      <c r="AE2191" s="197"/>
      <c r="AF2191" s="197"/>
      <c r="AG2191" s="197"/>
      <c r="AH2191" s="197"/>
      <c r="AI2191" s="197"/>
      <c r="AJ2191" s="197"/>
      <c r="AK2191" s="197"/>
      <c r="AL2191" s="197"/>
      <c r="AM2191" s="197"/>
      <c r="AN2191" s="197"/>
      <c r="AO2191" s="197"/>
      <c r="AP2191" s="197"/>
      <c r="AQ2191" s="197"/>
      <c r="AR2191" s="197"/>
      <c r="AS2191" s="197"/>
      <c r="AT2191" s="197"/>
      <c r="AU2191" s="197"/>
      <c r="AV2191" s="197"/>
      <c r="AW2191" s="197"/>
    </row>
    <row r="2192" spans="28:49" s="196" customFormat="1">
      <c r="AB2192" s="201"/>
      <c r="AC2192" s="201"/>
      <c r="AD2192" s="197"/>
      <c r="AE2192" s="197"/>
      <c r="AF2192" s="197"/>
      <c r="AG2192" s="197"/>
      <c r="AH2192" s="197"/>
      <c r="AI2192" s="197"/>
      <c r="AJ2192" s="197"/>
      <c r="AK2192" s="197"/>
      <c r="AL2192" s="197"/>
      <c r="AM2192" s="197"/>
      <c r="AN2192" s="197"/>
      <c r="AO2192" s="197"/>
      <c r="AP2192" s="197"/>
      <c r="AQ2192" s="197"/>
      <c r="AR2192" s="197"/>
      <c r="AS2192" s="197"/>
      <c r="AT2192" s="197"/>
      <c r="AU2192" s="197"/>
      <c r="AV2192" s="197"/>
      <c r="AW2192" s="197"/>
    </row>
    <row r="2193" spans="28:49" s="196" customFormat="1">
      <c r="AB2193" s="201"/>
      <c r="AC2193" s="201"/>
      <c r="AD2193" s="197"/>
      <c r="AE2193" s="197"/>
      <c r="AF2193" s="197"/>
      <c r="AG2193" s="197"/>
      <c r="AH2193" s="197"/>
      <c r="AI2193" s="197"/>
      <c r="AJ2193" s="197"/>
      <c r="AK2193" s="197"/>
      <c r="AL2193" s="197"/>
      <c r="AM2193" s="197"/>
      <c r="AN2193" s="197"/>
      <c r="AO2193" s="197"/>
      <c r="AP2193" s="197"/>
      <c r="AQ2193" s="197"/>
      <c r="AR2193" s="197"/>
      <c r="AS2193" s="197"/>
      <c r="AT2193" s="197"/>
      <c r="AU2193" s="197"/>
      <c r="AV2193" s="197"/>
      <c r="AW2193" s="197"/>
    </row>
    <row r="2194" spans="28:49" s="196" customFormat="1">
      <c r="AB2194" s="201"/>
      <c r="AC2194" s="201"/>
      <c r="AD2194" s="197"/>
      <c r="AE2194" s="197"/>
      <c r="AF2194" s="197"/>
      <c r="AG2194" s="197"/>
      <c r="AH2194" s="197"/>
      <c r="AI2194" s="197"/>
      <c r="AJ2194" s="197"/>
      <c r="AK2194" s="197"/>
      <c r="AL2194" s="197"/>
      <c r="AM2194" s="197"/>
      <c r="AN2194" s="197"/>
      <c r="AO2194" s="197"/>
      <c r="AP2194" s="197"/>
      <c r="AQ2194" s="197"/>
      <c r="AR2194" s="197"/>
      <c r="AS2194" s="197"/>
      <c r="AT2194" s="197"/>
      <c r="AU2194" s="197"/>
      <c r="AV2194" s="197"/>
      <c r="AW2194" s="197"/>
    </row>
    <row r="2195" spans="28:49" s="196" customFormat="1">
      <c r="AB2195" s="201"/>
      <c r="AC2195" s="201"/>
      <c r="AD2195" s="197"/>
      <c r="AE2195" s="197"/>
      <c r="AF2195" s="197"/>
      <c r="AG2195" s="197"/>
      <c r="AH2195" s="197"/>
      <c r="AI2195" s="197"/>
      <c r="AJ2195" s="197"/>
      <c r="AK2195" s="197"/>
      <c r="AL2195" s="197"/>
      <c r="AM2195" s="197"/>
      <c r="AN2195" s="197"/>
      <c r="AO2195" s="197"/>
      <c r="AP2195" s="197"/>
      <c r="AQ2195" s="197"/>
      <c r="AR2195" s="197"/>
      <c r="AS2195" s="197"/>
      <c r="AT2195" s="197"/>
      <c r="AU2195" s="197"/>
      <c r="AV2195" s="197"/>
      <c r="AW2195" s="197"/>
    </row>
    <row r="2196" spans="28:49" s="196" customFormat="1">
      <c r="AB2196" s="201"/>
      <c r="AC2196" s="201"/>
      <c r="AD2196" s="197"/>
      <c r="AE2196" s="197"/>
      <c r="AF2196" s="197"/>
      <c r="AG2196" s="197"/>
      <c r="AH2196" s="197"/>
      <c r="AI2196" s="197"/>
      <c r="AJ2196" s="197"/>
      <c r="AK2196" s="197"/>
      <c r="AL2196" s="197"/>
      <c r="AM2196" s="197"/>
      <c r="AN2196" s="197"/>
      <c r="AO2196" s="197"/>
      <c r="AP2196" s="197"/>
      <c r="AQ2196" s="197"/>
      <c r="AR2196" s="197"/>
      <c r="AS2196" s="197"/>
      <c r="AT2196" s="197"/>
      <c r="AU2196" s="197"/>
      <c r="AV2196" s="197"/>
      <c r="AW2196" s="197"/>
    </row>
    <row r="2197" spans="28:49" s="196" customFormat="1">
      <c r="AB2197" s="201"/>
      <c r="AC2197" s="201"/>
      <c r="AD2197" s="197"/>
      <c r="AE2197" s="197"/>
      <c r="AF2197" s="197"/>
      <c r="AG2197" s="197"/>
      <c r="AH2197" s="197"/>
      <c r="AI2197" s="197"/>
      <c r="AJ2197" s="197"/>
      <c r="AK2197" s="197"/>
      <c r="AL2197" s="197"/>
      <c r="AM2197" s="197"/>
      <c r="AN2197" s="197"/>
      <c r="AO2197" s="197"/>
      <c r="AP2197" s="197"/>
      <c r="AQ2197" s="197"/>
      <c r="AR2197" s="197"/>
      <c r="AS2197" s="197"/>
      <c r="AT2197" s="197"/>
      <c r="AU2197" s="197"/>
      <c r="AV2197" s="197"/>
      <c r="AW2197" s="197"/>
    </row>
    <row r="2198" spans="28:49" s="196" customFormat="1">
      <c r="AB2198" s="201"/>
      <c r="AC2198" s="201"/>
      <c r="AD2198" s="197"/>
      <c r="AE2198" s="197"/>
      <c r="AF2198" s="197"/>
      <c r="AG2198" s="197"/>
      <c r="AH2198" s="197"/>
      <c r="AI2198" s="197"/>
      <c r="AJ2198" s="197"/>
      <c r="AK2198" s="197"/>
      <c r="AL2198" s="197"/>
      <c r="AM2198" s="197"/>
      <c r="AN2198" s="197"/>
      <c r="AO2198" s="197"/>
      <c r="AP2198" s="197"/>
      <c r="AQ2198" s="197"/>
      <c r="AR2198" s="197"/>
      <c r="AS2198" s="197"/>
      <c r="AT2198" s="197"/>
      <c r="AU2198" s="197"/>
      <c r="AV2198" s="197"/>
      <c r="AW2198" s="197"/>
    </row>
    <row r="2199" spans="28:49" s="196" customFormat="1">
      <c r="AB2199" s="201"/>
      <c r="AC2199" s="201"/>
      <c r="AD2199" s="197"/>
      <c r="AE2199" s="197"/>
      <c r="AF2199" s="197"/>
      <c r="AG2199" s="197"/>
      <c r="AH2199" s="197"/>
      <c r="AI2199" s="197"/>
      <c r="AJ2199" s="197"/>
      <c r="AK2199" s="197"/>
      <c r="AL2199" s="197"/>
      <c r="AM2199" s="197"/>
      <c r="AN2199" s="197"/>
      <c r="AO2199" s="197"/>
      <c r="AP2199" s="197"/>
      <c r="AQ2199" s="197"/>
      <c r="AR2199" s="197"/>
      <c r="AS2199" s="197"/>
      <c r="AT2199" s="197"/>
      <c r="AU2199" s="197"/>
      <c r="AV2199" s="197"/>
      <c r="AW2199" s="197"/>
    </row>
    <row r="2200" spans="28:49" s="196" customFormat="1">
      <c r="AB2200" s="201"/>
      <c r="AC2200" s="201"/>
      <c r="AD2200" s="197"/>
      <c r="AE2200" s="197"/>
      <c r="AF2200" s="197"/>
      <c r="AG2200" s="197"/>
      <c r="AH2200" s="197"/>
      <c r="AI2200" s="197"/>
      <c r="AJ2200" s="197"/>
      <c r="AK2200" s="197"/>
      <c r="AL2200" s="197"/>
      <c r="AM2200" s="197"/>
      <c r="AN2200" s="197"/>
      <c r="AO2200" s="197"/>
      <c r="AP2200" s="197"/>
      <c r="AQ2200" s="197"/>
      <c r="AR2200" s="197"/>
      <c r="AS2200" s="197"/>
      <c r="AT2200" s="197"/>
      <c r="AU2200" s="197"/>
      <c r="AV2200" s="197"/>
      <c r="AW2200" s="197"/>
    </row>
    <row r="2201" spans="28:49" s="196" customFormat="1">
      <c r="AB2201" s="201"/>
      <c r="AC2201" s="201"/>
      <c r="AD2201" s="197"/>
      <c r="AE2201" s="197"/>
      <c r="AF2201" s="197"/>
      <c r="AG2201" s="197"/>
      <c r="AH2201" s="197"/>
      <c r="AI2201" s="197"/>
      <c r="AJ2201" s="197"/>
      <c r="AK2201" s="197"/>
      <c r="AL2201" s="197"/>
      <c r="AM2201" s="197"/>
      <c r="AN2201" s="197"/>
      <c r="AO2201" s="197"/>
      <c r="AP2201" s="197"/>
      <c r="AQ2201" s="197"/>
      <c r="AR2201" s="197"/>
      <c r="AS2201" s="197"/>
      <c r="AT2201" s="197"/>
      <c r="AU2201" s="197"/>
      <c r="AV2201" s="197"/>
      <c r="AW2201" s="197"/>
    </row>
    <row r="2202" spans="28:49" s="196" customFormat="1">
      <c r="AB2202" s="201"/>
      <c r="AC2202" s="201"/>
      <c r="AD2202" s="197"/>
      <c r="AE2202" s="197"/>
      <c r="AF2202" s="197"/>
      <c r="AG2202" s="197"/>
      <c r="AH2202" s="197"/>
      <c r="AI2202" s="197"/>
      <c r="AJ2202" s="197"/>
      <c r="AK2202" s="197"/>
      <c r="AL2202" s="197"/>
      <c r="AM2202" s="197"/>
      <c r="AN2202" s="197"/>
      <c r="AO2202" s="197"/>
      <c r="AP2202" s="197"/>
      <c r="AQ2202" s="197"/>
      <c r="AR2202" s="197"/>
      <c r="AS2202" s="197"/>
      <c r="AT2202" s="197"/>
      <c r="AU2202" s="197"/>
      <c r="AV2202" s="197"/>
      <c r="AW2202" s="197"/>
    </row>
    <row r="2203" spans="28:49" s="196" customFormat="1">
      <c r="AB2203" s="201"/>
      <c r="AC2203" s="201"/>
      <c r="AD2203" s="197"/>
      <c r="AE2203" s="197"/>
      <c r="AF2203" s="197"/>
      <c r="AG2203" s="197"/>
      <c r="AH2203" s="197"/>
      <c r="AI2203" s="197"/>
      <c r="AJ2203" s="197"/>
      <c r="AK2203" s="197"/>
      <c r="AL2203" s="197"/>
      <c r="AM2203" s="197"/>
      <c r="AN2203" s="197"/>
      <c r="AO2203" s="197"/>
      <c r="AP2203" s="197"/>
      <c r="AQ2203" s="197"/>
      <c r="AR2203" s="197"/>
      <c r="AS2203" s="197"/>
      <c r="AT2203" s="197"/>
      <c r="AU2203" s="197"/>
      <c r="AV2203" s="197"/>
      <c r="AW2203" s="197"/>
    </row>
    <row r="2204" spans="28:49" s="196" customFormat="1">
      <c r="AB2204" s="201"/>
      <c r="AC2204" s="201"/>
      <c r="AD2204" s="197"/>
      <c r="AE2204" s="197"/>
      <c r="AF2204" s="197"/>
      <c r="AG2204" s="197"/>
      <c r="AH2204" s="197"/>
      <c r="AI2204" s="197"/>
      <c r="AJ2204" s="197"/>
      <c r="AK2204" s="197"/>
      <c r="AL2204" s="197"/>
      <c r="AM2204" s="197"/>
      <c r="AN2204" s="197"/>
      <c r="AO2204" s="197"/>
      <c r="AP2204" s="197"/>
      <c r="AQ2204" s="197"/>
      <c r="AR2204" s="197"/>
      <c r="AS2204" s="197"/>
      <c r="AT2204" s="197"/>
      <c r="AU2204" s="197"/>
      <c r="AV2204" s="197"/>
      <c r="AW2204" s="197"/>
    </row>
    <row r="2205" spans="28:49" s="196" customFormat="1">
      <c r="AB2205" s="201"/>
      <c r="AC2205" s="201"/>
      <c r="AD2205" s="197"/>
      <c r="AE2205" s="197"/>
      <c r="AF2205" s="197"/>
      <c r="AG2205" s="197"/>
      <c r="AH2205" s="197"/>
      <c r="AI2205" s="197"/>
      <c r="AJ2205" s="197"/>
      <c r="AK2205" s="197"/>
      <c r="AL2205" s="197"/>
      <c r="AM2205" s="197"/>
      <c r="AN2205" s="197"/>
      <c r="AO2205" s="197"/>
      <c r="AP2205" s="197"/>
      <c r="AQ2205" s="197"/>
      <c r="AR2205" s="197"/>
      <c r="AS2205" s="197"/>
      <c r="AT2205" s="197"/>
      <c r="AU2205" s="197"/>
      <c r="AV2205" s="197"/>
      <c r="AW2205" s="197"/>
    </row>
    <row r="2206" spans="28:49" s="196" customFormat="1">
      <c r="AB2206" s="201"/>
      <c r="AC2206" s="201"/>
      <c r="AD2206" s="197"/>
      <c r="AE2206" s="197"/>
      <c r="AF2206" s="197"/>
      <c r="AG2206" s="197"/>
      <c r="AH2206" s="197"/>
      <c r="AI2206" s="197"/>
      <c r="AJ2206" s="197"/>
      <c r="AK2206" s="197"/>
      <c r="AL2206" s="197"/>
      <c r="AM2206" s="197"/>
      <c r="AN2206" s="197"/>
      <c r="AO2206" s="197"/>
      <c r="AP2206" s="197"/>
      <c r="AQ2206" s="197"/>
      <c r="AR2206" s="197"/>
      <c r="AS2206" s="197"/>
      <c r="AT2206" s="197"/>
      <c r="AU2206" s="197"/>
      <c r="AV2206" s="197"/>
      <c r="AW2206" s="197"/>
    </row>
    <row r="2207" spans="28:49" s="196" customFormat="1">
      <c r="AB2207" s="201"/>
      <c r="AC2207" s="201"/>
      <c r="AD2207" s="197"/>
      <c r="AE2207" s="197"/>
      <c r="AF2207" s="197"/>
      <c r="AG2207" s="197"/>
      <c r="AH2207" s="197"/>
      <c r="AI2207" s="197"/>
      <c r="AJ2207" s="197"/>
      <c r="AK2207" s="197"/>
      <c r="AL2207" s="197"/>
      <c r="AM2207" s="197"/>
      <c r="AN2207" s="197"/>
      <c r="AO2207" s="197"/>
      <c r="AP2207" s="197"/>
      <c r="AQ2207" s="197"/>
      <c r="AR2207" s="197"/>
      <c r="AS2207" s="197"/>
      <c r="AT2207" s="197"/>
      <c r="AU2207" s="197"/>
      <c r="AV2207" s="197"/>
      <c r="AW2207" s="197"/>
    </row>
    <row r="2208" spans="28:49" s="196" customFormat="1">
      <c r="AB2208" s="201"/>
      <c r="AC2208" s="201"/>
      <c r="AD2208" s="197"/>
      <c r="AE2208" s="197"/>
      <c r="AF2208" s="197"/>
      <c r="AG2208" s="197"/>
      <c r="AH2208" s="197"/>
      <c r="AI2208" s="197"/>
      <c r="AJ2208" s="197"/>
      <c r="AK2208" s="197"/>
      <c r="AL2208" s="197"/>
      <c r="AM2208" s="197"/>
      <c r="AN2208" s="197"/>
      <c r="AO2208" s="197"/>
      <c r="AP2208" s="197"/>
      <c r="AQ2208" s="197"/>
      <c r="AR2208" s="197"/>
      <c r="AS2208" s="197"/>
      <c r="AT2208" s="197"/>
      <c r="AU2208" s="197"/>
      <c r="AV2208" s="197"/>
      <c r="AW2208" s="197"/>
    </row>
    <row r="2209" spans="28:49" s="196" customFormat="1">
      <c r="AB2209" s="201"/>
      <c r="AC2209" s="201"/>
      <c r="AD2209" s="197"/>
      <c r="AE2209" s="197"/>
      <c r="AF2209" s="197"/>
      <c r="AG2209" s="197"/>
      <c r="AH2209" s="197"/>
      <c r="AI2209" s="197"/>
      <c r="AJ2209" s="197"/>
      <c r="AK2209" s="197"/>
      <c r="AL2209" s="197"/>
      <c r="AM2209" s="197"/>
      <c r="AN2209" s="197"/>
      <c r="AO2209" s="197"/>
      <c r="AP2209" s="197"/>
      <c r="AQ2209" s="197"/>
      <c r="AR2209" s="197"/>
      <c r="AS2209" s="197"/>
      <c r="AT2209" s="197"/>
      <c r="AU2209" s="197"/>
      <c r="AV2209" s="197"/>
      <c r="AW2209" s="197"/>
    </row>
    <row r="2210" spans="28:49" s="196" customFormat="1">
      <c r="AB2210" s="201"/>
      <c r="AC2210" s="201"/>
      <c r="AD2210" s="197"/>
      <c r="AE2210" s="197"/>
      <c r="AF2210" s="197"/>
      <c r="AG2210" s="197"/>
      <c r="AH2210" s="197"/>
      <c r="AI2210" s="197"/>
      <c r="AJ2210" s="197"/>
      <c r="AK2210" s="197"/>
      <c r="AL2210" s="197"/>
      <c r="AM2210" s="197"/>
      <c r="AN2210" s="197"/>
      <c r="AO2210" s="197"/>
      <c r="AP2210" s="197"/>
      <c r="AQ2210" s="197"/>
      <c r="AR2210" s="197"/>
      <c r="AS2210" s="197"/>
      <c r="AT2210" s="197"/>
      <c r="AU2210" s="197"/>
      <c r="AV2210" s="197"/>
      <c r="AW2210" s="197"/>
    </row>
    <row r="2211" spans="28:49" s="196" customFormat="1">
      <c r="AB2211" s="201"/>
      <c r="AC2211" s="201"/>
      <c r="AD2211" s="197"/>
      <c r="AE2211" s="197"/>
      <c r="AF2211" s="197"/>
      <c r="AG2211" s="197"/>
      <c r="AH2211" s="197"/>
      <c r="AI2211" s="197"/>
      <c r="AJ2211" s="197"/>
      <c r="AK2211" s="197"/>
      <c r="AL2211" s="197"/>
      <c r="AM2211" s="197"/>
      <c r="AN2211" s="197"/>
      <c r="AO2211" s="197"/>
      <c r="AP2211" s="197"/>
      <c r="AQ2211" s="197"/>
      <c r="AR2211" s="197"/>
      <c r="AS2211" s="197"/>
      <c r="AT2211" s="197"/>
      <c r="AU2211" s="197"/>
      <c r="AV2211" s="197"/>
      <c r="AW2211" s="197"/>
    </row>
    <row r="2212" spans="28:49" s="196" customFormat="1">
      <c r="AB2212" s="201"/>
      <c r="AC2212" s="201"/>
      <c r="AD2212" s="197"/>
      <c r="AE2212" s="197"/>
      <c r="AF2212" s="197"/>
      <c r="AG2212" s="197"/>
      <c r="AH2212" s="197"/>
      <c r="AI2212" s="197"/>
      <c r="AJ2212" s="197"/>
      <c r="AK2212" s="197"/>
      <c r="AL2212" s="197"/>
      <c r="AM2212" s="197"/>
      <c r="AN2212" s="197"/>
      <c r="AO2212" s="197"/>
      <c r="AP2212" s="197"/>
      <c r="AQ2212" s="197"/>
      <c r="AR2212" s="197"/>
      <c r="AS2212" s="197"/>
      <c r="AT2212" s="197"/>
      <c r="AU2212" s="197"/>
      <c r="AV2212" s="197"/>
      <c r="AW2212" s="197"/>
    </row>
    <row r="2213" spans="28:49" s="196" customFormat="1">
      <c r="AB2213" s="201"/>
      <c r="AC2213" s="201"/>
      <c r="AD2213" s="197"/>
      <c r="AE2213" s="197"/>
      <c r="AF2213" s="197"/>
      <c r="AG2213" s="197"/>
      <c r="AH2213" s="197"/>
      <c r="AI2213" s="197"/>
      <c r="AJ2213" s="197"/>
      <c r="AK2213" s="197"/>
      <c r="AL2213" s="197"/>
      <c r="AM2213" s="197"/>
      <c r="AN2213" s="197"/>
      <c r="AO2213" s="197"/>
      <c r="AP2213" s="197"/>
      <c r="AQ2213" s="197"/>
      <c r="AR2213" s="197"/>
      <c r="AS2213" s="197"/>
      <c r="AT2213" s="197"/>
      <c r="AU2213" s="197"/>
      <c r="AV2213" s="197"/>
      <c r="AW2213" s="197"/>
    </row>
    <row r="2214" spans="28:49" s="196" customFormat="1">
      <c r="AB2214" s="201"/>
      <c r="AC2214" s="201"/>
      <c r="AD2214" s="197"/>
      <c r="AE2214" s="197"/>
      <c r="AF2214" s="197"/>
      <c r="AG2214" s="197"/>
      <c r="AH2214" s="197"/>
      <c r="AI2214" s="197"/>
      <c r="AJ2214" s="197"/>
      <c r="AK2214" s="197"/>
      <c r="AL2214" s="197"/>
      <c r="AM2214" s="197"/>
      <c r="AN2214" s="197"/>
      <c r="AO2214" s="197"/>
      <c r="AP2214" s="197"/>
      <c r="AQ2214" s="197"/>
      <c r="AR2214" s="197"/>
      <c r="AS2214" s="197"/>
      <c r="AT2214" s="197"/>
      <c r="AU2214" s="197"/>
      <c r="AV2214" s="197"/>
      <c r="AW2214" s="197"/>
    </row>
    <row r="2215" spans="28:49" s="196" customFormat="1">
      <c r="AB2215" s="201"/>
      <c r="AC2215" s="201"/>
      <c r="AD2215" s="197"/>
      <c r="AE2215" s="197"/>
      <c r="AF2215" s="197"/>
      <c r="AG2215" s="197"/>
      <c r="AH2215" s="197"/>
      <c r="AI2215" s="197"/>
      <c r="AJ2215" s="197"/>
      <c r="AK2215" s="197"/>
      <c r="AL2215" s="197"/>
      <c r="AM2215" s="197"/>
      <c r="AN2215" s="197"/>
      <c r="AO2215" s="197"/>
      <c r="AP2215" s="197"/>
      <c r="AQ2215" s="197"/>
      <c r="AR2215" s="197"/>
      <c r="AS2215" s="197"/>
      <c r="AT2215" s="197"/>
      <c r="AU2215" s="197"/>
      <c r="AV2215" s="197"/>
      <c r="AW2215" s="197"/>
    </row>
    <row r="2216" spans="28:49" s="196" customFormat="1">
      <c r="AB2216" s="201"/>
      <c r="AC2216" s="201"/>
      <c r="AD2216" s="197"/>
      <c r="AE2216" s="197"/>
      <c r="AF2216" s="197"/>
      <c r="AG2216" s="197"/>
      <c r="AH2216" s="197"/>
      <c r="AI2216" s="197"/>
      <c r="AJ2216" s="197"/>
      <c r="AK2216" s="197"/>
      <c r="AL2216" s="197"/>
      <c r="AM2216" s="197"/>
      <c r="AN2216" s="197"/>
      <c r="AO2216" s="197"/>
      <c r="AP2216" s="197"/>
      <c r="AQ2216" s="197"/>
      <c r="AR2216" s="197"/>
      <c r="AS2216" s="197"/>
      <c r="AT2216" s="197"/>
      <c r="AU2216" s="197"/>
      <c r="AV2216" s="197"/>
      <c r="AW2216" s="197"/>
    </row>
    <row r="2217" spans="28:49" s="196" customFormat="1">
      <c r="AB2217" s="201"/>
      <c r="AC2217" s="201"/>
      <c r="AD2217" s="197"/>
      <c r="AE2217" s="197"/>
      <c r="AF2217" s="197"/>
      <c r="AG2217" s="197"/>
      <c r="AH2217" s="197"/>
      <c r="AI2217" s="197"/>
      <c r="AJ2217" s="197"/>
      <c r="AK2217" s="197"/>
      <c r="AL2217" s="197"/>
      <c r="AM2217" s="197"/>
      <c r="AN2217" s="197"/>
      <c r="AO2217" s="197"/>
      <c r="AP2217" s="197"/>
      <c r="AQ2217" s="197"/>
      <c r="AR2217" s="197"/>
      <c r="AS2217" s="197"/>
      <c r="AT2217" s="197"/>
      <c r="AU2217" s="197"/>
      <c r="AV2217" s="197"/>
      <c r="AW2217" s="197"/>
    </row>
    <row r="2218" spans="28:49" s="196" customFormat="1">
      <c r="AB2218" s="201"/>
      <c r="AC2218" s="201"/>
      <c r="AD2218" s="197"/>
      <c r="AE2218" s="197"/>
      <c r="AF2218" s="197"/>
      <c r="AG2218" s="197"/>
      <c r="AH2218" s="197"/>
      <c r="AI2218" s="197"/>
      <c r="AJ2218" s="197"/>
      <c r="AK2218" s="197"/>
      <c r="AL2218" s="197"/>
      <c r="AM2218" s="197"/>
      <c r="AN2218" s="197"/>
      <c r="AO2218" s="197"/>
      <c r="AP2218" s="197"/>
      <c r="AQ2218" s="197"/>
      <c r="AR2218" s="197"/>
      <c r="AS2218" s="197"/>
      <c r="AT2218" s="197"/>
      <c r="AU2218" s="197"/>
      <c r="AV2218" s="197"/>
      <c r="AW2218" s="197"/>
    </row>
    <row r="2219" spans="28:49" s="196" customFormat="1">
      <c r="AB2219" s="201"/>
      <c r="AC2219" s="201"/>
      <c r="AD2219" s="197"/>
      <c r="AE2219" s="197"/>
      <c r="AF2219" s="197"/>
      <c r="AG2219" s="197"/>
      <c r="AH2219" s="197"/>
      <c r="AI2219" s="197"/>
      <c r="AJ2219" s="197"/>
      <c r="AK2219" s="197"/>
      <c r="AL2219" s="197"/>
      <c r="AM2219" s="197"/>
      <c r="AN2219" s="197"/>
      <c r="AO2219" s="197"/>
      <c r="AP2219" s="197"/>
      <c r="AQ2219" s="197"/>
      <c r="AR2219" s="197"/>
      <c r="AS2219" s="197"/>
      <c r="AT2219" s="197"/>
      <c r="AU2219" s="197"/>
      <c r="AV2219" s="197"/>
      <c r="AW2219" s="197"/>
    </row>
    <row r="2220" spans="28:49" s="196" customFormat="1">
      <c r="AB2220" s="201"/>
      <c r="AC2220" s="201"/>
      <c r="AD2220" s="197"/>
      <c r="AE2220" s="197"/>
      <c r="AF2220" s="197"/>
      <c r="AG2220" s="197"/>
      <c r="AH2220" s="197"/>
      <c r="AI2220" s="197"/>
      <c r="AJ2220" s="197"/>
      <c r="AK2220" s="197"/>
      <c r="AL2220" s="197"/>
      <c r="AM2220" s="197"/>
      <c r="AN2220" s="197"/>
      <c r="AO2220" s="197"/>
      <c r="AP2220" s="197"/>
      <c r="AQ2220" s="197"/>
      <c r="AR2220" s="197"/>
      <c r="AS2220" s="197"/>
      <c r="AT2220" s="197"/>
      <c r="AU2220" s="197"/>
      <c r="AV2220" s="197"/>
      <c r="AW2220" s="197"/>
    </row>
    <row r="2221" spans="28:49" s="196" customFormat="1">
      <c r="AB2221" s="201"/>
      <c r="AC2221" s="201"/>
      <c r="AD2221" s="197"/>
      <c r="AE2221" s="197"/>
      <c r="AF2221" s="197"/>
      <c r="AG2221" s="197"/>
      <c r="AH2221" s="197"/>
      <c r="AI2221" s="197"/>
      <c r="AJ2221" s="197"/>
      <c r="AK2221" s="197"/>
      <c r="AL2221" s="197"/>
      <c r="AM2221" s="197"/>
      <c r="AN2221" s="197"/>
      <c r="AO2221" s="197"/>
      <c r="AP2221" s="197"/>
      <c r="AQ2221" s="197"/>
      <c r="AR2221" s="197"/>
      <c r="AS2221" s="197"/>
      <c r="AT2221" s="197"/>
      <c r="AU2221" s="197"/>
      <c r="AV2221" s="197"/>
      <c r="AW2221" s="197"/>
    </row>
    <row r="2222" spans="28:49" s="196" customFormat="1">
      <c r="AB2222" s="201"/>
      <c r="AC2222" s="201"/>
      <c r="AD2222" s="197"/>
      <c r="AE2222" s="197"/>
      <c r="AF2222" s="197"/>
      <c r="AG2222" s="197"/>
      <c r="AH2222" s="197"/>
      <c r="AI2222" s="197"/>
      <c r="AJ2222" s="197"/>
      <c r="AK2222" s="197"/>
      <c r="AL2222" s="197"/>
      <c r="AM2222" s="197"/>
      <c r="AN2222" s="197"/>
      <c r="AO2222" s="197"/>
      <c r="AP2222" s="197"/>
      <c r="AQ2222" s="197"/>
      <c r="AR2222" s="197"/>
      <c r="AS2222" s="197"/>
      <c r="AT2222" s="197"/>
      <c r="AU2222" s="197"/>
      <c r="AV2222" s="197"/>
      <c r="AW2222" s="197"/>
    </row>
    <row r="2223" spans="28:49" s="196" customFormat="1">
      <c r="AB2223" s="201"/>
      <c r="AC2223" s="201"/>
      <c r="AD2223" s="197"/>
      <c r="AE2223" s="197"/>
      <c r="AF2223" s="197"/>
      <c r="AG2223" s="197"/>
      <c r="AH2223" s="197"/>
      <c r="AI2223" s="197"/>
      <c r="AJ2223" s="197"/>
      <c r="AK2223" s="197"/>
      <c r="AL2223" s="197"/>
      <c r="AM2223" s="197"/>
      <c r="AN2223" s="197"/>
      <c r="AO2223" s="197"/>
      <c r="AP2223" s="197"/>
      <c r="AQ2223" s="197"/>
      <c r="AR2223" s="197"/>
      <c r="AS2223" s="197"/>
      <c r="AT2223" s="197"/>
      <c r="AU2223" s="197"/>
      <c r="AV2223" s="197"/>
      <c r="AW2223" s="197"/>
    </row>
    <row r="2224" spans="28:49" s="196" customFormat="1">
      <c r="AB2224" s="201"/>
      <c r="AC2224" s="201"/>
      <c r="AD2224" s="197"/>
      <c r="AE2224" s="197"/>
      <c r="AF2224" s="197"/>
      <c r="AG2224" s="197"/>
      <c r="AH2224" s="197"/>
      <c r="AI2224" s="197"/>
      <c r="AJ2224" s="197"/>
      <c r="AK2224" s="197"/>
      <c r="AL2224" s="197"/>
      <c r="AM2224" s="197"/>
      <c r="AN2224" s="197"/>
      <c r="AO2224" s="197"/>
      <c r="AP2224" s="197"/>
      <c r="AQ2224" s="197"/>
      <c r="AR2224" s="197"/>
      <c r="AS2224" s="197"/>
      <c r="AT2224" s="197"/>
      <c r="AU2224" s="197"/>
      <c r="AV2224" s="197"/>
      <c r="AW2224" s="197"/>
    </row>
    <row r="2225" spans="28:49" s="196" customFormat="1">
      <c r="AB2225" s="201"/>
      <c r="AC2225" s="201"/>
      <c r="AD2225" s="197"/>
      <c r="AE2225" s="197"/>
      <c r="AF2225" s="197"/>
      <c r="AG2225" s="197"/>
      <c r="AH2225" s="197"/>
      <c r="AI2225" s="197"/>
      <c r="AJ2225" s="197"/>
      <c r="AK2225" s="197"/>
      <c r="AL2225" s="197"/>
      <c r="AM2225" s="197"/>
      <c r="AN2225" s="197"/>
      <c r="AO2225" s="197"/>
      <c r="AP2225" s="197"/>
      <c r="AQ2225" s="197"/>
      <c r="AR2225" s="197"/>
      <c r="AS2225" s="197"/>
      <c r="AT2225" s="197"/>
      <c r="AU2225" s="197"/>
      <c r="AV2225" s="197"/>
      <c r="AW2225" s="197"/>
    </row>
    <row r="2226" spans="28:49" s="196" customFormat="1">
      <c r="AB2226" s="201"/>
      <c r="AC2226" s="201"/>
      <c r="AD2226" s="197"/>
      <c r="AE2226" s="197"/>
      <c r="AF2226" s="197"/>
      <c r="AG2226" s="197"/>
      <c r="AH2226" s="197"/>
      <c r="AI2226" s="197"/>
      <c r="AJ2226" s="197"/>
      <c r="AK2226" s="197"/>
      <c r="AL2226" s="197"/>
      <c r="AM2226" s="197"/>
      <c r="AN2226" s="197"/>
      <c r="AO2226" s="197"/>
      <c r="AP2226" s="197"/>
      <c r="AQ2226" s="197"/>
      <c r="AR2226" s="197"/>
      <c r="AS2226" s="197"/>
      <c r="AT2226" s="197"/>
      <c r="AU2226" s="197"/>
      <c r="AV2226" s="197"/>
      <c r="AW2226" s="197"/>
    </row>
    <row r="2227" spans="28:49" s="196" customFormat="1">
      <c r="AB2227" s="201"/>
      <c r="AC2227" s="201"/>
      <c r="AD2227" s="197"/>
      <c r="AE2227" s="197"/>
      <c r="AF2227" s="197"/>
      <c r="AG2227" s="197"/>
      <c r="AH2227" s="197"/>
      <c r="AI2227" s="197"/>
      <c r="AJ2227" s="197"/>
      <c r="AK2227" s="197"/>
      <c r="AL2227" s="197"/>
      <c r="AM2227" s="197"/>
      <c r="AN2227" s="197"/>
      <c r="AO2227" s="197"/>
      <c r="AP2227" s="197"/>
      <c r="AQ2227" s="197"/>
      <c r="AR2227" s="197"/>
      <c r="AS2227" s="197"/>
      <c r="AT2227" s="197"/>
      <c r="AU2227" s="197"/>
      <c r="AV2227" s="197"/>
      <c r="AW2227" s="197"/>
    </row>
    <row r="2228" spans="28:49" s="196" customFormat="1">
      <c r="AB2228" s="201"/>
      <c r="AC2228" s="201"/>
      <c r="AD2228" s="197"/>
      <c r="AE2228" s="197"/>
      <c r="AF2228" s="197"/>
      <c r="AG2228" s="197"/>
      <c r="AH2228" s="197"/>
      <c r="AI2228" s="197"/>
      <c r="AJ2228" s="197"/>
      <c r="AK2228" s="197"/>
      <c r="AL2228" s="197"/>
      <c r="AM2228" s="197"/>
      <c r="AN2228" s="197"/>
      <c r="AO2228" s="197"/>
      <c r="AP2228" s="197"/>
      <c r="AQ2228" s="197"/>
      <c r="AR2228" s="197"/>
      <c r="AS2228" s="197"/>
      <c r="AT2228" s="197"/>
      <c r="AU2228" s="197"/>
      <c r="AV2228" s="197"/>
      <c r="AW2228" s="197"/>
    </row>
    <row r="2229" spans="28:49" s="196" customFormat="1">
      <c r="AB2229" s="201"/>
      <c r="AC2229" s="201"/>
      <c r="AD2229" s="197"/>
      <c r="AE2229" s="197"/>
      <c r="AF2229" s="197"/>
      <c r="AG2229" s="197"/>
      <c r="AH2229" s="197"/>
      <c r="AI2229" s="197"/>
      <c r="AJ2229" s="197"/>
      <c r="AK2229" s="197"/>
      <c r="AL2229" s="197"/>
      <c r="AM2229" s="197"/>
      <c r="AN2229" s="197"/>
      <c r="AO2229" s="197"/>
      <c r="AP2229" s="197"/>
      <c r="AQ2229" s="197"/>
      <c r="AR2229" s="197"/>
      <c r="AS2229" s="197"/>
      <c r="AT2229" s="197"/>
      <c r="AU2229" s="197"/>
      <c r="AV2229" s="197"/>
      <c r="AW2229" s="197"/>
    </row>
    <row r="2230" spans="28:49" s="196" customFormat="1">
      <c r="AB2230" s="201"/>
      <c r="AC2230" s="201"/>
      <c r="AD2230" s="197"/>
      <c r="AE2230" s="197"/>
      <c r="AF2230" s="197"/>
      <c r="AG2230" s="197"/>
      <c r="AH2230" s="197"/>
      <c r="AI2230" s="197"/>
      <c r="AJ2230" s="197"/>
      <c r="AK2230" s="197"/>
      <c r="AL2230" s="197"/>
      <c r="AM2230" s="197"/>
      <c r="AN2230" s="197"/>
      <c r="AO2230" s="197"/>
      <c r="AP2230" s="197"/>
      <c r="AQ2230" s="197"/>
      <c r="AR2230" s="197"/>
      <c r="AS2230" s="197"/>
      <c r="AT2230" s="197"/>
      <c r="AU2230" s="197"/>
      <c r="AV2230" s="197"/>
      <c r="AW2230" s="197"/>
    </row>
    <row r="2231" spans="28:49" s="196" customFormat="1">
      <c r="AB2231" s="201"/>
      <c r="AC2231" s="201"/>
      <c r="AD2231" s="197"/>
      <c r="AE2231" s="197"/>
      <c r="AF2231" s="197"/>
      <c r="AG2231" s="197"/>
      <c r="AH2231" s="197"/>
      <c r="AI2231" s="197"/>
      <c r="AJ2231" s="197"/>
      <c r="AK2231" s="197"/>
      <c r="AL2231" s="197"/>
      <c r="AM2231" s="197"/>
      <c r="AN2231" s="197"/>
      <c r="AO2231" s="197"/>
      <c r="AP2231" s="197"/>
      <c r="AQ2231" s="197"/>
      <c r="AR2231" s="197"/>
      <c r="AS2231" s="197"/>
      <c r="AT2231" s="197"/>
      <c r="AU2231" s="197"/>
      <c r="AV2231" s="197"/>
      <c r="AW2231" s="197"/>
    </row>
    <row r="2232" spans="28:49" s="196" customFormat="1">
      <c r="AB2232" s="201"/>
      <c r="AC2232" s="201"/>
      <c r="AD2232" s="197"/>
      <c r="AE2232" s="197"/>
      <c r="AF2232" s="197"/>
      <c r="AG2232" s="197"/>
      <c r="AH2232" s="197"/>
      <c r="AI2232" s="197"/>
      <c r="AJ2232" s="197"/>
      <c r="AK2232" s="197"/>
      <c r="AL2232" s="197"/>
      <c r="AM2232" s="197"/>
      <c r="AN2232" s="197"/>
      <c r="AO2232" s="197"/>
      <c r="AP2232" s="197"/>
      <c r="AQ2232" s="197"/>
      <c r="AR2232" s="197"/>
      <c r="AS2232" s="197"/>
      <c r="AT2232" s="197"/>
      <c r="AU2232" s="197"/>
      <c r="AV2232" s="197"/>
      <c r="AW2232" s="197"/>
    </row>
    <row r="2233" spans="28:49" s="196" customFormat="1">
      <c r="AB2233" s="201"/>
      <c r="AC2233" s="201"/>
      <c r="AD2233" s="197"/>
      <c r="AE2233" s="197"/>
      <c r="AF2233" s="197"/>
      <c r="AG2233" s="197"/>
      <c r="AH2233" s="197"/>
      <c r="AI2233" s="197"/>
      <c r="AJ2233" s="197"/>
      <c r="AK2233" s="197"/>
      <c r="AL2233" s="197"/>
      <c r="AM2233" s="197"/>
      <c r="AN2233" s="197"/>
      <c r="AO2233" s="197"/>
      <c r="AP2233" s="197"/>
      <c r="AQ2233" s="197"/>
      <c r="AR2233" s="197"/>
      <c r="AS2233" s="197"/>
      <c r="AT2233" s="197"/>
      <c r="AU2233" s="197"/>
      <c r="AV2233" s="197"/>
      <c r="AW2233" s="197"/>
    </row>
    <row r="2234" spans="28:49" s="196" customFormat="1">
      <c r="AB2234" s="201"/>
      <c r="AC2234" s="201"/>
      <c r="AD2234" s="197"/>
      <c r="AE2234" s="197"/>
      <c r="AF2234" s="197"/>
      <c r="AG2234" s="197"/>
      <c r="AH2234" s="197"/>
      <c r="AI2234" s="197"/>
      <c r="AJ2234" s="197"/>
      <c r="AK2234" s="197"/>
      <c r="AL2234" s="197"/>
      <c r="AM2234" s="197"/>
      <c r="AN2234" s="197"/>
      <c r="AO2234" s="197"/>
      <c r="AP2234" s="197"/>
      <c r="AQ2234" s="197"/>
      <c r="AR2234" s="197"/>
      <c r="AS2234" s="197"/>
      <c r="AT2234" s="197"/>
      <c r="AU2234" s="197"/>
      <c r="AV2234" s="197"/>
      <c r="AW2234" s="197"/>
    </row>
    <row r="2235" spans="28:49" s="196" customFormat="1">
      <c r="AB2235" s="201"/>
      <c r="AC2235" s="201"/>
      <c r="AD2235" s="197"/>
      <c r="AE2235" s="197"/>
      <c r="AF2235" s="197"/>
      <c r="AG2235" s="197"/>
      <c r="AH2235" s="197"/>
      <c r="AI2235" s="197"/>
      <c r="AJ2235" s="197"/>
      <c r="AK2235" s="197"/>
      <c r="AL2235" s="197"/>
      <c r="AM2235" s="197"/>
      <c r="AN2235" s="197"/>
      <c r="AO2235" s="197"/>
      <c r="AP2235" s="197"/>
      <c r="AQ2235" s="197"/>
      <c r="AR2235" s="197"/>
      <c r="AS2235" s="197"/>
      <c r="AT2235" s="197"/>
      <c r="AU2235" s="197"/>
      <c r="AV2235" s="197"/>
      <c r="AW2235" s="197"/>
    </row>
    <row r="2236" spans="28:49" s="196" customFormat="1">
      <c r="AB2236" s="201"/>
      <c r="AC2236" s="201"/>
      <c r="AD2236" s="197"/>
      <c r="AE2236" s="197"/>
      <c r="AF2236" s="197"/>
      <c r="AG2236" s="197"/>
      <c r="AH2236" s="197"/>
      <c r="AI2236" s="197"/>
      <c r="AJ2236" s="197"/>
      <c r="AK2236" s="197"/>
      <c r="AL2236" s="197"/>
      <c r="AM2236" s="197"/>
      <c r="AN2236" s="197"/>
      <c r="AO2236" s="197"/>
      <c r="AP2236" s="197"/>
      <c r="AQ2236" s="197"/>
      <c r="AR2236" s="197"/>
      <c r="AS2236" s="197"/>
      <c r="AT2236" s="197"/>
      <c r="AU2236" s="197"/>
      <c r="AV2236" s="197"/>
      <c r="AW2236" s="197"/>
    </row>
    <row r="2237" spans="28:49" s="196" customFormat="1">
      <c r="AB2237" s="201"/>
      <c r="AC2237" s="201"/>
      <c r="AD2237" s="197"/>
      <c r="AE2237" s="197"/>
      <c r="AF2237" s="197"/>
      <c r="AG2237" s="197"/>
      <c r="AH2237" s="197"/>
      <c r="AI2237" s="197"/>
      <c r="AJ2237" s="197"/>
      <c r="AK2237" s="197"/>
      <c r="AL2237" s="197"/>
      <c r="AM2237" s="197"/>
      <c r="AN2237" s="197"/>
      <c r="AO2237" s="197"/>
      <c r="AP2237" s="197"/>
      <c r="AQ2237" s="197"/>
      <c r="AR2237" s="197"/>
      <c r="AS2237" s="197"/>
      <c r="AT2237" s="197"/>
      <c r="AU2237" s="197"/>
      <c r="AV2237" s="197"/>
      <c r="AW2237" s="197"/>
    </row>
    <row r="2238" spans="28:49" s="196" customFormat="1">
      <c r="AB2238" s="201"/>
      <c r="AC2238" s="201"/>
      <c r="AD2238" s="197"/>
      <c r="AE2238" s="197"/>
      <c r="AF2238" s="197"/>
      <c r="AG2238" s="197"/>
      <c r="AH2238" s="197"/>
      <c r="AI2238" s="197"/>
      <c r="AJ2238" s="197"/>
      <c r="AK2238" s="197"/>
      <c r="AL2238" s="197"/>
      <c r="AM2238" s="197"/>
      <c r="AN2238" s="197"/>
      <c r="AO2238" s="197"/>
      <c r="AP2238" s="197"/>
      <c r="AQ2238" s="197"/>
      <c r="AR2238" s="197"/>
      <c r="AS2238" s="197"/>
      <c r="AT2238" s="197"/>
      <c r="AU2238" s="197"/>
      <c r="AV2238" s="197"/>
      <c r="AW2238" s="197"/>
    </row>
    <row r="2239" spans="28:49" s="196" customFormat="1">
      <c r="AB2239" s="201"/>
      <c r="AC2239" s="201"/>
      <c r="AD2239" s="197"/>
      <c r="AE2239" s="197"/>
      <c r="AF2239" s="197"/>
      <c r="AG2239" s="197"/>
      <c r="AH2239" s="197"/>
      <c r="AI2239" s="197"/>
      <c r="AJ2239" s="197"/>
      <c r="AK2239" s="197"/>
      <c r="AL2239" s="197"/>
      <c r="AM2239" s="197"/>
      <c r="AN2239" s="197"/>
      <c r="AO2239" s="197"/>
      <c r="AP2239" s="197"/>
      <c r="AQ2239" s="197"/>
      <c r="AR2239" s="197"/>
      <c r="AS2239" s="197"/>
      <c r="AT2239" s="197"/>
      <c r="AU2239" s="197"/>
      <c r="AV2239" s="197"/>
      <c r="AW2239" s="197"/>
    </row>
    <row r="2240" spans="28:49" s="196" customFormat="1">
      <c r="AB2240" s="201"/>
      <c r="AC2240" s="201"/>
      <c r="AD2240" s="197"/>
      <c r="AE2240" s="197"/>
      <c r="AF2240" s="197"/>
      <c r="AG2240" s="197"/>
      <c r="AH2240" s="197"/>
      <c r="AI2240" s="197"/>
      <c r="AJ2240" s="197"/>
      <c r="AK2240" s="197"/>
      <c r="AL2240" s="197"/>
      <c r="AM2240" s="197"/>
      <c r="AN2240" s="197"/>
      <c r="AO2240" s="197"/>
      <c r="AP2240" s="197"/>
      <c r="AQ2240" s="197"/>
      <c r="AR2240" s="197"/>
      <c r="AS2240" s="197"/>
      <c r="AT2240" s="197"/>
      <c r="AU2240" s="197"/>
      <c r="AV2240" s="197"/>
      <c r="AW2240" s="197"/>
    </row>
    <row r="2241" spans="28:49" s="196" customFormat="1">
      <c r="AB2241" s="201"/>
      <c r="AC2241" s="201"/>
      <c r="AD2241" s="197"/>
      <c r="AE2241" s="197"/>
      <c r="AF2241" s="197"/>
      <c r="AG2241" s="197"/>
      <c r="AH2241" s="197"/>
      <c r="AI2241" s="197"/>
      <c r="AJ2241" s="197"/>
      <c r="AK2241" s="197"/>
      <c r="AL2241" s="197"/>
      <c r="AM2241" s="197"/>
      <c r="AN2241" s="197"/>
      <c r="AO2241" s="197"/>
      <c r="AP2241" s="197"/>
      <c r="AQ2241" s="197"/>
      <c r="AR2241" s="197"/>
      <c r="AS2241" s="197"/>
      <c r="AT2241" s="197"/>
      <c r="AU2241" s="197"/>
      <c r="AV2241" s="197"/>
      <c r="AW2241" s="197"/>
    </row>
    <row r="2242" spans="28:49" s="196" customFormat="1">
      <c r="AB2242" s="201"/>
      <c r="AC2242" s="201"/>
      <c r="AD2242" s="197"/>
      <c r="AE2242" s="197"/>
      <c r="AF2242" s="197"/>
      <c r="AG2242" s="197"/>
      <c r="AH2242" s="197"/>
      <c r="AI2242" s="197"/>
      <c r="AJ2242" s="197"/>
      <c r="AK2242" s="197"/>
      <c r="AL2242" s="197"/>
      <c r="AM2242" s="197"/>
      <c r="AN2242" s="197"/>
      <c r="AO2242" s="197"/>
      <c r="AP2242" s="197"/>
      <c r="AQ2242" s="197"/>
      <c r="AR2242" s="197"/>
      <c r="AS2242" s="197"/>
      <c r="AT2242" s="197"/>
      <c r="AU2242" s="197"/>
      <c r="AV2242" s="197"/>
      <c r="AW2242" s="197"/>
    </row>
    <row r="2243" spans="28:49" s="196" customFormat="1">
      <c r="AB2243" s="201"/>
      <c r="AC2243" s="201"/>
      <c r="AD2243" s="197"/>
      <c r="AE2243" s="197"/>
      <c r="AF2243" s="197"/>
      <c r="AG2243" s="197"/>
      <c r="AH2243" s="197"/>
      <c r="AI2243" s="197"/>
      <c r="AJ2243" s="197"/>
      <c r="AK2243" s="197"/>
      <c r="AL2243" s="197"/>
      <c r="AM2243" s="197"/>
      <c r="AN2243" s="197"/>
      <c r="AO2243" s="197"/>
      <c r="AP2243" s="197"/>
      <c r="AQ2243" s="197"/>
      <c r="AR2243" s="197"/>
      <c r="AS2243" s="197"/>
      <c r="AT2243" s="197"/>
      <c r="AU2243" s="197"/>
      <c r="AV2243" s="197"/>
      <c r="AW2243" s="197"/>
    </row>
    <row r="2244" spans="28:49" s="196" customFormat="1">
      <c r="AB2244" s="201"/>
      <c r="AC2244" s="201"/>
      <c r="AD2244" s="197"/>
      <c r="AE2244" s="197"/>
      <c r="AF2244" s="197"/>
      <c r="AG2244" s="197"/>
      <c r="AH2244" s="197"/>
      <c r="AI2244" s="197"/>
      <c r="AJ2244" s="197"/>
      <c r="AK2244" s="197"/>
      <c r="AL2244" s="197"/>
      <c r="AM2244" s="197"/>
      <c r="AN2244" s="197"/>
      <c r="AO2244" s="197"/>
      <c r="AP2244" s="197"/>
      <c r="AQ2244" s="197"/>
      <c r="AR2244" s="197"/>
      <c r="AS2244" s="197"/>
      <c r="AT2244" s="197"/>
      <c r="AU2244" s="197"/>
      <c r="AV2244" s="197"/>
      <c r="AW2244" s="197"/>
    </row>
    <row r="2245" spans="28:49" s="196" customFormat="1">
      <c r="AB2245" s="201"/>
      <c r="AC2245" s="201"/>
      <c r="AD2245" s="197"/>
      <c r="AE2245" s="197"/>
      <c r="AF2245" s="197"/>
      <c r="AG2245" s="197"/>
      <c r="AH2245" s="197"/>
      <c r="AI2245" s="197"/>
      <c r="AJ2245" s="197"/>
      <c r="AK2245" s="197"/>
      <c r="AL2245" s="197"/>
      <c r="AM2245" s="197"/>
      <c r="AN2245" s="197"/>
      <c r="AO2245" s="197"/>
      <c r="AP2245" s="197"/>
      <c r="AQ2245" s="197"/>
      <c r="AR2245" s="197"/>
      <c r="AS2245" s="197"/>
      <c r="AT2245" s="197"/>
      <c r="AU2245" s="197"/>
      <c r="AV2245" s="197"/>
      <c r="AW2245" s="197"/>
    </row>
    <row r="2246" spans="28:49" s="196" customFormat="1">
      <c r="AB2246" s="201"/>
      <c r="AC2246" s="201"/>
      <c r="AD2246" s="197"/>
      <c r="AE2246" s="197"/>
      <c r="AF2246" s="197"/>
      <c r="AG2246" s="197"/>
      <c r="AH2246" s="197"/>
      <c r="AI2246" s="197"/>
      <c r="AJ2246" s="197"/>
      <c r="AK2246" s="197"/>
      <c r="AL2246" s="197"/>
      <c r="AM2246" s="197"/>
      <c r="AN2246" s="197"/>
      <c r="AO2246" s="197"/>
      <c r="AP2246" s="197"/>
      <c r="AQ2246" s="197"/>
      <c r="AR2246" s="197"/>
      <c r="AS2246" s="197"/>
      <c r="AT2246" s="197"/>
      <c r="AU2246" s="197"/>
      <c r="AV2246" s="197"/>
      <c r="AW2246" s="197"/>
    </row>
    <row r="2247" spans="28:49" s="196" customFormat="1">
      <c r="AB2247" s="201"/>
      <c r="AC2247" s="201"/>
      <c r="AD2247" s="197"/>
      <c r="AE2247" s="197"/>
      <c r="AF2247" s="197"/>
      <c r="AG2247" s="197"/>
      <c r="AH2247" s="197"/>
      <c r="AI2247" s="197"/>
      <c r="AJ2247" s="197"/>
      <c r="AK2247" s="197"/>
      <c r="AL2247" s="197"/>
      <c r="AM2247" s="197"/>
      <c r="AN2247" s="197"/>
      <c r="AO2247" s="197"/>
      <c r="AP2247" s="197"/>
      <c r="AQ2247" s="197"/>
      <c r="AR2247" s="197"/>
      <c r="AS2247" s="197"/>
      <c r="AT2247" s="197"/>
      <c r="AU2247" s="197"/>
      <c r="AV2247" s="197"/>
      <c r="AW2247" s="197"/>
    </row>
    <row r="2248" spans="28:49" s="196" customFormat="1">
      <c r="AB2248" s="201"/>
      <c r="AC2248" s="201"/>
      <c r="AD2248" s="197"/>
      <c r="AE2248" s="197"/>
      <c r="AF2248" s="197"/>
      <c r="AG2248" s="197"/>
      <c r="AH2248" s="197"/>
      <c r="AI2248" s="197"/>
      <c r="AJ2248" s="197"/>
      <c r="AK2248" s="197"/>
      <c r="AL2248" s="197"/>
      <c r="AM2248" s="197"/>
      <c r="AN2248" s="197"/>
      <c r="AO2248" s="197"/>
      <c r="AP2248" s="197"/>
      <c r="AQ2248" s="197"/>
      <c r="AR2248" s="197"/>
      <c r="AS2248" s="197"/>
      <c r="AT2248" s="197"/>
      <c r="AU2248" s="197"/>
      <c r="AV2248" s="197"/>
      <c r="AW2248" s="197"/>
    </row>
    <row r="2249" spans="28:49" s="196" customFormat="1">
      <c r="AB2249" s="201"/>
      <c r="AC2249" s="201"/>
      <c r="AD2249" s="197"/>
      <c r="AE2249" s="197"/>
      <c r="AF2249" s="197"/>
      <c r="AG2249" s="197"/>
      <c r="AH2249" s="197"/>
      <c r="AI2249" s="197"/>
      <c r="AJ2249" s="197"/>
      <c r="AK2249" s="197"/>
      <c r="AL2249" s="197"/>
      <c r="AM2249" s="197"/>
      <c r="AN2249" s="197"/>
      <c r="AO2249" s="197"/>
      <c r="AP2249" s="197"/>
      <c r="AQ2249" s="197"/>
      <c r="AR2249" s="197"/>
      <c r="AS2249" s="197"/>
      <c r="AT2249" s="197"/>
      <c r="AU2249" s="197"/>
      <c r="AV2249" s="197"/>
      <c r="AW2249" s="197"/>
    </row>
    <row r="2250" spans="28:49" s="196" customFormat="1">
      <c r="AB2250" s="201"/>
      <c r="AC2250" s="201"/>
      <c r="AD2250" s="197"/>
      <c r="AE2250" s="197"/>
      <c r="AF2250" s="197"/>
      <c r="AG2250" s="197"/>
      <c r="AH2250" s="197"/>
      <c r="AI2250" s="197"/>
      <c r="AJ2250" s="197"/>
      <c r="AK2250" s="197"/>
      <c r="AL2250" s="197"/>
      <c r="AM2250" s="197"/>
      <c r="AN2250" s="197"/>
      <c r="AO2250" s="197"/>
      <c r="AP2250" s="197"/>
      <c r="AQ2250" s="197"/>
      <c r="AR2250" s="197"/>
      <c r="AS2250" s="197"/>
      <c r="AT2250" s="197"/>
      <c r="AU2250" s="197"/>
      <c r="AV2250" s="197"/>
      <c r="AW2250" s="197"/>
    </row>
    <row r="2251" spans="28:49" s="196" customFormat="1">
      <c r="AB2251" s="201"/>
      <c r="AC2251" s="201"/>
      <c r="AD2251" s="197"/>
      <c r="AE2251" s="197"/>
      <c r="AF2251" s="197"/>
      <c r="AG2251" s="197"/>
      <c r="AH2251" s="197"/>
      <c r="AI2251" s="197"/>
      <c r="AJ2251" s="197"/>
      <c r="AK2251" s="197"/>
      <c r="AL2251" s="197"/>
      <c r="AM2251" s="197"/>
      <c r="AN2251" s="197"/>
      <c r="AO2251" s="197"/>
      <c r="AP2251" s="197"/>
      <c r="AQ2251" s="197"/>
      <c r="AR2251" s="197"/>
      <c r="AS2251" s="197"/>
      <c r="AT2251" s="197"/>
      <c r="AU2251" s="197"/>
      <c r="AV2251" s="197"/>
      <c r="AW2251" s="197"/>
    </row>
    <row r="2252" spans="28:49" s="196" customFormat="1">
      <c r="AB2252" s="201"/>
      <c r="AC2252" s="201"/>
      <c r="AD2252" s="197"/>
      <c r="AE2252" s="197"/>
      <c r="AF2252" s="197"/>
      <c r="AG2252" s="197"/>
      <c r="AH2252" s="197"/>
      <c r="AI2252" s="197"/>
      <c r="AJ2252" s="197"/>
      <c r="AK2252" s="197"/>
      <c r="AL2252" s="197"/>
      <c r="AM2252" s="197"/>
      <c r="AN2252" s="197"/>
      <c r="AO2252" s="197"/>
      <c r="AP2252" s="197"/>
      <c r="AQ2252" s="197"/>
      <c r="AR2252" s="197"/>
      <c r="AS2252" s="197"/>
      <c r="AT2252" s="197"/>
      <c r="AU2252" s="197"/>
      <c r="AV2252" s="197"/>
      <c r="AW2252" s="197"/>
    </row>
    <row r="2253" spans="28:49" s="196" customFormat="1">
      <c r="AB2253" s="201"/>
      <c r="AC2253" s="201"/>
      <c r="AD2253" s="197"/>
      <c r="AE2253" s="197"/>
      <c r="AF2253" s="197"/>
      <c r="AG2253" s="197"/>
      <c r="AH2253" s="197"/>
      <c r="AI2253" s="197"/>
      <c r="AJ2253" s="197"/>
      <c r="AK2253" s="197"/>
      <c r="AL2253" s="197"/>
      <c r="AM2253" s="197"/>
      <c r="AN2253" s="197"/>
      <c r="AO2253" s="197"/>
      <c r="AP2253" s="197"/>
      <c r="AQ2253" s="197"/>
      <c r="AR2253" s="197"/>
      <c r="AS2253" s="197"/>
      <c r="AT2253" s="197"/>
      <c r="AU2253" s="197"/>
      <c r="AV2253" s="197"/>
      <c r="AW2253" s="197"/>
    </row>
    <row r="2254" spans="28:49" s="196" customFormat="1">
      <c r="AB2254" s="201"/>
      <c r="AC2254" s="201"/>
      <c r="AD2254" s="197"/>
      <c r="AE2254" s="197"/>
      <c r="AF2254" s="197"/>
      <c r="AG2254" s="197"/>
      <c r="AH2254" s="197"/>
      <c r="AI2254" s="197"/>
      <c r="AJ2254" s="197"/>
      <c r="AK2254" s="197"/>
      <c r="AL2254" s="197"/>
      <c r="AM2254" s="197"/>
      <c r="AN2254" s="197"/>
      <c r="AO2254" s="197"/>
      <c r="AP2254" s="197"/>
      <c r="AQ2254" s="197"/>
      <c r="AR2254" s="197"/>
      <c r="AS2254" s="197"/>
      <c r="AT2254" s="197"/>
      <c r="AU2254" s="197"/>
      <c r="AV2254" s="197"/>
      <c r="AW2254" s="197"/>
    </row>
    <row r="2255" spans="28:49" s="196" customFormat="1">
      <c r="AB2255" s="201"/>
      <c r="AC2255" s="201"/>
      <c r="AD2255" s="197"/>
      <c r="AE2255" s="197"/>
      <c r="AF2255" s="197"/>
      <c r="AG2255" s="197"/>
      <c r="AH2255" s="197"/>
      <c r="AI2255" s="197"/>
      <c r="AJ2255" s="197"/>
      <c r="AK2255" s="197"/>
      <c r="AL2255" s="197"/>
      <c r="AM2255" s="197"/>
      <c r="AN2255" s="197"/>
      <c r="AO2255" s="197"/>
      <c r="AP2255" s="197"/>
      <c r="AQ2255" s="197"/>
      <c r="AR2255" s="197"/>
      <c r="AS2255" s="197"/>
      <c r="AT2255" s="197"/>
      <c r="AU2255" s="197"/>
      <c r="AV2255" s="197"/>
      <c r="AW2255" s="197"/>
    </row>
    <row r="2256" spans="28:49" s="196" customFormat="1">
      <c r="AB2256" s="201"/>
      <c r="AC2256" s="201"/>
      <c r="AD2256" s="197"/>
      <c r="AE2256" s="197"/>
      <c r="AF2256" s="197"/>
      <c r="AG2256" s="197"/>
      <c r="AH2256" s="197"/>
      <c r="AI2256" s="197"/>
      <c r="AJ2256" s="197"/>
      <c r="AK2256" s="197"/>
      <c r="AL2256" s="197"/>
      <c r="AM2256" s="197"/>
      <c r="AN2256" s="197"/>
      <c r="AO2256" s="197"/>
      <c r="AP2256" s="197"/>
      <c r="AQ2256" s="197"/>
      <c r="AR2256" s="197"/>
      <c r="AS2256" s="197"/>
      <c r="AT2256" s="197"/>
      <c r="AU2256" s="197"/>
      <c r="AV2256" s="197"/>
      <c r="AW2256" s="197"/>
    </row>
    <row r="2257" spans="28:49" s="196" customFormat="1">
      <c r="AB2257" s="201"/>
      <c r="AC2257" s="201"/>
      <c r="AD2257" s="197"/>
      <c r="AE2257" s="197"/>
      <c r="AF2257" s="197"/>
      <c r="AG2257" s="197"/>
      <c r="AH2257" s="197"/>
      <c r="AI2257" s="197"/>
      <c r="AJ2257" s="197"/>
      <c r="AK2257" s="197"/>
      <c r="AL2257" s="197"/>
      <c r="AM2257" s="197"/>
      <c r="AN2257" s="197"/>
      <c r="AO2257" s="197"/>
      <c r="AP2257" s="197"/>
      <c r="AQ2257" s="197"/>
      <c r="AR2257" s="197"/>
      <c r="AS2257" s="197"/>
      <c r="AT2257" s="197"/>
      <c r="AU2257" s="197"/>
      <c r="AV2257" s="197"/>
      <c r="AW2257" s="197"/>
    </row>
    <row r="2258" spans="28:49" s="196" customFormat="1">
      <c r="AB2258" s="201"/>
      <c r="AC2258" s="201"/>
      <c r="AD2258" s="197"/>
      <c r="AE2258" s="197"/>
      <c r="AF2258" s="197"/>
      <c r="AG2258" s="197"/>
      <c r="AH2258" s="197"/>
      <c r="AI2258" s="197"/>
      <c r="AJ2258" s="197"/>
      <c r="AK2258" s="197"/>
      <c r="AL2258" s="197"/>
      <c r="AM2258" s="197"/>
      <c r="AN2258" s="197"/>
      <c r="AO2258" s="197"/>
      <c r="AP2258" s="197"/>
      <c r="AQ2258" s="197"/>
      <c r="AR2258" s="197"/>
      <c r="AS2258" s="197"/>
      <c r="AT2258" s="197"/>
      <c r="AU2258" s="197"/>
      <c r="AV2258" s="197"/>
      <c r="AW2258" s="197"/>
    </row>
    <row r="2259" spans="28:49" s="196" customFormat="1">
      <c r="AB2259" s="201"/>
      <c r="AC2259" s="201"/>
      <c r="AD2259" s="197"/>
      <c r="AE2259" s="197"/>
      <c r="AF2259" s="197"/>
      <c r="AG2259" s="197"/>
      <c r="AH2259" s="197"/>
      <c r="AI2259" s="197"/>
      <c r="AJ2259" s="197"/>
      <c r="AK2259" s="197"/>
      <c r="AL2259" s="197"/>
      <c r="AM2259" s="197"/>
      <c r="AN2259" s="197"/>
      <c r="AO2259" s="197"/>
      <c r="AP2259" s="197"/>
      <c r="AQ2259" s="197"/>
      <c r="AR2259" s="197"/>
      <c r="AS2259" s="197"/>
      <c r="AT2259" s="197"/>
      <c r="AU2259" s="197"/>
      <c r="AV2259" s="197"/>
      <c r="AW2259" s="197"/>
    </row>
    <row r="2260" spans="28:49" s="196" customFormat="1">
      <c r="AB2260" s="201"/>
      <c r="AC2260" s="201"/>
      <c r="AD2260" s="197"/>
      <c r="AE2260" s="197"/>
      <c r="AF2260" s="197"/>
      <c r="AG2260" s="197"/>
      <c r="AH2260" s="197"/>
      <c r="AI2260" s="197"/>
      <c r="AJ2260" s="197"/>
      <c r="AK2260" s="197"/>
      <c r="AL2260" s="197"/>
      <c r="AM2260" s="197"/>
      <c r="AN2260" s="197"/>
      <c r="AO2260" s="197"/>
      <c r="AP2260" s="197"/>
      <c r="AQ2260" s="197"/>
      <c r="AR2260" s="197"/>
      <c r="AS2260" s="197"/>
      <c r="AT2260" s="197"/>
      <c r="AU2260" s="197"/>
      <c r="AV2260" s="197"/>
      <c r="AW2260" s="197"/>
    </row>
    <row r="2261" spans="28:49" s="196" customFormat="1">
      <c r="AB2261" s="201"/>
      <c r="AC2261" s="201"/>
      <c r="AD2261" s="197"/>
      <c r="AE2261" s="197"/>
      <c r="AF2261" s="197"/>
      <c r="AG2261" s="197"/>
      <c r="AH2261" s="197"/>
      <c r="AI2261" s="197"/>
      <c r="AJ2261" s="197"/>
      <c r="AK2261" s="197"/>
      <c r="AL2261" s="197"/>
      <c r="AM2261" s="197"/>
      <c r="AN2261" s="197"/>
      <c r="AO2261" s="197"/>
      <c r="AP2261" s="197"/>
      <c r="AQ2261" s="197"/>
      <c r="AR2261" s="197"/>
      <c r="AS2261" s="197"/>
      <c r="AT2261" s="197"/>
      <c r="AU2261" s="197"/>
      <c r="AV2261" s="197"/>
      <c r="AW2261" s="197"/>
    </row>
    <row r="2262" spans="28:49" s="196" customFormat="1">
      <c r="AB2262" s="201"/>
      <c r="AC2262" s="201"/>
      <c r="AD2262" s="197"/>
      <c r="AE2262" s="197"/>
      <c r="AF2262" s="197"/>
      <c r="AG2262" s="197"/>
      <c r="AH2262" s="197"/>
      <c r="AI2262" s="197"/>
      <c r="AJ2262" s="197"/>
      <c r="AK2262" s="197"/>
      <c r="AL2262" s="197"/>
      <c r="AM2262" s="197"/>
      <c r="AN2262" s="197"/>
      <c r="AO2262" s="197"/>
      <c r="AP2262" s="197"/>
      <c r="AQ2262" s="197"/>
      <c r="AR2262" s="197"/>
      <c r="AS2262" s="197"/>
      <c r="AT2262" s="197"/>
      <c r="AU2262" s="197"/>
      <c r="AV2262" s="197"/>
      <c r="AW2262" s="197"/>
    </row>
    <row r="2263" spans="28:49" s="196" customFormat="1">
      <c r="AB2263" s="201"/>
      <c r="AC2263" s="201"/>
      <c r="AD2263" s="197"/>
      <c r="AE2263" s="197"/>
      <c r="AF2263" s="197"/>
      <c r="AG2263" s="197"/>
      <c r="AH2263" s="197"/>
      <c r="AI2263" s="197"/>
      <c r="AJ2263" s="197"/>
      <c r="AK2263" s="197"/>
      <c r="AL2263" s="197"/>
      <c r="AM2263" s="197"/>
      <c r="AN2263" s="197"/>
      <c r="AO2263" s="197"/>
      <c r="AP2263" s="197"/>
      <c r="AQ2263" s="197"/>
      <c r="AR2263" s="197"/>
      <c r="AS2263" s="197"/>
      <c r="AT2263" s="197"/>
      <c r="AU2263" s="197"/>
      <c r="AV2263" s="197"/>
      <c r="AW2263" s="197"/>
    </row>
    <row r="2264" spans="28:49" s="196" customFormat="1">
      <c r="AB2264" s="201"/>
      <c r="AC2264" s="201"/>
      <c r="AD2264" s="197"/>
      <c r="AE2264" s="197"/>
      <c r="AF2264" s="197"/>
      <c r="AG2264" s="197"/>
      <c r="AH2264" s="197"/>
      <c r="AI2264" s="197"/>
      <c r="AJ2264" s="197"/>
      <c r="AK2264" s="197"/>
      <c r="AL2264" s="197"/>
      <c r="AM2264" s="197"/>
      <c r="AN2264" s="197"/>
      <c r="AO2264" s="197"/>
      <c r="AP2264" s="197"/>
      <c r="AQ2264" s="197"/>
      <c r="AR2264" s="197"/>
      <c r="AS2264" s="197"/>
      <c r="AT2264" s="197"/>
      <c r="AU2264" s="197"/>
      <c r="AV2264" s="197"/>
      <c r="AW2264" s="197"/>
    </row>
    <row r="2265" spans="28:49" s="196" customFormat="1">
      <c r="AB2265" s="201"/>
      <c r="AC2265" s="201"/>
      <c r="AD2265" s="197"/>
      <c r="AE2265" s="197"/>
      <c r="AF2265" s="197"/>
      <c r="AG2265" s="197"/>
      <c r="AH2265" s="197"/>
      <c r="AI2265" s="197"/>
      <c r="AJ2265" s="197"/>
      <c r="AK2265" s="197"/>
      <c r="AL2265" s="197"/>
      <c r="AM2265" s="197"/>
      <c r="AN2265" s="197"/>
      <c r="AO2265" s="197"/>
      <c r="AP2265" s="197"/>
      <c r="AQ2265" s="197"/>
      <c r="AR2265" s="197"/>
      <c r="AS2265" s="197"/>
      <c r="AT2265" s="197"/>
      <c r="AU2265" s="197"/>
      <c r="AV2265" s="197"/>
      <c r="AW2265" s="197"/>
    </row>
    <row r="2266" spans="28:49" s="196" customFormat="1">
      <c r="AB2266" s="201"/>
      <c r="AC2266" s="201"/>
      <c r="AD2266" s="197"/>
      <c r="AE2266" s="197"/>
      <c r="AF2266" s="197"/>
      <c r="AG2266" s="197"/>
      <c r="AH2266" s="197"/>
      <c r="AI2266" s="197"/>
      <c r="AJ2266" s="197"/>
      <c r="AK2266" s="197"/>
      <c r="AL2266" s="197"/>
      <c r="AM2266" s="197"/>
      <c r="AN2266" s="197"/>
      <c r="AO2266" s="197"/>
      <c r="AP2266" s="197"/>
      <c r="AQ2266" s="197"/>
      <c r="AR2266" s="197"/>
      <c r="AS2266" s="197"/>
      <c r="AT2266" s="197"/>
      <c r="AU2266" s="197"/>
      <c r="AV2266" s="197"/>
      <c r="AW2266" s="197"/>
    </row>
    <row r="2267" spans="28:49" s="196" customFormat="1">
      <c r="AB2267" s="201"/>
      <c r="AC2267" s="201"/>
      <c r="AD2267" s="197"/>
      <c r="AE2267" s="197"/>
      <c r="AF2267" s="197"/>
      <c r="AG2267" s="197"/>
      <c r="AH2267" s="197"/>
      <c r="AI2267" s="197"/>
      <c r="AJ2267" s="197"/>
      <c r="AK2267" s="197"/>
      <c r="AL2267" s="197"/>
      <c r="AM2267" s="197"/>
      <c r="AN2267" s="197"/>
      <c r="AO2267" s="197"/>
      <c r="AP2267" s="197"/>
      <c r="AQ2267" s="197"/>
      <c r="AR2267" s="197"/>
      <c r="AS2267" s="197"/>
      <c r="AT2267" s="197"/>
      <c r="AU2267" s="197"/>
      <c r="AV2267" s="197"/>
      <c r="AW2267" s="197"/>
    </row>
    <row r="2268" spans="28:49" s="196" customFormat="1">
      <c r="AB2268" s="201"/>
      <c r="AC2268" s="201"/>
      <c r="AD2268" s="197"/>
      <c r="AE2268" s="197"/>
      <c r="AF2268" s="197"/>
      <c r="AG2268" s="197"/>
      <c r="AH2268" s="197"/>
      <c r="AI2268" s="197"/>
      <c r="AJ2268" s="197"/>
      <c r="AK2268" s="197"/>
      <c r="AL2268" s="197"/>
      <c r="AM2268" s="197"/>
      <c r="AN2268" s="197"/>
      <c r="AO2268" s="197"/>
      <c r="AP2268" s="197"/>
      <c r="AQ2268" s="197"/>
      <c r="AR2268" s="197"/>
      <c r="AS2268" s="197"/>
      <c r="AT2268" s="197"/>
      <c r="AU2268" s="197"/>
      <c r="AV2268" s="197"/>
      <c r="AW2268" s="197"/>
    </row>
    <row r="2269" spans="28:49" s="196" customFormat="1">
      <c r="AB2269" s="201"/>
      <c r="AC2269" s="201"/>
      <c r="AD2269" s="197"/>
      <c r="AE2269" s="197"/>
      <c r="AF2269" s="197"/>
      <c r="AG2269" s="197"/>
      <c r="AH2269" s="197"/>
      <c r="AI2269" s="197"/>
      <c r="AJ2269" s="197"/>
      <c r="AK2269" s="197"/>
      <c r="AL2269" s="197"/>
      <c r="AM2269" s="197"/>
      <c r="AN2269" s="197"/>
      <c r="AO2269" s="197"/>
      <c r="AP2269" s="197"/>
      <c r="AQ2269" s="197"/>
      <c r="AR2269" s="197"/>
      <c r="AS2269" s="197"/>
      <c r="AT2269" s="197"/>
      <c r="AU2269" s="197"/>
      <c r="AV2269" s="197"/>
      <c r="AW2269" s="197"/>
    </row>
    <row r="2270" spans="28:49" s="196" customFormat="1">
      <c r="AB2270" s="201"/>
      <c r="AC2270" s="201"/>
      <c r="AD2270" s="197"/>
      <c r="AE2270" s="197"/>
      <c r="AF2270" s="197"/>
      <c r="AG2270" s="197"/>
      <c r="AH2270" s="197"/>
      <c r="AI2270" s="197"/>
      <c r="AJ2270" s="197"/>
      <c r="AK2270" s="197"/>
      <c r="AL2270" s="197"/>
      <c r="AM2270" s="197"/>
      <c r="AN2270" s="197"/>
      <c r="AO2270" s="197"/>
      <c r="AP2270" s="197"/>
      <c r="AQ2270" s="197"/>
      <c r="AR2270" s="197"/>
      <c r="AS2270" s="197"/>
      <c r="AT2270" s="197"/>
      <c r="AU2270" s="197"/>
      <c r="AV2270" s="197"/>
      <c r="AW2270" s="197"/>
    </row>
    <row r="2271" spans="28:49" s="196" customFormat="1">
      <c r="AB2271" s="201"/>
      <c r="AC2271" s="201"/>
      <c r="AD2271" s="197"/>
      <c r="AE2271" s="197"/>
      <c r="AF2271" s="197"/>
      <c r="AG2271" s="197"/>
      <c r="AH2271" s="197"/>
      <c r="AI2271" s="197"/>
      <c r="AJ2271" s="197"/>
      <c r="AK2271" s="197"/>
      <c r="AL2271" s="197"/>
      <c r="AM2271" s="197"/>
      <c r="AN2271" s="197"/>
      <c r="AO2271" s="197"/>
      <c r="AP2271" s="197"/>
      <c r="AQ2271" s="197"/>
      <c r="AR2271" s="197"/>
      <c r="AS2271" s="197"/>
      <c r="AT2271" s="197"/>
      <c r="AU2271" s="197"/>
      <c r="AV2271" s="197"/>
      <c r="AW2271" s="197"/>
    </row>
    <row r="2272" spans="28:49" s="196" customFormat="1">
      <c r="AB2272" s="201"/>
      <c r="AC2272" s="201"/>
      <c r="AD2272" s="197"/>
      <c r="AE2272" s="197"/>
      <c r="AF2272" s="197"/>
      <c r="AG2272" s="197"/>
      <c r="AH2272" s="197"/>
      <c r="AI2272" s="197"/>
      <c r="AJ2272" s="197"/>
      <c r="AK2272" s="197"/>
      <c r="AL2272" s="197"/>
      <c r="AM2272" s="197"/>
      <c r="AN2272" s="197"/>
      <c r="AO2272" s="197"/>
      <c r="AP2272" s="197"/>
      <c r="AQ2272" s="197"/>
      <c r="AR2272" s="197"/>
      <c r="AS2272" s="197"/>
      <c r="AT2272" s="197"/>
      <c r="AU2272" s="197"/>
      <c r="AV2272" s="197"/>
      <c r="AW2272" s="197"/>
    </row>
    <row r="2273" spans="28:49" s="196" customFormat="1">
      <c r="AB2273" s="201"/>
      <c r="AC2273" s="201"/>
      <c r="AD2273" s="197"/>
      <c r="AE2273" s="197"/>
      <c r="AF2273" s="197"/>
      <c r="AG2273" s="197"/>
      <c r="AH2273" s="197"/>
      <c r="AI2273" s="197"/>
      <c r="AJ2273" s="197"/>
      <c r="AK2273" s="197"/>
      <c r="AL2273" s="197"/>
      <c r="AM2273" s="197"/>
      <c r="AN2273" s="197"/>
      <c r="AO2273" s="197"/>
      <c r="AP2273" s="197"/>
      <c r="AQ2273" s="197"/>
      <c r="AR2273" s="197"/>
      <c r="AS2273" s="197"/>
      <c r="AT2273" s="197"/>
      <c r="AU2273" s="197"/>
      <c r="AV2273" s="197"/>
      <c r="AW2273" s="197"/>
    </row>
    <row r="2274" spans="28:49" s="196" customFormat="1">
      <c r="AB2274" s="201"/>
      <c r="AC2274" s="201"/>
      <c r="AD2274" s="197"/>
      <c r="AE2274" s="197"/>
      <c r="AF2274" s="197"/>
      <c r="AG2274" s="197"/>
      <c r="AH2274" s="197"/>
      <c r="AI2274" s="197"/>
      <c r="AJ2274" s="197"/>
      <c r="AK2274" s="197"/>
      <c r="AL2274" s="197"/>
      <c r="AM2274" s="197"/>
      <c r="AN2274" s="197"/>
      <c r="AO2274" s="197"/>
      <c r="AP2274" s="197"/>
      <c r="AQ2274" s="197"/>
      <c r="AR2274" s="197"/>
      <c r="AS2274" s="197"/>
      <c r="AT2274" s="197"/>
      <c r="AU2274" s="197"/>
      <c r="AV2274" s="197"/>
      <c r="AW2274" s="197"/>
    </row>
    <row r="2275" spans="28:49" s="196" customFormat="1">
      <c r="AB2275" s="201"/>
      <c r="AC2275" s="201"/>
      <c r="AD2275" s="197"/>
      <c r="AE2275" s="197"/>
      <c r="AF2275" s="197"/>
      <c r="AG2275" s="197"/>
      <c r="AH2275" s="197"/>
      <c r="AI2275" s="197"/>
      <c r="AJ2275" s="197"/>
      <c r="AK2275" s="197"/>
      <c r="AL2275" s="197"/>
      <c r="AM2275" s="197"/>
      <c r="AN2275" s="197"/>
      <c r="AO2275" s="197"/>
      <c r="AP2275" s="197"/>
      <c r="AQ2275" s="197"/>
      <c r="AR2275" s="197"/>
      <c r="AS2275" s="197"/>
      <c r="AT2275" s="197"/>
      <c r="AU2275" s="197"/>
      <c r="AV2275" s="197"/>
      <c r="AW2275" s="197"/>
    </row>
    <row r="2276" spans="28:49" s="196" customFormat="1">
      <c r="AB2276" s="201"/>
      <c r="AC2276" s="201"/>
      <c r="AD2276" s="197"/>
      <c r="AE2276" s="197"/>
      <c r="AF2276" s="197"/>
      <c r="AG2276" s="197"/>
      <c r="AH2276" s="197"/>
      <c r="AI2276" s="197"/>
      <c r="AJ2276" s="197"/>
      <c r="AK2276" s="197"/>
      <c r="AL2276" s="197"/>
      <c r="AM2276" s="197"/>
      <c r="AN2276" s="197"/>
      <c r="AO2276" s="197"/>
      <c r="AP2276" s="197"/>
      <c r="AQ2276" s="197"/>
      <c r="AR2276" s="197"/>
      <c r="AS2276" s="197"/>
      <c r="AT2276" s="197"/>
      <c r="AU2276" s="197"/>
      <c r="AV2276" s="197"/>
      <c r="AW2276" s="197"/>
    </row>
    <row r="2277" spans="28:49" s="196" customFormat="1">
      <c r="AB2277" s="201"/>
      <c r="AC2277" s="201"/>
      <c r="AD2277" s="197"/>
      <c r="AE2277" s="197"/>
      <c r="AF2277" s="197"/>
      <c r="AG2277" s="197"/>
      <c r="AH2277" s="197"/>
      <c r="AI2277" s="197"/>
      <c r="AJ2277" s="197"/>
      <c r="AK2277" s="197"/>
      <c r="AL2277" s="197"/>
      <c r="AM2277" s="197"/>
      <c r="AN2277" s="197"/>
      <c r="AO2277" s="197"/>
      <c r="AP2277" s="197"/>
      <c r="AQ2277" s="197"/>
      <c r="AR2277" s="197"/>
      <c r="AS2277" s="197"/>
      <c r="AT2277" s="197"/>
      <c r="AU2277" s="197"/>
      <c r="AV2277" s="197"/>
      <c r="AW2277" s="197"/>
    </row>
    <row r="2278" spans="28:49" s="196" customFormat="1">
      <c r="AB2278" s="201"/>
      <c r="AC2278" s="201"/>
      <c r="AD2278" s="197"/>
      <c r="AE2278" s="197"/>
      <c r="AF2278" s="197"/>
      <c r="AG2278" s="197"/>
      <c r="AH2278" s="197"/>
      <c r="AI2278" s="197"/>
      <c r="AJ2278" s="197"/>
      <c r="AK2278" s="197"/>
      <c r="AL2278" s="197"/>
      <c r="AM2278" s="197"/>
      <c r="AN2278" s="197"/>
      <c r="AO2278" s="197"/>
      <c r="AP2278" s="197"/>
      <c r="AQ2278" s="197"/>
      <c r="AR2278" s="197"/>
      <c r="AS2278" s="197"/>
      <c r="AT2278" s="197"/>
      <c r="AU2278" s="197"/>
      <c r="AV2278" s="197"/>
      <c r="AW2278" s="197"/>
    </row>
    <row r="2279" spans="28:49" s="196" customFormat="1">
      <c r="AB2279" s="201"/>
      <c r="AC2279" s="201"/>
      <c r="AD2279" s="197"/>
      <c r="AE2279" s="197"/>
      <c r="AF2279" s="197"/>
      <c r="AG2279" s="197"/>
      <c r="AH2279" s="197"/>
      <c r="AI2279" s="197"/>
      <c r="AJ2279" s="197"/>
      <c r="AK2279" s="197"/>
      <c r="AL2279" s="197"/>
      <c r="AM2279" s="197"/>
      <c r="AN2279" s="197"/>
      <c r="AO2279" s="197"/>
      <c r="AP2279" s="197"/>
      <c r="AQ2279" s="197"/>
      <c r="AR2279" s="197"/>
      <c r="AS2279" s="197"/>
      <c r="AT2279" s="197"/>
      <c r="AU2279" s="197"/>
      <c r="AV2279" s="197"/>
      <c r="AW2279" s="197"/>
    </row>
    <row r="2280" spans="28:49" s="196" customFormat="1">
      <c r="AB2280" s="201"/>
      <c r="AC2280" s="201"/>
      <c r="AD2280" s="197"/>
      <c r="AE2280" s="197"/>
      <c r="AF2280" s="197"/>
      <c r="AG2280" s="197"/>
      <c r="AH2280" s="197"/>
      <c r="AI2280" s="197"/>
      <c r="AJ2280" s="197"/>
      <c r="AK2280" s="197"/>
      <c r="AL2280" s="197"/>
      <c r="AM2280" s="197"/>
      <c r="AN2280" s="197"/>
      <c r="AO2280" s="197"/>
      <c r="AP2280" s="197"/>
      <c r="AQ2280" s="197"/>
      <c r="AR2280" s="197"/>
      <c r="AS2280" s="197"/>
      <c r="AT2280" s="197"/>
      <c r="AU2280" s="197"/>
      <c r="AV2280" s="197"/>
      <c r="AW2280" s="197"/>
    </row>
    <row r="2281" spans="28:49" s="196" customFormat="1">
      <c r="AB2281" s="201"/>
      <c r="AC2281" s="201"/>
      <c r="AD2281" s="197"/>
      <c r="AE2281" s="197"/>
      <c r="AF2281" s="197"/>
      <c r="AG2281" s="197"/>
      <c r="AH2281" s="197"/>
      <c r="AI2281" s="197"/>
      <c r="AJ2281" s="197"/>
      <c r="AK2281" s="197"/>
      <c r="AL2281" s="197"/>
      <c r="AM2281" s="197"/>
      <c r="AN2281" s="197"/>
      <c r="AO2281" s="197"/>
      <c r="AP2281" s="197"/>
      <c r="AQ2281" s="197"/>
      <c r="AR2281" s="197"/>
      <c r="AS2281" s="197"/>
      <c r="AT2281" s="197"/>
      <c r="AU2281" s="197"/>
      <c r="AV2281" s="197"/>
      <c r="AW2281" s="197"/>
    </row>
    <row r="2282" spans="28:49" s="196" customFormat="1">
      <c r="AB2282" s="201"/>
      <c r="AC2282" s="201"/>
      <c r="AD2282" s="197"/>
      <c r="AE2282" s="197"/>
      <c r="AF2282" s="197"/>
      <c r="AG2282" s="197"/>
      <c r="AH2282" s="197"/>
      <c r="AI2282" s="197"/>
      <c r="AJ2282" s="197"/>
      <c r="AK2282" s="197"/>
      <c r="AL2282" s="197"/>
      <c r="AM2282" s="197"/>
      <c r="AN2282" s="197"/>
      <c r="AO2282" s="197"/>
      <c r="AP2282" s="197"/>
      <c r="AQ2282" s="197"/>
      <c r="AR2282" s="197"/>
      <c r="AS2282" s="197"/>
      <c r="AT2282" s="197"/>
      <c r="AU2282" s="197"/>
      <c r="AV2282" s="197"/>
      <c r="AW2282" s="197"/>
    </row>
    <row r="2283" spans="28:49" s="196" customFormat="1">
      <c r="AB2283" s="201"/>
      <c r="AC2283" s="201"/>
      <c r="AD2283" s="197"/>
      <c r="AE2283" s="197"/>
      <c r="AF2283" s="197"/>
      <c r="AG2283" s="197"/>
      <c r="AH2283" s="197"/>
      <c r="AI2283" s="197"/>
      <c r="AJ2283" s="197"/>
      <c r="AK2283" s="197"/>
      <c r="AL2283" s="197"/>
      <c r="AM2283" s="197"/>
      <c r="AN2283" s="197"/>
      <c r="AO2283" s="197"/>
      <c r="AP2283" s="197"/>
      <c r="AQ2283" s="197"/>
      <c r="AR2283" s="197"/>
      <c r="AS2283" s="197"/>
      <c r="AT2283" s="197"/>
      <c r="AU2283" s="197"/>
      <c r="AV2283" s="197"/>
      <c r="AW2283" s="197"/>
    </row>
    <row r="2284" spans="28:49" s="196" customFormat="1">
      <c r="AB2284" s="201"/>
      <c r="AC2284" s="201"/>
      <c r="AD2284" s="197"/>
      <c r="AE2284" s="197"/>
      <c r="AF2284" s="197"/>
      <c r="AG2284" s="197"/>
      <c r="AH2284" s="197"/>
      <c r="AI2284" s="197"/>
      <c r="AJ2284" s="197"/>
      <c r="AK2284" s="197"/>
      <c r="AL2284" s="197"/>
      <c r="AM2284" s="197"/>
      <c r="AN2284" s="197"/>
      <c r="AO2284" s="197"/>
      <c r="AP2284" s="197"/>
      <c r="AQ2284" s="197"/>
      <c r="AR2284" s="197"/>
      <c r="AS2284" s="197"/>
      <c r="AT2284" s="197"/>
      <c r="AU2284" s="197"/>
      <c r="AV2284" s="197"/>
      <c r="AW2284" s="197"/>
    </row>
    <row r="2285" spans="28:49" s="196" customFormat="1">
      <c r="AB2285" s="201"/>
      <c r="AC2285" s="201"/>
      <c r="AD2285" s="197"/>
      <c r="AE2285" s="197"/>
      <c r="AF2285" s="197"/>
      <c r="AG2285" s="197"/>
      <c r="AH2285" s="197"/>
      <c r="AI2285" s="197"/>
      <c r="AJ2285" s="197"/>
      <c r="AK2285" s="197"/>
      <c r="AL2285" s="197"/>
      <c r="AM2285" s="197"/>
      <c r="AN2285" s="197"/>
      <c r="AO2285" s="197"/>
      <c r="AP2285" s="197"/>
      <c r="AQ2285" s="197"/>
      <c r="AR2285" s="197"/>
      <c r="AS2285" s="197"/>
      <c r="AT2285" s="197"/>
      <c r="AU2285" s="197"/>
      <c r="AV2285" s="197"/>
      <c r="AW2285" s="197"/>
    </row>
    <row r="2286" spans="28:49" s="196" customFormat="1">
      <c r="AB2286" s="201"/>
      <c r="AC2286" s="201"/>
      <c r="AD2286" s="197"/>
      <c r="AE2286" s="197"/>
      <c r="AF2286" s="197"/>
      <c r="AG2286" s="197"/>
      <c r="AH2286" s="197"/>
      <c r="AI2286" s="197"/>
      <c r="AJ2286" s="197"/>
      <c r="AK2286" s="197"/>
      <c r="AL2286" s="197"/>
      <c r="AM2286" s="197"/>
      <c r="AN2286" s="197"/>
      <c r="AO2286" s="197"/>
      <c r="AP2286" s="197"/>
      <c r="AQ2286" s="197"/>
      <c r="AR2286" s="197"/>
      <c r="AS2286" s="197"/>
      <c r="AT2286" s="197"/>
      <c r="AU2286" s="197"/>
      <c r="AV2286" s="197"/>
      <c r="AW2286" s="197"/>
    </row>
    <row r="2287" spans="28:49" s="196" customFormat="1">
      <c r="AB2287" s="201"/>
      <c r="AC2287" s="201"/>
      <c r="AD2287" s="197"/>
      <c r="AE2287" s="197"/>
      <c r="AF2287" s="197"/>
      <c r="AG2287" s="197"/>
      <c r="AH2287" s="197"/>
      <c r="AI2287" s="197"/>
      <c r="AJ2287" s="197"/>
      <c r="AK2287" s="197"/>
      <c r="AL2287" s="197"/>
      <c r="AM2287" s="197"/>
      <c r="AN2287" s="197"/>
      <c r="AO2287" s="197"/>
      <c r="AP2287" s="197"/>
      <c r="AQ2287" s="197"/>
      <c r="AR2287" s="197"/>
      <c r="AS2287" s="197"/>
      <c r="AT2287" s="197"/>
      <c r="AU2287" s="197"/>
      <c r="AV2287" s="197"/>
      <c r="AW2287" s="197"/>
    </row>
    <row r="2288" spans="28:49" s="196" customFormat="1">
      <c r="AB2288" s="201"/>
      <c r="AC2288" s="201"/>
      <c r="AD2288" s="197"/>
      <c r="AE2288" s="197"/>
      <c r="AF2288" s="197"/>
      <c r="AG2288" s="197"/>
      <c r="AH2288" s="197"/>
      <c r="AI2288" s="197"/>
      <c r="AJ2288" s="197"/>
      <c r="AK2288" s="197"/>
      <c r="AL2288" s="197"/>
      <c r="AM2288" s="197"/>
      <c r="AN2288" s="197"/>
      <c r="AO2288" s="197"/>
      <c r="AP2288" s="197"/>
      <c r="AQ2288" s="197"/>
      <c r="AR2288" s="197"/>
      <c r="AS2288" s="197"/>
      <c r="AT2288" s="197"/>
      <c r="AU2288" s="197"/>
      <c r="AV2288" s="197"/>
      <c r="AW2288" s="197"/>
    </row>
    <row r="2289" spans="28:49" s="196" customFormat="1">
      <c r="AB2289" s="201"/>
      <c r="AC2289" s="201"/>
      <c r="AD2289" s="197"/>
      <c r="AE2289" s="197"/>
      <c r="AF2289" s="197"/>
      <c r="AG2289" s="197"/>
      <c r="AH2289" s="197"/>
      <c r="AI2289" s="197"/>
      <c r="AJ2289" s="197"/>
      <c r="AK2289" s="197"/>
      <c r="AL2289" s="197"/>
      <c r="AM2289" s="197"/>
      <c r="AN2289" s="197"/>
      <c r="AO2289" s="197"/>
      <c r="AP2289" s="197"/>
      <c r="AQ2289" s="197"/>
      <c r="AR2289" s="197"/>
      <c r="AS2289" s="197"/>
      <c r="AT2289" s="197"/>
      <c r="AU2289" s="197"/>
      <c r="AV2289" s="197"/>
      <c r="AW2289" s="197"/>
    </row>
    <row r="2290" spans="28:49" s="196" customFormat="1">
      <c r="AB2290" s="201"/>
      <c r="AC2290" s="201"/>
      <c r="AD2290" s="197"/>
      <c r="AE2290" s="197"/>
      <c r="AF2290" s="197"/>
      <c r="AG2290" s="197"/>
      <c r="AH2290" s="197"/>
      <c r="AI2290" s="197"/>
      <c r="AJ2290" s="197"/>
      <c r="AK2290" s="197"/>
      <c r="AL2290" s="197"/>
      <c r="AM2290" s="197"/>
      <c r="AN2290" s="197"/>
      <c r="AO2290" s="197"/>
      <c r="AP2290" s="197"/>
      <c r="AQ2290" s="197"/>
      <c r="AR2290" s="197"/>
      <c r="AS2290" s="197"/>
      <c r="AT2290" s="197"/>
      <c r="AU2290" s="197"/>
      <c r="AV2290" s="197"/>
      <c r="AW2290" s="197"/>
    </row>
    <row r="2291" spans="28:49" s="196" customFormat="1">
      <c r="AB2291" s="201"/>
      <c r="AC2291" s="201"/>
      <c r="AD2291" s="197"/>
      <c r="AE2291" s="197"/>
      <c r="AF2291" s="197"/>
      <c r="AG2291" s="197"/>
      <c r="AH2291" s="197"/>
      <c r="AI2291" s="197"/>
      <c r="AJ2291" s="197"/>
      <c r="AK2291" s="197"/>
      <c r="AL2291" s="197"/>
      <c r="AM2291" s="197"/>
      <c r="AN2291" s="197"/>
      <c r="AO2291" s="197"/>
      <c r="AP2291" s="197"/>
      <c r="AQ2291" s="197"/>
      <c r="AR2291" s="197"/>
      <c r="AS2291" s="197"/>
      <c r="AT2291" s="197"/>
      <c r="AU2291" s="197"/>
      <c r="AV2291" s="197"/>
      <c r="AW2291" s="197"/>
    </row>
    <row r="2292" spans="28:49" s="196" customFormat="1">
      <c r="AB2292" s="201"/>
      <c r="AC2292" s="201"/>
      <c r="AD2292" s="197"/>
      <c r="AE2292" s="197"/>
      <c r="AF2292" s="197"/>
      <c r="AG2292" s="197"/>
      <c r="AH2292" s="197"/>
      <c r="AI2292" s="197"/>
      <c r="AJ2292" s="197"/>
      <c r="AK2292" s="197"/>
      <c r="AL2292" s="197"/>
      <c r="AM2292" s="197"/>
      <c r="AN2292" s="197"/>
      <c r="AO2292" s="197"/>
      <c r="AP2292" s="197"/>
      <c r="AQ2292" s="197"/>
      <c r="AR2292" s="197"/>
      <c r="AS2292" s="197"/>
      <c r="AT2292" s="197"/>
      <c r="AU2292" s="197"/>
      <c r="AV2292" s="197"/>
      <c r="AW2292" s="197"/>
    </row>
    <row r="2293" spans="28:49" s="196" customFormat="1">
      <c r="AB2293" s="201"/>
      <c r="AC2293" s="201"/>
      <c r="AD2293" s="197"/>
      <c r="AE2293" s="197"/>
      <c r="AF2293" s="197"/>
      <c r="AG2293" s="197"/>
      <c r="AH2293" s="197"/>
      <c r="AI2293" s="197"/>
      <c r="AJ2293" s="197"/>
      <c r="AK2293" s="197"/>
      <c r="AL2293" s="197"/>
      <c r="AM2293" s="197"/>
      <c r="AN2293" s="197"/>
      <c r="AO2293" s="197"/>
      <c r="AP2293" s="197"/>
      <c r="AQ2293" s="197"/>
      <c r="AR2293" s="197"/>
      <c r="AS2293" s="197"/>
      <c r="AT2293" s="197"/>
      <c r="AU2293" s="197"/>
      <c r="AV2293" s="197"/>
      <c r="AW2293" s="197"/>
    </row>
    <row r="2294" spans="28:49" s="196" customFormat="1">
      <c r="AB2294" s="201"/>
      <c r="AC2294" s="201"/>
      <c r="AD2294" s="197"/>
      <c r="AE2294" s="197"/>
      <c r="AF2294" s="197"/>
      <c r="AG2294" s="197"/>
      <c r="AH2294" s="197"/>
      <c r="AI2294" s="197"/>
      <c r="AJ2294" s="197"/>
      <c r="AK2294" s="197"/>
      <c r="AL2294" s="197"/>
      <c r="AM2294" s="197"/>
      <c r="AN2294" s="197"/>
      <c r="AO2294" s="197"/>
      <c r="AP2294" s="197"/>
      <c r="AQ2294" s="197"/>
      <c r="AR2294" s="197"/>
      <c r="AS2294" s="197"/>
      <c r="AT2294" s="197"/>
      <c r="AU2294" s="197"/>
      <c r="AV2294" s="197"/>
      <c r="AW2294" s="197"/>
    </row>
    <row r="2295" spans="28:49" s="196" customFormat="1">
      <c r="AB2295" s="201"/>
      <c r="AC2295" s="201"/>
      <c r="AD2295" s="197"/>
      <c r="AE2295" s="197"/>
      <c r="AF2295" s="197"/>
      <c r="AG2295" s="197"/>
      <c r="AH2295" s="197"/>
      <c r="AI2295" s="197"/>
      <c r="AJ2295" s="197"/>
      <c r="AK2295" s="197"/>
      <c r="AL2295" s="197"/>
      <c r="AM2295" s="197"/>
      <c r="AN2295" s="197"/>
      <c r="AO2295" s="197"/>
      <c r="AP2295" s="197"/>
      <c r="AQ2295" s="197"/>
      <c r="AR2295" s="197"/>
      <c r="AS2295" s="197"/>
      <c r="AT2295" s="197"/>
      <c r="AU2295" s="197"/>
      <c r="AV2295" s="197"/>
      <c r="AW2295" s="197"/>
    </row>
    <row r="2296" spans="28:49" s="196" customFormat="1">
      <c r="AB2296" s="201"/>
      <c r="AC2296" s="201"/>
      <c r="AD2296" s="197"/>
      <c r="AE2296" s="197"/>
      <c r="AF2296" s="197"/>
      <c r="AG2296" s="197"/>
      <c r="AH2296" s="197"/>
      <c r="AI2296" s="197"/>
      <c r="AJ2296" s="197"/>
      <c r="AK2296" s="197"/>
      <c r="AL2296" s="197"/>
      <c r="AM2296" s="197"/>
      <c r="AN2296" s="197"/>
      <c r="AO2296" s="197"/>
      <c r="AP2296" s="197"/>
      <c r="AQ2296" s="197"/>
      <c r="AR2296" s="197"/>
      <c r="AS2296" s="197"/>
      <c r="AT2296" s="197"/>
      <c r="AU2296" s="197"/>
      <c r="AV2296" s="197"/>
      <c r="AW2296" s="197"/>
    </row>
    <row r="2297" spans="28:49" s="196" customFormat="1">
      <c r="AB2297" s="201"/>
      <c r="AC2297" s="201"/>
      <c r="AD2297" s="197"/>
      <c r="AE2297" s="197"/>
      <c r="AF2297" s="197"/>
      <c r="AG2297" s="197"/>
      <c r="AH2297" s="197"/>
      <c r="AI2297" s="197"/>
      <c r="AJ2297" s="197"/>
      <c r="AK2297" s="197"/>
      <c r="AL2297" s="197"/>
      <c r="AM2297" s="197"/>
      <c r="AN2297" s="197"/>
      <c r="AO2297" s="197"/>
      <c r="AP2297" s="197"/>
      <c r="AQ2297" s="197"/>
      <c r="AR2297" s="197"/>
      <c r="AS2297" s="197"/>
      <c r="AT2297" s="197"/>
      <c r="AU2297" s="197"/>
      <c r="AV2297" s="197"/>
      <c r="AW2297" s="197"/>
    </row>
    <row r="2298" spans="28:49" s="196" customFormat="1">
      <c r="AB2298" s="201"/>
      <c r="AC2298" s="201"/>
      <c r="AD2298" s="197"/>
      <c r="AE2298" s="197"/>
      <c r="AF2298" s="197"/>
      <c r="AG2298" s="197"/>
      <c r="AH2298" s="197"/>
      <c r="AI2298" s="197"/>
      <c r="AJ2298" s="197"/>
      <c r="AK2298" s="197"/>
      <c r="AL2298" s="197"/>
      <c r="AM2298" s="197"/>
      <c r="AN2298" s="197"/>
      <c r="AO2298" s="197"/>
      <c r="AP2298" s="197"/>
      <c r="AQ2298" s="197"/>
      <c r="AR2298" s="197"/>
      <c r="AS2298" s="197"/>
      <c r="AT2298" s="197"/>
      <c r="AU2298" s="197"/>
      <c r="AV2298" s="197"/>
      <c r="AW2298" s="197"/>
    </row>
    <row r="2299" spans="28:49" s="196" customFormat="1">
      <c r="AB2299" s="201"/>
      <c r="AC2299" s="201"/>
      <c r="AD2299" s="197"/>
      <c r="AE2299" s="197"/>
      <c r="AF2299" s="197"/>
      <c r="AG2299" s="197"/>
      <c r="AH2299" s="197"/>
      <c r="AI2299" s="197"/>
      <c r="AJ2299" s="197"/>
      <c r="AK2299" s="197"/>
      <c r="AL2299" s="197"/>
      <c r="AM2299" s="197"/>
      <c r="AN2299" s="197"/>
      <c r="AO2299" s="197"/>
      <c r="AP2299" s="197"/>
      <c r="AQ2299" s="197"/>
      <c r="AR2299" s="197"/>
      <c r="AS2299" s="197"/>
      <c r="AT2299" s="197"/>
      <c r="AU2299" s="197"/>
      <c r="AV2299" s="197"/>
      <c r="AW2299" s="197"/>
    </row>
    <row r="2300" spans="28:49" s="196" customFormat="1">
      <c r="AB2300" s="201"/>
      <c r="AC2300" s="201"/>
      <c r="AD2300" s="197"/>
      <c r="AE2300" s="197"/>
      <c r="AF2300" s="197"/>
      <c r="AG2300" s="197"/>
      <c r="AH2300" s="197"/>
      <c r="AI2300" s="197"/>
      <c r="AJ2300" s="197"/>
      <c r="AK2300" s="197"/>
      <c r="AL2300" s="197"/>
      <c r="AM2300" s="197"/>
      <c r="AN2300" s="197"/>
      <c r="AO2300" s="197"/>
      <c r="AP2300" s="197"/>
      <c r="AQ2300" s="197"/>
      <c r="AR2300" s="197"/>
      <c r="AS2300" s="197"/>
      <c r="AT2300" s="197"/>
      <c r="AU2300" s="197"/>
      <c r="AV2300" s="197"/>
      <c r="AW2300" s="197"/>
    </row>
    <row r="2301" spans="28:49" s="196" customFormat="1">
      <c r="AB2301" s="201"/>
      <c r="AC2301" s="201"/>
      <c r="AD2301" s="197"/>
      <c r="AE2301" s="197"/>
      <c r="AF2301" s="197"/>
      <c r="AG2301" s="197"/>
      <c r="AH2301" s="197"/>
      <c r="AI2301" s="197"/>
      <c r="AJ2301" s="197"/>
      <c r="AK2301" s="197"/>
      <c r="AL2301" s="197"/>
      <c r="AM2301" s="197"/>
      <c r="AN2301" s="197"/>
      <c r="AO2301" s="197"/>
      <c r="AP2301" s="197"/>
      <c r="AQ2301" s="197"/>
      <c r="AR2301" s="197"/>
      <c r="AS2301" s="197"/>
      <c r="AT2301" s="197"/>
      <c r="AU2301" s="197"/>
      <c r="AV2301" s="197"/>
      <c r="AW2301" s="197"/>
    </row>
    <row r="2302" spans="28:49" s="196" customFormat="1">
      <c r="AB2302" s="201"/>
      <c r="AC2302" s="201"/>
      <c r="AD2302" s="197"/>
      <c r="AE2302" s="197"/>
      <c r="AF2302" s="197"/>
      <c r="AG2302" s="197"/>
      <c r="AH2302" s="197"/>
      <c r="AI2302" s="197"/>
      <c r="AJ2302" s="197"/>
      <c r="AK2302" s="197"/>
      <c r="AL2302" s="197"/>
      <c r="AM2302" s="197"/>
      <c r="AN2302" s="197"/>
      <c r="AO2302" s="197"/>
      <c r="AP2302" s="197"/>
      <c r="AQ2302" s="197"/>
      <c r="AR2302" s="197"/>
      <c r="AS2302" s="197"/>
      <c r="AT2302" s="197"/>
      <c r="AU2302" s="197"/>
      <c r="AV2302" s="197"/>
      <c r="AW2302" s="197"/>
    </row>
    <row r="2303" spans="28:49" s="196" customFormat="1">
      <c r="AB2303" s="201"/>
      <c r="AC2303" s="201"/>
      <c r="AD2303" s="197"/>
      <c r="AE2303" s="197"/>
      <c r="AF2303" s="197"/>
      <c r="AG2303" s="197"/>
      <c r="AH2303" s="197"/>
      <c r="AI2303" s="197"/>
      <c r="AJ2303" s="197"/>
      <c r="AK2303" s="197"/>
      <c r="AL2303" s="197"/>
      <c r="AM2303" s="197"/>
      <c r="AN2303" s="197"/>
      <c r="AO2303" s="197"/>
      <c r="AP2303" s="197"/>
      <c r="AQ2303" s="197"/>
      <c r="AR2303" s="197"/>
      <c r="AS2303" s="197"/>
      <c r="AT2303" s="197"/>
      <c r="AU2303" s="197"/>
      <c r="AV2303" s="197"/>
      <c r="AW2303" s="197"/>
    </row>
    <row r="2304" spans="28:49" s="196" customFormat="1">
      <c r="AB2304" s="201"/>
      <c r="AC2304" s="201"/>
      <c r="AD2304" s="197"/>
      <c r="AE2304" s="197"/>
      <c r="AF2304" s="197"/>
      <c r="AG2304" s="197"/>
      <c r="AH2304" s="197"/>
      <c r="AI2304" s="197"/>
      <c r="AJ2304" s="197"/>
      <c r="AK2304" s="197"/>
      <c r="AL2304" s="197"/>
      <c r="AM2304" s="197"/>
      <c r="AN2304" s="197"/>
      <c r="AO2304" s="197"/>
      <c r="AP2304" s="197"/>
      <c r="AQ2304" s="197"/>
      <c r="AR2304" s="197"/>
      <c r="AS2304" s="197"/>
      <c r="AT2304" s="197"/>
      <c r="AU2304" s="197"/>
      <c r="AV2304" s="197"/>
      <c r="AW2304" s="197"/>
    </row>
    <row r="2305" spans="28:49" s="196" customFormat="1">
      <c r="AB2305" s="201"/>
      <c r="AC2305" s="201"/>
      <c r="AD2305" s="197"/>
      <c r="AE2305" s="197"/>
      <c r="AF2305" s="197"/>
      <c r="AG2305" s="197"/>
      <c r="AH2305" s="197"/>
      <c r="AI2305" s="197"/>
      <c r="AJ2305" s="197"/>
      <c r="AK2305" s="197"/>
      <c r="AL2305" s="197"/>
      <c r="AM2305" s="197"/>
      <c r="AN2305" s="197"/>
      <c r="AO2305" s="197"/>
      <c r="AP2305" s="197"/>
      <c r="AQ2305" s="197"/>
      <c r="AR2305" s="197"/>
      <c r="AS2305" s="197"/>
      <c r="AT2305" s="197"/>
      <c r="AU2305" s="197"/>
      <c r="AV2305" s="197"/>
      <c r="AW2305" s="197"/>
    </row>
    <row r="2306" spans="28:49" s="196" customFormat="1">
      <c r="AB2306" s="201"/>
      <c r="AC2306" s="201"/>
      <c r="AD2306" s="197"/>
      <c r="AE2306" s="197"/>
      <c r="AF2306" s="197"/>
      <c r="AG2306" s="197"/>
      <c r="AH2306" s="197"/>
      <c r="AI2306" s="197"/>
      <c r="AJ2306" s="197"/>
      <c r="AK2306" s="197"/>
      <c r="AL2306" s="197"/>
      <c r="AM2306" s="197"/>
      <c r="AN2306" s="197"/>
      <c r="AO2306" s="197"/>
      <c r="AP2306" s="197"/>
      <c r="AQ2306" s="197"/>
      <c r="AR2306" s="197"/>
      <c r="AS2306" s="197"/>
      <c r="AT2306" s="197"/>
      <c r="AU2306" s="197"/>
      <c r="AV2306" s="197"/>
      <c r="AW2306" s="197"/>
    </row>
    <row r="2307" spans="28:49" s="196" customFormat="1">
      <c r="AB2307" s="201"/>
      <c r="AC2307" s="201"/>
      <c r="AD2307" s="197"/>
      <c r="AE2307" s="197"/>
      <c r="AF2307" s="197"/>
      <c r="AG2307" s="197"/>
      <c r="AH2307" s="197"/>
      <c r="AI2307" s="197"/>
      <c r="AJ2307" s="197"/>
      <c r="AK2307" s="197"/>
      <c r="AL2307" s="197"/>
      <c r="AM2307" s="197"/>
      <c r="AN2307" s="197"/>
      <c r="AO2307" s="197"/>
      <c r="AP2307" s="197"/>
      <c r="AQ2307" s="197"/>
      <c r="AR2307" s="197"/>
      <c r="AS2307" s="197"/>
      <c r="AT2307" s="197"/>
      <c r="AU2307" s="197"/>
      <c r="AV2307" s="197"/>
      <c r="AW2307" s="197"/>
    </row>
    <row r="2308" spans="28:49" s="196" customFormat="1">
      <c r="AB2308" s="201"/>
      <c r="AC2308" s="201"/>
      <c r="AD2308" s="197"/>
      <c r="AE2308" s="197"/>
      <c r="AF2308" s="197"/>
      <c r="AG2308" s="197"/>
      <c r="AH2308" s="197"/>
      <c r="AI2308" s="197"/>
      <c r="AJ2308" s="197"/>
      <c r="AK2308" s="197"/>
      <c r="AL2308" s="197"/>
      <c r="AM2308" s="197"/>
      <c r="AN2308" s="197"/>
      <c r="AO2308" s="197"/>
      <c r="AP2308" s="197"/>
      <c r="AQ2308" s="197"/>
      <c r="AR2308" s="197"/>
      <c r="AS2308" s="197"/>
      <c r="AT2308" s="197"/>
      <c r="AU2308" s="197"/>
      <c r="AV2308" s="197"/>
      <c r="AW2308" s="197"/>
    </row>
    <row r="2309" spans="28:49" s="196" customFormat="1">
      <c r="AB2309" s="201"/>
      <c r="AC2309" s="201"/>
      <c r="AD2309" s="197"/>
      <c r="AE2309" s="197"/>
      <c r="AF2309" s="197"/>
      <c r="AG2309" s="197"/>
      <c r="AH2309" s="197"/>
      <c r="AI2309" s="197"/>
      <c r="AJ2309" s="197"/>
      <c r="AK2309" s="197"/>
      <c r="AL2309" s="197"/>
      <c r="AM2309" s="197"/>
      <c r="AN2309" s="197"/>
      <c r="AO2309" s="197"/>
      <c r="AP2309" s="197"/>
      <c r="AQ2309" s="197"/>
      <c r="AR2309" s="197"/>
      <c r="AS2309" s="197"/>
      <c r="AT2309" s="197"/>
      <c r="AU2309" s="197"/>
      <c r="AV2309" s="197"/>
      <c r="AW2309" s="197"/>
    </row>
    <row r="2310" spans="28:49" s="196" customFormat="1">
      <c r="AB2310" s="201"/>
      <c r="AC2310" s="201"/>
      <c r="AD2310" s="197"/>
      <c r="AE2310" s="197"/>
      <c r="AF2310" s="197"/>
      <c r="AG2310" s="197"/>
      <c r="AH2310" s="197"/>
      <c r="AI2310" s="197"/>
      <c r="AJ2310" s="197"/>
      <c r="AK2310" s="197"/>
      <c r="AL2310" s="197"/>
      <c r="AM2310" s="197"/>
      <c r="AN2310" s="197"/>
      <c r="AO2310" s="197"/>
      <c r="AP2310" s="197"/>
      <c r="AQ2310" s="197"/>
      <c r="AR2310" s="197"/>
      <c r="AS2310" s="197"/>
      <c r="AT2310" s="197"/>
      <c r="AU2310" s="197"/>
      <c r="AV2310" s="197"/>
      <c r="AW2310" s="197"/>
    </row>
    <row r="2311" spans="28:49" s="196" customFormat="1">
      <c r="AB2311" s="201"/>
      <c r="AC2311" s="201"/>
      <c r="AD2311" s="197"/>
      <c r="AE2311" s="197"/>
      <c r="AF2311" s="197"/>
      <c r="AG2311" s="197"/>
      <c r="AH2311" s="197"/>
      <c r="AI2311" s="197"/>
      <c r="AJ2311" s="197"/>
      <c r="AK2311" s="197"/>
      <c r="AL2311" s="197"/>
      <c r="AM2311" s="197"/>
      <c r="AN2311" s="197"/>
      <c r="AO2311" s="197"/>
      <c r="AP2311" s="197"/>
      <c r="AQ2311" s="197"/>
      <c r="AR2311" s="197"/>
      <c r="AS2311" s="197"/>
      <c r="AT2311" s="197"/>
      <c r="AU2311" s="197"/>
      <c r="AV2311" s="197"/>
      <c r="AW2311" s="197"/>
    </row>
    <row r="2312" spans="28:49" s="196" customFormat="1">
      <c r="AB2312" s="201"/>
      <c r="AC2312" s="201"/>
      <c r="AD2312" s="197"/>
      <c r="AE2312" s="197"/>
      <c r="AF2312" s="197"/>
      <c r="AG2312" s="197"/>
      <c r="AH2312" s="197"/>
      <c r="AI2312" s="197"/>
      <c r="AJ2312" s="197"/>
      <c r="AK2312" s="197"/>
      <c r="AL2312" s="197"/>
      <c r="AM2312" s="197"/>
      <c r="AN2312" s="197"/>
      <c r="AO2312" s="197"/>
      <c r="AP2312" s="197"/>
      <c r="AQ2312" s="197"/>
      <c r="AR2312" s="197"/>
      <c r="AS2312" s="197"/>
      <c r="AT2312" s="197"/>
      <c r="AU2312" s="197"/>
      <c r="AV2312" s="197"/>
      <c r="AW2312" s="197"/>
    </row>
    <row r="2313" spans="28:49" s="196" customFormat="1">
      <c r="AB2313" s="201"/>
      <c r="AC2313" s="201"/>
      <c r="AD2313" s="197"/>
      <c r="AE2313" s="197"/>
      <c r="AF2313" s="197"/>
      <c r="AG2313" s="197"/>
      <c r="AH2313" s="197"/>
      <c r="AI2313" s="197"/>
      <c r="AJ2313" s="197"/>
      <c r="AK2313" s="197"/>
      <c r="AL2313" s="197"/>
      <c r="AM2313" s="197"/>
      <c r="AN2313" s="197"/>
      <c r="AO2313" s="197"/>
      <c r="AP2313" s="197"/>
      <c r="AQ2313" s="197"/>
      <c r="AR2313" s="197"/>
      <c r="AS2313" s="197"/>
      <c r="AT2313" s="197"/>
      <c r="AU2313" s="197"/>
      <c r="AV2313" s="197"/>
      <c r="AW2313" s="197"/>
    </row>
    <row r="2314" spans="28:49" s="196" customFormat="1">
      <c r="AB2314" s="201"/>
      <c r="AC2314" s="201"/>
      <c r="AD2314" s="197"/>
      <c r="AE2314" s="197"/>
      <c r="AF2314" s="197"/>
      <c r="AG2314" s="197"/>
      <c r="AH2314" s="197"/>
      <c r="AI2314" s="197"/>
      <c r="AJ2314" s="197"/>
      <c r="AK2314" s="197"/>
      <c r="AL2314" s="197"/>
      <c r="AM2314" s="197"/>
      <c r="AN2314" s="197"/>
      <c r="AO2314" s="197"/>
      <c r="AP2314" s="197"/>
      <c r="AQ2314" s="197"/>
      <c r="AR2314" s="197"/>
      <c r="AS2314" s="197"/>
      <c r="AT2314" s="197"/>
      <c r="AU2314" s="197"/>
      <c r="AV2314" s="197"/>
      <c r="AW2314" s="197"/>
    </row>
    <row r="2315" spans="28:49" s="196" customFormat="1">
      <c r="AB2315" s="201"/>
      <c r="AC2315" s="201"/>
      <c r="AD2315" s="197"/>
      <c r="AE2315" s="197"/>
      <c r="AF2315" s="197"/>
      <c r="AG2315" s="197"/>
      <c r="AH2315" s="197"/>
      <c r="AI2315" s="197"/>
      <c r="AJ2315" s="197"/>
      <c r="AK2315" s="197"/>
      <c r="AL2315" s="197"/>
      <c r="AM2315" s="197"/>
      <c r="AN2315" s="197"/>
      <c r="AO2315" s="197"/>
      <c r="AP2315" s="197"/>
      <c r="AQ2315" s="197"/>
      <c r="AR2315" s="197"/>
      <c r="AS2315" s="197"/>
      <c r="AT2315" s="197"/>
      <c r="AU2315" s="197"/>
      <c r="AV2315" s="197"/>
      <c r="AW2315" s="197"/>
    </row>
    <row r="2316" spans="28:49" s="196" customFormat="1">
      <c r="AB2316" s="201"/>
      <c r="AC2316" s="201"/>
      <c r="AD2316" s="197"/>
      <c r="AE2316" s="197"/>
      <c r="AF2316" s="197"/>
      <c r="AG2316" s="197"/>
      <c r="AH2316" s="197"/>
      <c r="AI2316" s="197"/>
      <c r="AJ2316" s="197"/>
      <c r="AK2316" s="197"/>
      <c r="AL2316" s="197"/>
      <c r="AM2316" s="197"/>
      <c r="AN2316" s="197"/>
      <c r="AO2316" s="197"/>
      <c r="AP2316" s="197"/>
      <c r="AQ2316" s="197"/>
      <c r="AR2316" s="197"/>
      <c r="AS2316" s="197"/>
      <c r="AT2316" s="197"/>
      <c r="AU2316" s="197"/>
      <c r="AV2316" s="197"/>
      <c r="AW2316" s="197"/>
    </row>
    <row r="2317" spans="28:49" s="196" customFormat="1">
      <c r="AB2317" s="201"/>
      <c r="AC2317" s="201"/>
      <c r="AD2317" s="197"/>
      <c r="AE2317" s="197"/>
      <c r="AF2317" s="197"/>
      <c r="AG2317" s="197"/>
      <c r="AH2317" s="197"/>
      <c r="AI2317" s="197"/>
      <c r="AJ2317" s="197"/>
      <c r="AK2317" s="197"/>
      <c r="AL2317" s="197"/>
      <c r="AM2317" s="197"/>
      <c r="AN2317" s="197"/>
      <c r="AO2317" s="197"/>
      <c r="AP2317" s="197"/>
      <c r="AQ2317" s="197"/>
      <c r="AR2317" s="197"/>
      <c r="AS2317" s="197"/>
      <c r="AT2317" s="197"/>
      <c r="AU2317" s="197"/>
      <c r="AV2317" s="197"/>
      <c r="AW2317" s="197"/>
    </row>
    <row r="2318" spans="28:49" s="196" customFormat="1">
      <c r="AB2318" s="201"/>
      <c r="AC2318" s="201"/>
      <c r="AD2318" s="197"/>
      <c r="AE2318" s="197"/>
      <c r="AF2318" s="197"/>
      <c r="AG2318" s="197"/>
      <c r="AH2318" s="197"/>
      <c r="AI2318" s="197"/>
      <c r="AJ2318" s="197"/>
      <c r="AK2318" s="197"/>
      <c r="AL2318" s="197"/>
      <c r="AM2318" s="197"/>
      <c r="AN2318" s="197"/>
      <c r="AO2318" s="197"/>
      <c r="AP2318" s="197"/>
      <c r="AQ2318" s="197"/>
      <c r="AR2318" s="197"/>
      <c r="AS2318" s="197"/>
      <c r="AT2318" s="197"/>
      <c r="AU2318" s="197"/>
      <c r="AV2318" s="197"/>
      <c r="AW2318" s="197"/>
    </row>
    <row r="2319" spans="28:49" s="196" customFormat="1">
      <c r="AB2319" s="201"/>
      <c r="AC2319" s="201"/>
      <c r="AD2319" s="197"/>
      <c r="AE2319" s="197"/>
      <c r="AF2319" s="197"/>
      <c r="AG2319" s="197"/>
      <c r="AH2319" s="197"/>
      <c r="AI2319" s="197"/>
      <c r="AJ2319" s="197"/>
      <c r="AK2319" s="197"/>
      <c r="AL2319" s="197"/>
      <c r="AM2319" s="197"/>
      <c r="AN2319" s="197"/>
      <c r="AO2319" s="197"/>
      <c r="AP2319" s="197"/>
      <c r="AQ2319" s="197"/>
      <c r="AR2319" s="197"/>
      <c r="AS2319" s="197"/>
      <c r="AT2319" s="197"/>
      <c r="AU2319" s="197"/>
      <c r="AV2319" s="197"/>
      <c r="AW2319" s="197"/>
    </row>
    <row r="2320" spans="28:49" s="196" customFormat="1">
      <c r="AB2320" s="201"/>
      <c r="AC2320" s="201"/>
      <c r="AD2320" s="197"/>
      <c r="AE2320" s="197"/>
      <c r="AF2320" s="197"/>
      <c r="AG2320" s="197"/>
      <c r="AH2320" s="197"/>
      <c r="AI2320" s="197"/>
      <c r="AJ2320" s="197"/>
      <c r="AK2320" s="197"/>
      <c r="AL2320" s="197"/>
      <c r="AM2320" s="197"/>
      <c r="AN2320" s="197"/>
      <c r="AO2320" s="197"/>
      <c r="AP2320" s="197"/>
      <c r="AQ2320" s="197"/>
      <c r="AR2320" s="197"/>
      <c r="AS2320" s="197"/>
      <c r="AT2320" s="197"/>
      <c r="AU2320" s="197"/>
      <c r="AV2320" s="197"/>
      <c r="AW2320" s="197"/>
    </row>
    <row r="2321" spans="28:49" s="196" customFormat="1">
      <c r="AB2321" s="201"/>
      <c r="AC2321" s="201"/>
      <c r="AD2321" s="197"/>
      <c r="AE2321" s="197"/>
      <c r="AF2321" s="197"/>
      <c r="AG2321" s="197"/>
      <c r="AH2321" s="197"/>
      <c r="AI2321" s="197"/>
      <c r="AJ2321" s="197"/>
      <c r="AK2321" s="197"/>
      <c r="AL2321" s="197"/>
      <c r="AM2321" s="197"/>
      <c r="AN2321" s="197"/>
      <c r="AO2321" s="197"/>
      <c r="AP2321" s="197"/>
      <c r="AQ2321" s="197"/>
      <c r="AR2321" s="197"/>
      <c r="AS2321" s="197"/>
      <c r="AT2321" s="197"/>
      <c r="AU2321" s="197"/>
      <c r="AV2321" s="197"/>
      <c r="AW2321" s="197"/>
    </row>
    <row r="2322" spans="28:49" s="196" customFormat="1">
      <c r="AB2322" s="201"/>
      <c r="AC2322" s="201"/>
      <c r="AD2322" s="197"/>
      <c r="AE2322" s="197"/>
      <c r="AF2322" s="197"/>
      <c r="AG2322" s="197"/>
      <c r="AH2322" s="197"/>
      <c r="AI2322" s="197"/>
      <c r="AJ2322" s="197"/>
      <c r="AK2322" s="197"/>
      <c r="AL2322" s="197"/>
      <c r="AM2322" s="197"/>
      <c r="AN2322" s="197"/>
      <c r="AO2322" s="197"/>
      <c r="AP2322" s="197"/>
      <c r="AQ2322" s="197"/>
      <c r="AR2322" s="197"/>
      <c r="AS2322" s="197"/>
      <c r="AT2322" s="197"/>
      <c r="AU2322" s="197"/>
      <c r="AV2322" s="197"/>
      <c r="AW2322" s="197"/>
    </row>
    <row r="2323" spans="28:49" s="196" customFormat="1">
      <c r="AB2323" s="201"/>
      <c r="AC2323" s="201"/>
      <c r="AD2323" s="197"/>
      <c r="AE2323" s="197"/>
      <c r="AF2323" s="197"/>
      <c r="AG2323" s="197"/>
      <c r="AH2323" s="197"/>
      <c r="AI2323" s="197"/>
      <c r="AJ2323" s="197"/>
      <c r="AK2323" s="197"/>
      <c r="AL2323" s="197"/>
      <c r="AM2323" s="197"/>
      <c r="AN2323" s="197"/>
      <c r="AO2323" s="197"/>
      <c r="AP2323" s="197"/>
      <c r="AQ2323" s="197"/>
      <c r="AR2323" s="197"/>
      <c r="AS2323" s="197"/>
      <c r="AT2323" s="197"/>
      <c r="AU2323" s="197"/>
      <c r="AV2323" s="197"/>
      <c r="AW2323" s="197"/>
    </row>
    <row r="2324" spans="28:49" s="196" customFormat="1">
      <c r="AB2324" s="201"/>
      <c r="AC2324" s="201"/>
      <c r="AD2324" s="197"/>
      <c r="AE2324" s="197"/>
      <c r="AF2324" s="197"/>
      <c r="AG2324" s="197"/>
      <c r="AH2324" s="197"/>
      <c r="AI2324" s="197"/>
      <c r="AJ2324" s="197"/>
      <c r="AK2324" s="197"/>
      <c r="AL2324" s="197"/>
      <c r="AM2324" s="197"/>
      <c r="AN2324" s="197"/>
      <c r="AO2324" s="197"/>
      <c r="AP2324" s="197"/>
      <c r="AQ2324" s="197"/>
      <c r="AR2324" s="197"/>
      <c r="AS2324" s="197"/>
      <c r="AT2324" s="197"/>
      <c r="AU2324" s="197"/>
      <c r="AV2324" s="197"/>
      <c r="AW2324" s="197"/>
    </row>
    <row r="2325" spans="28:49" s="196" customFormat="1">
      <c r="AB2325" s="201"/>
      <c r="AC2325" s="201"/>
      <c r="AD2325" s="197"/>
      <c r="AE2325" s="197"/>
      <c r="AF2325" s="197"/>
      <c r="AG2325" s="197"/>
      <c r="AH2325" s="197"/>
      <c r="AI2325" s="197"/>
      <c r="AJ2325" s="197"/>
      <c r="AK2325" s="197"/>
      <c r="AL2325" s="197"/>
      <c r="AM2325" s="197"/>
      <c r="AN2325" s="197"/>
      <c r="AO2325" s="197"/>
      <c r="AP2325" s="197"/>
      <c r="AQ2325" s="197"/>
      <c r="AR2325" s="197"/>
      <c r="AS2325" s="197"/>
      <c r="AT2325" s="197"/>
      <c r="AU2325" s="197"/>
      <c r="AV2325" s="197"/>
      <c r="AW2325" s="197"/>
    </row>
    <row r="2326" spans="28:49" s="196" customFormat="1">
      <c r="AB2326" s="201"/>
      <c r="AC2326" s="201"/>
      <c r="AD2326" s="197"/>
      <c r="AE2326" s="197"/>
      <c r="AF2326" s="197"/>
      <c r="AG2326" s="197"/>
      <c r="AH2326" s="197"/>
      <c r="AI2326" s="197"/>
      <c r="AJ2326" s="197"/>
      <c r="AK2326" s="197"/>
      <c r="AL2326" s="197"/>
      <c r="AM2326" s="197"/>
      <c r="AN2326" s="197"/>
      <c r="AO2326" s="197"/>
      <c r="AP2326" s="197"/>
      <c r="AQ2326" s="197"/>
      <c r="AR2326" s="197"/>
      <c r="AS2326" s="197"/>
      <c r="AT2326" s="197"/>
      <c r="AU2326" s="197"/>
      <c r="AV2326" s="197"/>
      <c r="AW2326" s="197"/>
    </row>
    <row r="2327" spans="28:49" s="196" customFormat="1">
      <c r="AB2327" s="201"/>
      <c r="AC2327" s="201"/>
      <c r="AD2327" s="197"/>
      <c r="AE2327" s="197"/>
      <c r="AF2327" s="197"/>
      <c r="AG2327" s="197"/>
      <c r="AH2327" s="197"/>
      <c r="AI2327" s="197"/>
      <c r="AJ2327" s="197"/>
      <c r="AK2327" s="197"/>
      <c r="AL2327" s="197"/>
      <c r="AM2327" s="197"/>
      <c r="AN2327" s="197"/>
      <c r="AO2327" s="197"/>
      <c r="AP2327" s="197"/>
      <c r="AQ2327" s="197"/>
      <c r="AR2327" s="197"/>
      <c r="AS2327" s="197"/>
      <c r="AT2327" s="197"/>
      <c r="AU2327" s="197"/>
      <c r="AV2327" s="197"/>
      <c r="AW2327" s="197"/>
    </row>
    <row r="2328" spans="28:49" s="196" customFormat="1">
      <c r="AB2328" s="201"/>
      <c r="AC2328" s="201"/>
      <c r="AD2328" s="197"/>
      <c r="AE2328" s="197"/>
      <c r="AF2328" s="197"/>
      <c r="AG2328" s="197"/>
      <c r="AH2328" s="197"/>
      <c r="AI2328" s="197"/>
      <c r="AJ2328" s="197"/>
      <c r="AK2328" s="197"/>
      <c r="AL2328" s="197"/>
      <c r="AM2328" s="197"/>
      <c r="AN2328" s="197"/>
      <c r="AO2328" s="197"/>
      <c r="AP2328" s="197"/>
      <c r="AQ2328" s="197"/>
      <c r="AR2328" s="197"/>
      <c r="AS2328" s="197"/>
      <c r="AT2328" s="197"/>
      <c r="AU2328" s="197"/>
      <c r="AV2328" s="197"/>
      <c r="AW2328" s="197"/>
    </row>
    <row r="2329" spans="28:49" s="196" customFormat="1">
      <c r="AB2329" s="201"/>
      <c r="AC2329" s="201"/>
      <c r="AD2329" s="197"/>
      <c r="AE2329" s="197"/>
      <c r="AF2329" s="197"/>
      <c r="AG2329" s="197"/>
      <c r="AH2329" s="197"/>
      <c r="AI2329" s="197"/>
      <c r="AJ2329" s="197"/>
      <c r="AK2329" s="197"/>
      <c r="AL2329" s="197"/>
      <c r="AM2329" s="197"/>
      <c r="AN2329" s="197"/>
      <c r="AO2329" s="197"/>
      <c r="AP2329" s="197"/>
      <c r="AQ2329" s="197"/>
      <c r="AR2329" s="197"/>
      <c r="AS2329" s="197"/>
      <c r="AT2329" s="197"/>
      <c r="AU2329" s="197"/>
      <c r="AV2329" s="197"/>
      <c r="AW2329" s="197"/>
    </row>
    <row r="2330" spans="28:49" s="196" customFormat="1">
      <c r="AB2330" s="201"/>
      <c r="AC2330" s="201"/>
      <c r="AD2330" s="197"/>
      <c r="AE2330" s="197"/>
      <c r="AF2330" s="197"/>
      <c r="AG2330" s="197"/>
      <c r="AH2330" s="197"/>
      <c r="AI2330" s="197"/>
      <c r="AJ2330" s="197"/>
      <c r="AK2330" s="197"/>
      <c r="AL2330" s="197"/>
      <c r="AM2330" s="197"/>
      <c r="AN2330" s="197"/>
      <c r="AO2330" s="197"/>
      <c r="AP2330" s="197"/>
      <c r="AQ2330" s="197"/>
      <c r="AR2330" s="197"/>
      <c r="AS2330" s="197"/>
      <c r="AT2330" s="197"/>
      <c r="AU2330" s="197"/>
      <c r="AV2330" s="197"/>
      <c r="AW2330" s="197"/>
    </row>
    <row r="2331" spans="28:49" s="196" customFormat="1">
      <c r="AB2331" s="201"/>
      <c r="AC2331" s="201"/>
      <c r="AD2331" s="197"/>
      <c r="AE2331" s="197"/>
      <c r="AF2331" s="197"/>
      <c r="AG2331" s="197"/>
      <c r="AH2331" s="197"/>
      <c r="AI2331" s="197"/>
      <c r="AJ2331" s="197"/>
      <c r="AK2331" s="197"/>
      <c r="AL2331" s="197"/>
      <c r="AM2331" s="197"/>
      <c r="AN2331" s="197"/>
      <c r="AO2331" s="197"/>
      <c r="AP2331" s="197"/>
      <c r="AQ2331" s="197"/>
      <c r="AR2331" s="197"/>
      <c r="AS2331" s="197"/>
      <c r="AT2331" s="197"/>
      <c r="AU2331" s="197"/>
      <c r="AV2331" s="197"/>
      <c r="AW2331" s="197"/>
    </row>
    <row r="2332" spans="28:49" s="196" customFormat="1">
      <c r="AB2332" s="201"/>
      <c r="AC2332" s="201"/>
      <c r="AD2332" s="197"/>
      <c r="AE2332" s="197"/>
      <c r="AF2332" s="197"/>
      <c r="AG2332" s="197"/>
      <c r="AH2332" s="197"/>
      <c r="AI2332" s="197"/>
      <c r="AJ2332" s="197"/>
      <c r="AK2332" s="197"/>
      <c r="AL2332" s="197"/>
      <c r="AM2332" s="197"/>
      <c r="AN2332" s="197"/>
      <c r="AO2332" s="197"/>
      <c r="AP2332" s="197"/>
      <c r="AQ2332" s="197"/>
      <c r="AR2332" s="197"/>
      <c r="AS2332" s="197"/>
      <c r="AT2332" s="197"/>
      <c r="AU2332" s="197"/>
      <c r="AV2332" s="197"/>
      <c r="AW2332" s="197"/>
    </row>
    <row r="2333" spans="28:49" s="196" customFormat="1">
      <c r="AB2333" s="201"/>
      <c r="AC2333" s="201"/>
      <c r="AD2333" s="197"/>
      <c r="AE2333" s="197"/>
      <c r="AF2333" s="197"/>
      <c r="AG2333" s="197"/>
      <c r="AH2333" s="197"/>
      <c r="AI2333" s="197"/>
      <c r="AJ2333" s="197"/>
      <c r="AK2333" s="197"/>
      <c r="AL2333" s="197"/>
      <c r="AM2333" s="197"/>
      <c r="AN2333" s="197"/>
      <c r="AO2333" s="197"/>
      <c r="AP2333" s="197"/>
      <c r="AQ2333" s="197"/>
      <c r="AR2333" s="197"/>
      <c r="AS2333" s="197"/>
      <c r="AT2333" s="197"/>
      <c r="AU2333" s="197"/>
      <c r="AV2333" s="197"/>
      <c r="AW2333" s="197"/>
    </row>
    <row r="2334" spans="28:49" s="196" customFormat="1">
      <c r="AB2334" s="201"/>
      <c r="AC2334" s="201"/>
      <c r="AD2334" s="197"/>
      <c r="AE2334" s="197"/>
      <c r="AF2334" s="197"/>
      <c r="AG2334" s="197"/>
      <c r="AH2334" s="197"/>
      <c r="AI2334" s="197"/>
      <c r="AJ2334" s="197"/>
      <c r="AK2334" s="197"/>
      <c r="AL2334" s="197"/>
      <c r="AM2334" s="197"/>
      <c r="AN2334" s="197"/>
      <c r="AO2334" s="197"/>
      <c r="AP2334" s="197"/>
      <c r="AQ2334" s="197"/>
      <c r="AR2334" s="197"/>
      <c r="AS2334" s="197"/>
      <c r="AT2334" s="197"/>
      <c r="AU2334" s="197"/>
      <c r="AV2334" s="197"/>
      <c r="AW2334" s="197"/>
    </row>
    <row r="2335" spans="28:49" s="196" customFormat="1">
      <c r="AB2335" s="201"/>
      <c r="AC2335" s="201"/>
      <c r="AD2335" s="197"/>
      <c r="AE2335" s="197"/>
      <c r="AF2335" s="197"/>
      <c r="AG2335" s="197"/>
      <c r="AH2335" s="197"/>
      <c r="AI2335" s="197"/>
      <c r="AJ2335" s="197"/>
      <c r="AK2335" s="197"/>
      <c r="AL2335" s="197"/>
      <c r="AM2335" s="197"/>
      <c r="AN2335" s="197"/>
      <c r="AO2335" s="197"/>
      <c r="AP2335" s="197"/>
      <c r="AQ2335" s="197"/>
      <c r="AR2335" s="197"/>
      <c r="AS2335" s="197"/>
      <c r="AT2335" s="197"/>
      <c r="AU2335" s="197"/>
      <c r="AV2335" s="197"/>
      <c r="AW2335" s="197"/>
    </row>
    <row r="2336" spans="28:49" s="196" customFormat="1">
      <c r="AB2336" s="201"/>
      <c r="AC2336" s="201"/>
      <c r="AD2336" s="197"/>
      <c r="AE2336" s="197"/>
      <c r="AF2336" s="197"/>
      <c r="AG2336" s="197"/>
      <c r="AH2336" s="197"/>
      <c r="AI2336" s="197"/>
      <c r="AJ2336" s="197"/>
      <c r="AK2336" s="197"/>
      <c r="AL2336" s="197"/>
      <c r="AM2336" s="197"/>
      <c r="AN2336" s="197"/>
      <c r="AO2336" s="197"/>
      <c r="AP2336" s="197"/>
      <c r="AQ2336" s="197"/>
      <c r="AR2336" s="197"/>
      <c r="AS2336" s="197"/>
      <c r="AT2336" s="197"/>
      <c r="AU2336" s="197"/>
      <c r="AV2336" s="197"/>
      <c r="AW2336" s="197"/>
    </row>
    <row r="2337" spans="28:49" s="196" customFormat="1">
      <c r="AB2337" s="201"/>
      <c r="AC2337" s="201"/>
      <c r="AD2337" s="197"/>
      <c r="AE2337" s="197"/>
      <c r="AF2337" s="197"/>
      <c r="AG2337" s="197"/>
      <c r="AH2337" s="197"/>
      <c r="AI2337" s="197"/>
      <c r="AJ2337" s="197"/>
      <c r="AK2337" s="197"/>
      <c r="AL2337" s="197"/>
      <c r="AM2337" s="197"/>
      <c r="AN2337" s="197"/>
      <c r="AO2337" s="197"/>
      <c r="AP2337" s="197"/>
      <c r="AQ2337" s="197"/>
      <c r="AR2337" s="197"/>
      <c r="AS2337" s="197"/>
      <c r="AT2337" s="197"/>
      <c r="AU2337" s="197"/>
      <c r="AV2337" s="197"/>
      <c r="AW2337" s="197"/>
    </row>
    <row r="2338" spans="28:49" s="196" customFormat="1">
      <c r="AB2338" s="201"/>
      <c r="AC2338" s="201"/>
      <c r="AD2338" s="197"/>
      <c r="AE2338" s="197"/>
      <c r="AF2338" s="197"/>
      <c r="AG2338" s="197"/>
      <c r="AH2338" s="197"/>
      <c r="AI2338" s="197"/>
      <c r="AJ2338" s="197"/>
      <c r="AK2338" s="197"/>
      <c r="AL2338" s="197"/>
      <c r="AM2338" s="197"/>
      <c r="AN2338" s="197"/>
      <c r="AO2338" s="197"/>
      <c r="AP2338" s="197"/>
      <c r="AQ2338" s="197"/>
      <c r="AR2338" s="197"/>
      <c r="AS2338" s="197"/>
      <c r="AT2338" s="197"/>
      <c r="AU2338" s="197"/>
      <c r="AV2338" s="197"/>
      <c r="AW2338" s="197"/>
    </row>
    <row r="2339" spans="28:49" s="196" customFormat="1">
      <c r="AB2339" s="201"/>
      <c r="AC2339" s="201"/>
      <c r="AD2339" s="197"/>
      <c r="AE2339" s="197"/>
      <c r="AF2339" s="197"/>
      <c r="AG2339" s="197"/>
      <c r="AH2339" s="197"/>
      <c r="AI2339" s="197"/>
      <c r="AJ2339" s="197"/>
      <c r="AK2339" s="197"/>
      <c r="AL2339" s="197"/>
      <c r="AM2339" s="197"/>
      <c r="AN2339" s="197"/>
      <c r="AO2339" s="197"/>
      <c r="AP2339" s="197"/>
      <c r="AQ2339" s="197"/>
      <c r="AR2339" s="197"/>
      <c r="AS2339" s="197"/>
      <c r="AT2339" s="197"/>
      <c r="AU2339" s="197"/>
      <c r="AV2339" s="197"/>
      <c r="AW2339" s="197"/>
    </row>
    <row r="2340" spans="28:49" s="196" customFormat="1">
      <c r="AB2340" s="201"/>
      <c r="AC2340" s="201"/>
      <c r="AD2340" s="197"/>
      <c r="AE2340" s="197"/>
      <c r="AF2340" s="197"/>
      <c r="AG2340" s="197"/>
      <c r="AH2340" s="197"/>
      <c r="AI2340" s="197"/>
      <c r="AJ2340" s="197"/>
      <c r="AK2340" s="197"/>
      <c r="AL2340" s="197"/>
      <c r="AM2340" s="197"/>
      <c r="AN2340" s="197"/>
      <c r="AO2340" s="197"/>
      <c r="AP2340" s="197"/>
      <c r="AQ2340" s="197"/>
      <c r="AR2340" s="197"/>
      <c r="AS2340" s="197"/>
      <c r="AT2340" s="197"/>
      <c r="AU2340" s="197"/>
      <c r="AV2340" s="197"/>
      <c r="AW2340" s="197"/>
    </row>
    <row r="2341" spans="28:49" s="196" customFormat="1">
      <c r="AB2341" s="201"/>
      <c r="AC2341" s="201"/>
      <c r="AD2341" s="197"/>
      <c r="AE2341" s="197"/>
      <c r="AF2341" s="197"/>
      <c r="AG2341" s="197"/>
      <c r="AH2341" s="197"/>
      <c r="AI2341" s="197"/>
      <c r="AJ2341" s="197"/>
      <c r="AK2341" s="197"/>
      <c r="AL2341" s="197"/>
      <c r="AM2341" s="197"/>
      <c r="AN2341" s="197"/>
      <c r="AO2341" s="197"/>
      <c r="AP2341" s="197"/>
      <c r="AQ2341" s="197"/>
      <c r="AR2341" s="197"/>
      <c r="AS2341" s="197"/>
      <c r="AT2341" s="197"/>
      <c r="AU2341" s="197"/>
      <c r="AV2341" s="197"/>
      <c r="AW2341" s="197"/>
    </row>
    <row r="2342" spans="28:49" s="196" customFormat="1">
      <c r="AB2342" s="201"/>
      <c r="AC2342" s="201"/>
      <c r="AD2342" s="197"/>
      <c r="AE2342" s="197"/>
      <c r="AF2342" s="197"/>
      <c r="AG2342" s="197"/>
      <c r="AH2342" s="197"/>
      <c r="AI2342" s="197"/>
      <c r="AJ2342" s="197"/>
      <c r="AK2342" s="197"/>
      <c r="AL2342" s="197"/>
      <c r="AM2342" s="197"/>
      <c r="AN2342" s="197"/>
      <c r="AO2342" s="197"/>
      <c r="AP2342" s="197"/>
      <c r="AQ2342" s="197"/>
      <c r="AR2342" s="197"/>
      <c r="AS2342" s="197"/>
      <c r="AT2342" s="197"/>
      <c r="AU2342" s="197"/>
      <c r="AV2342" s="197"/>
      <c r="AW2342" s="197"/>
    </row>
    <row r="2343" spans="28:49" s="196" customFormat="1">
      <c r="AB2343" s="201"/>
      <c r="AC2343" s="201"/>
      <c r="AD2343" s="197"/>
      <c r="AE2343" s="197"/>
      <c r="AF2343" s="197"/>
      <c r="AG2343" s="197"/>
      <c r="AH2343" s="197"/>
      <c r="AI2343" s="197"/>
      <c r="AJ2343" s="197"/>
      <c r="AK2343" s="197"/>
      <c r="AL2343" s="197"/>
      <c r="AM2343" s="197"/>
      <c r="AN2343" s="197"/>
      <c r="AO2343" s="197"/>
      <c r="AP2343" s="197"/>
      <c r="AQ2343" s="197"/>
      <c r="AR2343" s="197"/>
      <c r="AS2343" s="197"/>
      <c r="AT2343" s="197"/>
      <c r="AU2343" s="197"/>
      <c r="AV2343" s="197"/>
      <c r="AW2343" s="197"/>
    </row>
    <row r="2344" spans="28:49" s="196" customFormat="1">
      <c r="AB2344" s="201"/>
      <c r="AC2344" s="201"/>
      <c r="AD2344" s="197"/>
      <c r="AE2344" s="197"/>
      <c r="AF2344" s="197"/>
      <c r="AG2344" s="197"/>
      <c r="AH2344" s="197"/>
      <c r="AI2344" s="197"/>
      <c r="AJ2344" s="197"/>
      <c r="AK2344" s="197"/>
      <c r="AL2344" s="197"/>
      <c r="AM2344" s="197"/>
      <c r="AN2344" s="197"/>
      <c r="AO2344" s="197"/>
      <c r="AP2344" s="197"/>
      <c r="AQ2344" s="197"/>
      <c r="AR2344" s="197"/>
      <c r="AS2344" s="197"/>
      <c r="AT2344" s="197"/>
      <c r="AU2344" s="197"/>
      <c r="AV2344" s="197"/>
      <c r="AW2344" s="197"/>
    </row>
    <row r="2345" spans="28:49" s="196" customFormat="1">
      <c r="AB2345" s="201"/>
      <c r="AC2345" s="201"/>
      <c r="AD2345" s="197"/>
      <c r="AE2345" s="197"/>
      <c r="AF2345" s="197"/>
      <c r="AG2345" s="197"/>
      <c r="AH2345" s="197"/>
      <c r="AI2345" s="197"/>
      <c r="AJ2345" s="197"/>
      <c r="AK2345" s="197"/>
      <c r="AL2345" s="197"/>
      <c r="AM2345" s="197"/>
      <c r="AN2345" s="197"/>
      <c r="AO2345" s="197"/>
      <c r="AP2345" s="197"/>
      <c r="AQ2345" s="197"/>
      <c r="AR2345" s="197"/>
      <c r="AS2345" s="197"/>
      <c r="AT2345" s="197"/>
      <c r="AU2345" s="197"/>
      <c r="AV2345" s="197"/>
      <c r="AW2345" s="197"/>
    </row>
    <row r="2346" spans="28:49" s="196" customFormat="1">
      <c r="AB2346" s="201"/>
      <c r="AC2346" s="201"/>
      <c r="AD2346" s="197"/>
      <c r="AE2346" s="197"/>
      <c r="AF2346" s="197"/>
      <c r="AG2346" s="197"/>
      <c r="AH2346" s="197"/>
      <c r="AI2346" s="197"/>
      <c r="AJ2346" s="197"/>
      <c r="AK2346" s="197"/>
      <c r="AL2346" s="197"/>
      <c r="AM2346" s="197"/>
      <c r="AN2346" s="197"/>
      <c r="AO2346" s="197"/>
      <c r="AP2346" s="197"/>
      <c r="AQ2346" s="197"/>
      <c r="AR2346" s="197"/>
      <c r="AS2346" s="197"/>
      <c r="AT2346" s="197"/>
      <c r="AU2346" s="197"/>
      <c r="AV2346" s="197"/>
      <c r="AW2346" s="197"/>
    </row>
    <row r="2347" spans="28:49" s="196" customFormat="1">
      <c r="AB2347" s="201"/>
      <c r="AC2347" s="201"/>
      <c r="AD2347" s="197"/>
      <c r="AE2347" s="197"/>
      <c r="AF2347" s="197"/>
      <c r="AG2347" s="197"/>
      <c r="AH2347" s="197"/>
      <c r="AI2347" s="197"/>
      <c r="AJ2347" s="197"/>
      <c r="AK2347" s="197"/>
      <c r="AL2347" s="197"/>
      <c r="AM2347" s="197"/>
      <c r="AN2347" s="197"/>
      <c r="AO2347" s="197"/>
      <c r="AP2347" s="197"/>
      <c r="AQ2347" s="197"/>
      <c r="AR2347" s="197"/>
      <c r="AS2347" s="197"/>
      <c r="AT2347" s="197"/>
      <c r="AU2347" s="197"/>
      <c r="AV2347" s="197"/>
      <c r="AW2347" s="197"/>
    </row>
    <row r="2348" spans="28:49" s="196" customFormat="1">
      <c r="AB2348" s="201"/>
      <c r="AC2348" s="201"/>
      <c r="AD2348" s="197"/>
      <c r="AE2348" s="197"/>
      <c r="AF2348" s="197"/>
      <c r="AG2348" s="197"/>
      <c r="AH2348" s="197"/>
      <c r="AI2348" s="197"/>
      <c r="AJ2348" s="197"/>
      <c r="AK2348" s="197"/>
      <c r="AL2348" s="197"/>
      <c r="AM2348" s="197"/>
      <c r="AN2348" s="197"/>
      <c r="AO2348" s="197"/>
      <c r="AP2348" s="197"/>
      <c r="AQ2348" s="197"/>
      <c r="AR2348" s="197"/>
      <c r="AS2348" s="197"/>
      <c r="AT2348" s="197"/>
      <c r="AU2348" s="197"/>
      <c r="AV2348" s="197"/>
      <c r="AW2348" s="197"/>
    </row>
    <row r="2349" spans="28:49" s="196" customFormat="1">
      <c r="AB2349" s="201"/>
      <c r="AC2349" s="201"/>
      <c r="AD2349" s="197"/>
      <c r="AE2349" s="197"/>
      <c r="AF2349" s="197"/>
      <c r="AG2349" s="197"/>
      <c r="AH2349" s="197"/>
      <c r="AI2349" s="197"/>
      <c r="AJ2349" s="197"/>
      <c r="AK2349" s="197"/>
      <c r="AL2349" s="197"/>
      <c r="AM2349" s="197"/>
      <c r="AN2349" s="197"/>
      <c r="AO2349" s="197"/>
      <c r="AP2349" s="197"/>
      <c r="AQ2349" s="197"/>
      <c r="AR2349" s="197"/>
      <c r="AS2349" s="197"/>
      <c r="AT2349" s="197"/>
      <c r="AU2349" s="197"/>
      <c r="AV2349" s="197"/>
      <c r="AW2349" s="197"/>
    </row>
    <row r="2350" spans="28:49" s="196" customFormat="1">
      <c r="AB2350" s="201"/>
      <c r="AC2350" s="201"/>
      <c r="AD2350" s="197"/>
      <c r="AE2350" s="197"/>
      <c r="AF2350" s="197"/>
      <c r="AG2350" s="197"/>
      <c r="AH2350" s="197"/>
      <c r="AI2350" s="197"/>
      <c r="AJ2350" s="197"/>
      <c r="AK2350" s="197"/>
      <c r="AL2350" s="197"/>
      <c r="AM2350" s="197"/>
      <c r="AN2350" s="197"/>
      <c r="AO2350" s="197"/>
      <c r="AP2350" s="197"/>
      <c r="AQ2350" s="197"/>
      <c r="AR2350" s="197"/>
      <c r="AS2350" s="197"/>
      <c r="AT2350" s="197"/>
      <c r="AU2350" s="197"/>
      <c r="AV2350" s="197"/>
      <c r="AW2350" s="197"/>
    </row>
    <row r="2351" spans="28:49" s="196" customFormat="1">
      <c r="AB2351" s="201"/>
      <c r="AC2351" s="201"/>
      <c r="AD2351" s="197"/>
      <c r="AE2351" s="197"/>
      <c r="AF2351" s="197"/>
      <c r="AG2351" s="197"/>
      <c r="AH2351" s="197"/>
      <c r="AI2351" s="197"/>
      <c r="AJ2351" s="197"/>
      <c r="AK2351" s="197"/>
      <c r="AL2351" s="197"/>
      <c r="AM2351" s="197"/>
      <c r="AN2351" s="197"/>
      <c r="AO2351" s="197"/>
      <c r="AP2351" s="197"/>
      <c r="AQ2351" s="197"/>
      <c r="AR2351" s="197"/>
      <c r="AS2351" s="197"/>
      <c r="AT2351" s="197"/>
      <c r="AU2351" s="197"/>
      <c r="AV2351" s="197"/>
      <c r="AW2351" s="197"/>
    </row>
    <row r="2352" spans="28:49" s="196" customFormat="1">
      <c r="AB2352" s="201"/>
      <c r="AC2352" s="201"/>
      <c r="AD2352" s="197"/>
      <c r="AE2352" s="197"/>
      <c r="AF2352" s="197"/>
      <c r="AG2352" s="197"/>
      <c r="AH2352" s="197"/>
      <c r="AI2352" s="197"/>
      <c r="AJ2352" s="197"/>
      <c r="AK2352" s="197"/>
      <c r="AL2352" s="197"/>
      <c r="AM2352" s="197"/>
      <c r="AN2352" s="197"/>
      <c r="AO2352" s="197"/>
      <c r="AP2352" s="197"/>
      <c r="AQ2352" s="197"/>
      <c r="AR2352" s="197"/>
      <c r="AS2352" s="197"/>
      <c r="AT2352" s="197"/>
      <c r="AU2352" s="197"/>
      <c r="AV2352" s="197"/>
      <c r="AW2352" s="197"/>
    </row>
    <row r="2353" spans="28:49" s="196" customFormat="1">
      <c r="AB2353" s="201"/>
      <c r="AC2353" s="201"/>
      <c r="AD2353" s="197"/>
      <c r="AE2353" s="197"/>
      <c r="AF2353" s="197"/>
      <c r="AG2353" s="197"/>
      <c r="AH2353" s="197"/>
      <c r="AI2353" s="197"/>
      <c r="AJ2353" s="197"/>
      <c r="AK2353" s="197"/>
      <c r="AL2353" s="197"/>
      <c r="AM2353" s="197"/>
      <c r="AN2353" s="197"/>
      <c r="AO2353" s="197"/>
      <c r="AP2353" s="197"/>
      <c r="AQ2353" s="197"/>
      <c r="AR2353" s="197"/>
      <c r="AS2353" s="197"/>
      <c r="AT2353" s="197"/>
      <c r="AU2353" s="197"/>
      <c r="AV2353" s="197"/>
      <c r="AW2353" s="197"/>
    </row>
    <row r="2354" spans="28:49" s="196" customFormat="1">
      <c r="AB2354" s="201"/>
      <c r="AC2354" s="201"/>
      <c r="AD2354" s="197"/>
      <c r="AE2354" s="197"/>
      <c r="AF2354" s="197"/>
      <c r="AG2354" s="197"/>
      <c r="AH2354" s="197"/>
      <c r="AI2354" s="197"/>
      <c r="AJ2354" s="197"/>
      <c r="AK2354" s="197"/>
      <c r="AL2354" s="197"/>
      <c r="AM2354" s="197"/>
      <c r="AN2354" s="197"/>
      <c r="AO2354" s="197"/>
      <c r="AP2354" s="197"/>
      <c r="AQ2354" s="197"/>
      <c r="AR2354" s="197"/>
      <c r="AS2354" s="197"/>
      <c r="AT2354" s="197"/>
      <c r="AU2354" s="197"/>
      <c r="AV2354" s="197"/>
      <c r="AW2354" s="197"/>
    </row>
    <row r="2355" spans="28:49" s="196" customFormat="1">
      <c r="AB2355" s="201"/>
      <c r="AC2355" s="201"/>
      <c r="AD2355" s="197"/>
      <c r="AE2355" s="197"/>
      <c r="AF2355" s="197"/>
      <c r="AG2355" s="197"/>
      <c r="AH2355" s="197"/>
      <c r="AI2355" s="197"/>
      <c r="AJ2355" s="197"/>
      <c r="AK2355" s="197"/>
      <c r="AL2355" s="197"/>
      <c r="AM2355" s="197"/>
      <c r="AN2355" s="197"/>
      <c r="AO2355" s="197"/>
      <c r="AP2355" s="197"/>
      <c r="AQ2355" s="197"/>
      <c r="AR2355" s="197"/>
      <c r="AS2355" s="197"/>
      <c r="AT2355" s="197"/>
      <c r="AU2355" s="197"/>
      <c r="AV2355" s="197"/>
      <c r="AW2355" s="197"/>
    </row>
    <row r="2356" spans="28:49" s="196" customFormat="1">
      <c r="AB2356" s="201"/>
      <c r="AC2356" s="201"/>
      <c r="AD2356" s="197"/>
      <c r="AE2356" s="197"/>
      <c r="AF2356" s="197"/>
      <c r="AG2356" s="197"/>
      <c r="AH2356" s="197"/>
      <c r="AI2356" s="197"/>
      <c r="AJ2356" s="197"/>
      <c r="AK2356" s="197"/>
      <c r="AL2356" s="197"/>
      <c r="AM2356" s="197"/>
      <c r="AN2356" s="197"/>
      <c r="AO2356" s="197"/>
      <c r="AP2356" s="197"/>
      <c r="AQ2356" s="197"/>
      <c r="AR2356" s="197"/>
      <c r="AS2356" s="197"/>
      <c r="AT2356" s="197"/>
      <c r="AU2356" s="197"/>
      <c r="AV2356" s="197"/>
      <c r="AW2356" s="197"/>
    </row>
    <row r="2357" spans="28:49" s="196" customFormat="1">
      <c r="AB2357" s="201"/>
      <c r="AC2357" s="201"/>
      <c r="AD2357" s="197"/>
      <c r="AE2357" s="197"/>
      <c r="AF2357" s="197"/>
      <c r="AG2357" s="197"/>
      <c r="AH2357" s="197"/>
      <c r="AI2357" s="197"/>
      <c r="AJ2357" s="197"/>
      <c r="AK2357" s="197"/>
      <c r="AL2357" s="197"/>
      <c r="AM2357" s="197"/>
      <c r="AN2357" s="197"/>
      <c r="AO2357" s="197"/>
      <c r="AP2357" s="197"/>
      <c r="AQ2357" s="197"/>
      <c r="AR2357" s="197"/>
      <c r="AS2357" s="197"/>
      <c r="AT2357" s="197"/>
      <c r="AU2357" s="197"/>
      <c r="AV2357" s="197"/>
      <c r="AW2357" s="197"/>
    </row>
    <row r="2358" spans="28:49" s="196" customFormat="1">
      <c r="AB2358" s="201"/>
      <c r="AC2358" s="201"/>
      <c r="AD2358" s="197"/>
      <c r="AE2358" s="197"/>
      <c r="AF2358" s="197"/>
      <c r="AG2358" s="197"/>
      <c r="AH2358" s="197"/>
      <c r="AI2358" s="197"/>
      <c r="AJ2358" s="197"/>
      <c r="AK2358" s="197"/>
      <c r="AL2358" s="197"/>
      <c r="AM2358" s="197"/>
      <c r="AN2358" s="197"/>
      <c r="AO2358" s="197"/>
      <c r="AP2358" s="197"/>
      <c r="AQ2358" s="197"/>
      <c r="AR2358" s="197"/>
      <c r="AS2358" s="197"/>
      <c r="AT2358" s="197"/>
      <c r="AU2358" s="197"/>
      <c r="AV2358" s="197"/>
      <c r="AW2358" s="197"/>
    </row>
    <row r="2359" spans="28:49" s="196" customFormat="1">
      <c r="AB2359" s="201"/>
      <c r="AC2359" s="201"/>
      <c r="AD2359" s="197"/>
      <c r="AE2359" s="197"/>
      <c r="AF2359" s="197"/>
      <c r="AG2359" s="197"/>
      <c r="AH2359" s="197"/>
      <c r="AI2359" s="197"/>
      <c r="AJ2359" s="197"/>
      <c r="AK2359" s="197"/>
      <c r="AL2359" s="197"/>
      <c r="AM2359" s="197"/>
      <c r="AN2359" s="197"/>
      <c r="AO2359" s="197"/>
      <c r="AP2359" s="197"/>
      <c r="AQ2359" s="197"/>
      <c r="AR2359" s="197"/>
      <c r="AS2359" s="197"/>
      <c r="AT2359" s="197"/>
      <c r="AU2359" s="197"/>
      <c r="AV2359" s="197"/>
      <c r="AW2359" s="197"/>
    </row>
    <row r="2360" spans="28:49" s="196" customFormat="1">
      <c r="AB2360" s="201"/>
      <c r="AC2360" s="201"/>
      <c r="AD2360" s="197"/>
      <c r="AE2360" s="197"/>
      <c r="AF2360" s="197"/>
      <c r="AG2360" s="197"/>
      <c r="AH2360" s="197"/>
      <c r="AI2360" s="197"/>
      <c r="AJ2360" s="197"/>
      <c r="AK2360" s="197"/>
      <c r="AL2360" s="197"/>
      <c r="AM2360" s="197"/>
      <c r="AN2360" s="197"/>
      <c r="AO2360" s="197"/>
      <c r="AP2360" s="197"/>
      <c r="AQ2360" s="197"/>
      <c r="AR2360" s="197"/>
      <c r="AS2360" s="197"/>
      <c r="AT2360" s="197"/>
      <c r="AU2360" s="197"/>
      <c r="AV2360" s="197"/>
      <c r="AW2360" s="197"/>
    </row>
    <row r="2361" spans="28:49" s="196" customFormat="1">
      <c r="AB2361" s="201"/>
      <c r="AC2361" s="201"/>
      <c r="AD2361" s="197"/>
      <c r="AE2361" s="197"/>
      <c r="AF2361" s="197"/>
      <c r="AG2361" s="197"/>
      <c r="AH2361" s="197"/>
      <c r="AI2361" s="197"/>
      <c r="AJ2361" s="197"/>
      <c r="AK2361" s="197"/>
      <c r="AL2361" s="197"/>
      <c r="AM2361" s="197"/>
      <c r="AN2361" s="197"/>
      <c r="AO2361" s="197"/>
      <c r="AP2361" s="197"/>
      <c r="AQ2361" s="197"/>
      <c r="AR2361" s="197"/>
      <c r="AS2361" s="197"/>
      <c r="AT2361" s="197"/>
      <c r="AU2361" s="197"/>
      <c r="AV2361" s="197"/>
      <c r="AW2361" s="197"/>
    </row>
    <row r="2362" spans="28:49" s="196" customFormat="1">
      <c r="AB2362" s="201"/>
      <c r="AC2362" s="201"/>
      <c r="AD2362" s="197"/>
      <c r="AE2362" s="197"/>
      <c r="AF2362" s="197"/>
      <c r="AG2362" s="197"/>
      <c r="AH2362" s="197"/>
      <c r="AI2362" s="197"/>
      <c r="AJ2362" s="197"/>
      <c r="AK2362" s="197"/>
      <c r="AL2362" s="197"/>
      <c r="AM2362" s="197"/>
      <c r="AN2362" s="197"/>
      <c r="AO2362" s="197"/>
      <c r="AP2362" s="197"/>
      <c r="AQ2362" s="197"/>
      <c r="AR2362" s="197"/>
      <c r="AS2362" s="197"/>
      <c r="AT2362" s="197"/>
      <c r="AU2362" s="197"/>
      <c r="AV2362" s="197"/>
      <c r="AW2362" s="197"/>
    </row>
    <row r="2363" spans="28:49" s="196" customFormat="1">
      <c r="AB2363" s="201"/>
      <c r="AC2363" s="201"/>
      <c r="AD2363" s="197"/>
      <c r="AE2363" s="197"/>
      <c r="AF2363" s="197"/>
      <c r="AG2363" s="197"/>
      <c r="AH2363" s="197"/>
      <c r="AI2363" s="197"/>
      <c r="AJ2363" s="197"/>
      <c r="AK2363" s="197"/>
      <c r="AL2363" s="197"/>
      <c r="AM2363" s="197"/>
      <c r="AN2363" s="197"/>
      <c r="AO2363" s="197"/>
      <c r="AP2363" s="197"/>
      <c r="AQ2363" s="197"/>
      <c r="AR2363" s="197"/>
      <c r="AS2363" s="197"/>
      <c r="AT2363" s="197"/>
      <c r="AU2363" s="197"/>
      <c r="AV2363" s="197"/>
      <c r="AW2363" s="197"/>
    </row>
    <row r="2364" spans="28:49" s="196" customFormat="1">
      <c r="AB2364" s="201"/>
      <c r="AC2364" s="201"/>
      <c r="AD2364" s="197"/>
      <c r="AE2364" s="197"/>
      <c r="AF2364" s="197"/>
      <c r="AG2364" s="197"/>
      <c r="AH2364" s="197"/>
      <c r="AI2364" s="197"/>
      <c r="AJ2364" s="197"/>
      <c r="AK2364" s="197"/>
      <c r="AL2364" s="197"/>
      <c r="AM2364" s="197"/>
      <c r="AN2364" s="197"/>
      <c r="AO2364" s="197"/>
      <c r="AP2364" s="197"/>
      <c r="AQ2364" s="197"/>
      <c r="AR2364" s="197"/>
      <c r="AS2364" s="197"/>
      <c r="AT2364" s="197"/>
      <c r="AU2364" s="197"/>
      <c r="AV2364" s="197"/>
      <c r="AW2364" s="197"/>
    </row>
    <row r="2365" spans="28:49" s="196" customFormat="1">
      <c r="AB2365" s="201"/>
      <c r="AC2365" s="201"/>
      <c r="AD2365" s="197"/>
      <c r="AE2365" s="197"/>
      <c r="AF2365" s="197"/>
      <c r="AG2365" s="197"/>
      <c r="AH2365" s="197"/>
      <c r="AI2365" s="197"/>
      <c r="AJ2365" s="197"/>
      <c r="AK2365" s="197"/>
      <c r="AL2365" s="197"/>
      <c r="AM2365" s="197"/>
      <c r="AN2365" s="197"/>
      <c r="AO2365" s="197"/>
      <c r="AP2365" s="197"/>
      <c r="AQ2365" s="197"/>
      <c r="AR2365" s="197"/>
      <c r="AS2365" s="197"/>
      <c r="AT2365" s="197"/>
      <c r="AU2365" s="197"/>
      <c r="AV2365" s="197"/>
      <c r="AW2365" s="197"/>
    </row>
    <row r="2366" spans="28:49" s="196" customFormat="1">
      <c r="AB2366" s="201"/>
      <c r="AC2366" s="201"/>
      <c r="AD2366" s="197"/>
      <c r="AE2366" s="197"/>
      <c r="AF2366" s="197"/>
      <c r="AG2366" s="197"/>
      <c r="AH2366" s="197"/>
      <c r="AI2366" s="197"/>
      <c r="AJ2366" s="197"/>
      <c r="AK2366" s="197"/>
      <c r="AL2366" s="197"/>
      <c r="AM2366" s="197"/>
      <c r="AN2366" s="197"/>
      <c r="AO2366" s="197"/>
      <c r="AP2366" s="197"/>
      <c r="AQ2366" s="197"/>
      <c r="AR2366" s="197"/>
      <c r="AS2366" s="197"/>
      <c r="AT2366" s="197"/>
      <c r="AU2366" s="197"/>
      <c r="AV2366" s="197"/>
      <c r="AW2366" s="197"/>
    </row>
    <row r="2367" spans="28:49" s="196" customFormat="1">
      <c r="AB2367" s="201"/>
      <c r="AC2367" s="201"/>
      <c r="AD2367" s="197"/>
      <c r="AE2367" s="197"/>
      <c r="AF2367" s="197"/>
      <c r="AG2367" s="197"/>
      <c r="AH2367" s="197"/>
      <c r="AI2367" s="197"/>
      <c r="AJ2367" s="197"/>
      <c r="AK2367" s="197"/>
      <c r="AL2367" s="197"/>
      <c r="AM2367" s="197"/>
      <c r="AN2367" s="197"/>
      <c r="AO2367" s="197"/>
      <c r="AP2367" s="197"/>
      <c r="AQ2367" s="197"/>
      <c r="AR2367" s="197"/>
      <c r="AS2367" s="197"/>
      <c r="AT2367" s="197"/>
      <c r="AU2367" s="197"/>
      <c r="AV2367" s="197"/>
      <c r="AW2367" s="197"/>
    </row>
    <row r="2368" spans="28:49" s="196" customFormat="1">
      <c r="AB2368" s="201"/>
      <c r="AC2368" s="201"/>
      <c r="AD2368" s="197"/>
      <c r="AE2368" s="197"/>
      <c r="AF2368" s="197"/>
      <c r="AG2368" s="197"/>
      <c r="AH2368" s="197"/>
      <c r="AI2368" s="197"/>
      <c r="AJ2368" s="197"/>
      <c r="AK2368" s="197"/>
      <c r="AL2368" s="197"/>
      <c r="AM2368" s="197"/>
      <c r="AN2368" s="197"/>
      <c r="AO2368" s="197"/>
      <c r="AP2368" s="197"/>
      <c r="AQ2368" s="197"/>
      <c r="AR2368" s="197"/>
      <c r="AS2368" s="197"/>
      <c r="AT2368" s="197"/>
      <c r="AU2368" s="197"/>
      <c r="AV2368" s="197"/>
      <c r="AW2368" s="197"/>
    </row>
    <row r="2369" spans="28:49" s="196" customFormat="1">
      <c r="AB2369" s="201"/>
      <c r="AC2369" s="201"/>
      <c r="AD2369" s="197"/>
      <c r="AE2369" s="197"/>
      <c r="AF2369" s="197"/>
      <c r="AG2369" s="197"/>
      <c r="AH2369" s="197"/>
      <c r="AI2369" s="197"/>
      <c r="AJ2369" s="197"/>
      <c r="AK2369" s="197"/>
      <c r="AL2369" s="197"/>
      <c r="AM2369" s="197"/>
      <c r="AN2369" s="197"/>
      <c r="AO2369" s="197"/>
      <c r="AP2369" s="197"/>
      <c r="AQ2369" s="197"/>
      <c r="AR2369" s="197"/>
      <c r="AS2369" s="197"/>
      <c r="AT2369" s="197"/>
      <c r="AU2369" s="197"/>
      <c r="AV2369" s="197"/>
      <c r="AW2369" s="197"/>
    </row>
    <row r="2370" spans="28:49" s="196" customFormat="1">
      <c r="AB2370" s="201"/>
      <c r="AC2370" s="201"/>
      <c r="AD2370" s="197"/>
      <c r="AE2370" s="197"/>
      <c r="AF2370" s="197"/>
      <c r="AG2370" s="197"/>
      <c r="AH2370" s="197"/>
      <c r="AI2370" s="197"/>
      <c r="AJ2370" s="197"/>
      <c r="AK2370" s="197"/>
      <c r="AL2370" s="197"/>
      <c r="AM2370" s="197"/>
      <c r="AN2370" s="197"/>
      <c r="AO2370" s="197"/>
      <c r="AP2370" s="197"/>
      <c r="AQ2370" s="197"/>
      <c r="AR2370" s="197"/>
      <c r="AS2370" s="197"/>
      <c r="AT2370" s="197"/>
      <c r="AU2370" s="197"/>
      <c r="AV2370" s="197"/>
      <c r="AW2370" s="197"/>
    </row>
    <row r="2371" spans="28:49" s="196" customFormat="1">
      <c r="AB2371" s="201"/>
      <c r="AC2371" s="201"/>
      <c r="AD2371" s="197"/>
      <c r="AE2371" s="197"/>
      <c r="AF2371" s="197"/>
      <c r="AG2371" s="197"/>
      <c r="AH2371" s="197"/>
      <c r="AI2371" s="197"/>
      <c r="AJ2371" s="197"/>
      <c r="AK2371" s="197"/>
      <c r="AL2371" s="197"/>
      <c r="AM2371" s="197"/>
      <c r="AN2371" s="197"/>
      <c r="AO2371" s="197"/>
      <c r="AP2371" s="197"/>
      <c r="AQ2371" s="197"/>
      <c r="AR2371" s="197"/>
      <c r="AS2371" s="197"/>
      <c r="AT2371" s="197"/>
      <c r="AU2371" s="197"/>
      <c r="AV2371" s="197"/>
      <c r="AW2371" s="197"/>
    </row>
    <row r="2372" spans="28:49" s="196" customFormat="1">
      <c r="AB2372" s="201"/>
      <c r="AC2372" s="201"/>
      <c r="AD2372" s="197"/>
      <c r="AE2372" s="197"/>
      <c r="AF2372" s="197"/>
      <c r="AG2372" s="197"/>
      <c r="AH2372" s="197"/>
      <c r="AI2372" s="197"/>
      <c r="AJ2372" s="197"/>
      <c r="AK2372" s="197"/>
      <c r="AL2372" s="197"/>
      <c r="AM2372" s="197"/>
      <c r="AN2372" s="197"/>
      <c r="AO2372" s="197"/>
      <c r="AP2372" s="197"/>
      <c r="AQ2372" s="197"/>
      <c r="AR2372" s="197"/>
      <c r="AS2372" s="197"/>
      <c r="AT2372" s="197"/>
      <c r="AU2372" s="197"/>
      <c r="AV2372" s="197"/>
      <c r="AW2372" s="197"/>
    </row>
    <row r="2373" spans="28:49" s="196" customFormat="1">
      <c r="AB2373" s="201"/>
      <c r="AC2373" s="201"/>
      <c r="AD2373" s="197"/>
      <c r="AE2373" s="197"/>
      <c r="AF2373" s="197"/>
      <c r="AG2373" s="197"/>
      <c r="AH2373" s="197"/>
      <c r="AI2373" s="197"/>
      <c r="AJ2373" s="197"/>
      <c r="AK2373" s="197"/>
      <c r="AL2373" s="197"/>
      <c r="AM2373" s="197"/>
      <c r="AN2373" s="197"/>
      <c r="AO2373" s="197"/>
      <c r="AP2373" s="197"/>
      <c r="AQ2373" s="197"/>
      <c r="AR2373" s="197"/>
      <c r="AS2373" s="197"/>
      <c r="AT2373" s="197"/>
      <c r="AU2373" s="197"/>
      <c r="AV2373" s="197"/>
      <c r="AW2373" s="197"/>
    </row>
    <row r="2374" spans="28:49" s="196" customFormat="1">
      <c r="AB2374" s="201"/>
      <c r="AC2374" s="201"/>
      <c r="AD2374" s="197"/>
      <c r="AE2374" s="197"/>
      <c r="AF2374" s="197"/>
      <c r="AG2374" s="197"/>
      <c r="AH2374" s="197"/>
      <c r="AI2374" s="197"/>
      <c r="AJ2374" s="197"/>
      <c r="AK2374" s="197"/>
      <c r="AL2374" s="197"/>
      <c r="AM2374" s="197"/>
      <c r="AN2374" s="197"/>
      <c r="AO2374" s="197"/>
      <c r="AP2374" s="197"/>
      <c r="AQ2374" s="197"/>
      <c r="AR2374" s="197"/>
      <c r="AS2374" s="197"/>
      <c r="AT2374" s="197"/>
      <c r="AU2374" s="197"/>
      <c r="AV2374" s="197"/>
      <c r="AW2374" s="197"/>
    </row>
    <row r="2375" spans="28:49" s="196" customFormat="1">
      <c r="AB2375" s="201"/>
      <c r="AC2375" s="201"/>
      <c r="AD2375" s="197"/>
      <c r="AE2375" s="197"/>
      <c r="AF2375" s="197"/>
      <c r="AG2375" s="197"/>
      <c r="AH2375" s="197"/>
      <c r="AI2375" s="197"/>
      <c r="AJ2375" s="197"/>
      <c r="AK2375" s="197"/>
      <c r="AL2375" s="197"/>
      <c r="AM2375" s="197"/>
      <c r="AN2375" s="197"/>
      <c r="AO2375" s="197"/>
      <c r="AP2375" s="197"/>
      <c r="AQ2375" s="197"/>
      <c r="AR2375" s="197"/>
      <c r="AS2375" s="197"/>
      <c r="AT2375" s="197"/>
      <c r="AU2375" s="197"/>
      <c r="AV2375" s="197"/>
      <c r="AW2375" s="197"/>
    </row>
    <row r="2376" spans="28:49" s="196" customFormat="1">
      <c r="AB2376" s="201"/>
      <c r="AC2376" s="201"/>
      <c r="AD2376" s="197"/>
      <c r="AE2376" s="197"/>
      <c r="AF2376" s="197"/>
      <c r="AG2376" s="197"/>
      <c r="AH2376" s="197"/>
      <c r="AI2376" s="197"/>
      <c r="AJ2376" s="197"/>
      <c r="AK2376" s="197"/>
      <c r="AL2376" s="197"/>
      <c r="AM2376" s="197"/>
      <c r="AN2376" s="197"/>
      <c r="AO2376" s="197"/>
      <c r="AP2376" s="197"/>
      <c r="AQ2376" s="197"/>
      <c r="AR2376" s="197"/>
      <c r="AS2376" s="197"/>
      <c r="AT2376" s="197"/>
      <c r="AU2376" s="197"/>
      <c r="AV2376" s="197"/>
      <c r="AW2376" s="197"/>
    </row>
    <row r="2377" spans="28:49" s="196" customFormat="1">
      <c r="AB2377" s="201"/>
      <c r="AC2377" s="201"/>
      <c r="AD2377" s="197"/>
      <c r="AE2377" s="197"/>
      <c r="AF2377" s="197"/>
      <c r="AG2377" s="197"/>
      <c r="AH2377" s="197"/>
      <c r="AI2377" s="197"/>
      <c r="AJ2377" s="197"/>
      <c r="AK2377" s="197"/>
      <c r="AL2377" s="197"/>
      <c r="AM2377" s="197"/>
      <c r="AN2377" s="197"/>
      <c r="AO2377" s="197"/>
      <c r="AP2377" s="197"/>
      <c r="AQ2377" s="197"/>
      <c r="AR2377" s="197"/>
      <c r="AS2377" s="197"/>
      <c r="AT2377" s="197"/>
      <c r="AU2377" s="197"/>
      <c r="AV2377" s="197"/>
      <c r="AW2377" s="197"/>
    </row>
    <row r="2378" spans="28:49" s="196" customFormat="1">
      <c r="AB2378" s="201"/>
      <c r="AC2378" s="201"/>
      <c r="AD2378" s="197"/>
      <c r="AE2378" s="197"/>
      <c r="AF2378" s="197"/>
      <c r="AG2378" s="197"/>
      <c r="AH2378" s="197"/>
      <c r="AI2378" s="197"/>
      <c r="AJ2378" s="197"/>
      <c r="AK2378" s="197"/>
      <c r="AL2378" s="197"/>
      <c r="AM2378" s="197"/>
      <c r="AN2378" s="197"/>
      <c r="AO2378" s="197"/>
      <c r="AP2378" s="197"/>
      <c r="AQ2378" s="197"/>
      <c r="AR2378" s="197"/>
      <c r="AS2378" s="197"/>
      <c r="AT2378" s="197"/>
      <c r="AU2378" s="197"/>
      <c r="AV2378" s="197"/>
      <c r="AW2378" s="197"/>
    </row>
    <row r="2379" spans="28:49" s="196" customFormat="1">
      <c r="AB2379" s="201"/>
      <c r="AC2379" s="201"/>
      <c r="AD2379" s="197"/>
      <c r="AE2379" s="197"/>
      <c r="AF2379" s="197"/>
      <c r="AG2379" s="197"/>
      <c r="AH2379" s="197"/>
      <c r="AI2379" s="197"/>
      <c r="AJ2379" s="197"/>
      <c r="AK2379" s="197"/>
      <c r="AL2379" s="197"/>
      <c r="AM2379" s="197"/>
      <c r="AN2379" s="197"/>
      <c r="AO2379" s="197"/>
      <c r="AP2379" s="197"/>
      <c r="AQ2379" s="197"/>
      <c r="AR2379" s="197"/>
      <c r="AS2379" s="197"/>
      <c r="AT2379" s="197"/>
      <c r="AU2379" s="197"/>
      <c r="AV2379" s="197"/>
      <c r="AW2379" s="197"/>
    </row>
    <row r="2380" spans="28:49" s="196" customFormat="1">
      <c r="AB2380" s="201"/>
      <c r="AC2380" s="201"/>
      <c r="AD2380" s="197"/>
      <c r="AE2380" s="197"/>
      <c r="AF2380" s="197"/>
      <c r="AG2380" s="197"/>
      <c r="AH2380" s="197"/>
      <c r="AI2380" s="197"/>
      <c r="AJ2380" s="197"/>
      <c r="AK2380" s="197"/>
      <c r="AL2380" s="197"/>
      <c r="AM2380" s="197"/>
      <c r="AN2380" s="197"/>
      <c r="AO2380" s="197"/>
      <c r="AP2380" s="197"/>
      <c r="AQ2380" s="197"/>
      <c r="AR2380" s="197"/>
      <c r="AS2380" s="197"/>
      <c r="AT2380" s="197"/>
      <c r="AU2380" s="197"/>
      <c r="AV2380" s="197"/>
      <c r="AW2380" s="197"/>
    </row>
    <row r="2381" spans="28:49" s="196" customFormat="1">
      <c r="AB2381" s="201"/>
      <c r="AC2381" s="201"/>
      <c r="AD2381" s="197"/>
      <c r="AE2381" s="197"/>
      <c r="AF2381" s="197"/>
      <c r="AG2381" s="197"/>
      <c r="AH2381" s="197"/>
      <c r="AI2381" s="197"/>
      <c r="AJ2381" s="197"/>
      <c r="AK2381" s="197"/>
      <c r="AL2381" s="197"/>
      <c r="AM2381" s="197"/>
      <c r="AN2381" s="197"/>
      <c r="AO2381" s="197"/>
      <c r="AP2381" s="197"/>
      <c r="AQ2381" s="197"/>
      <c r="AR2381" s="197"/>
      <c r="AS2381" s="197"/>
      <c r="AT2381" s="197"/>
      <c r="AU2381" s="197"/>
      <c r="AV2381" s="197"/>
      <c r="AW2381" s="197"/>
    </row>
    <row r="2382" spans="28:49" s="196" customFormat="1">
      <c r="AB2382" s="201"/>
      <c r="AC2382" s="201"/>
      <c r="AD2382" s="197"/>
      <c r="AE2382" s="197"/>
      <c r="AF2382" s="197"/>
      <c r="AG2382" s="197"/>
      <c r="AH2382" s="197"/>
      <c r="AI2382" s="197"/>
      <c r="AJ2382" s="197"/>
      <c r="AK2382" s="197"/>
      <c r="AL2382" s="197"/>
      <c r="AM2382" s="197"/>
      <c r="AN2382" s="197"/>
      <c r="AO2382" s="197"/>
      <c r="AP2382" s="197"/>
      <c r="AQ2382" s="197"/>
      <c r="AR2382" s="197"/>
      <c r="AS2382" s="197"/>
      <c r="AT2382" s="197"/>
      <c r="AU2382" s="197"/>
      <c r="AV2382" s="197"/>
      <c r="AW2382" s="197"/>
    </row>
    <row r="2383" spans="28:49" s="196" customFormat="1">
      <c r="AB2383" s="201"/>
      <c r="AC2383" s="201"/>
      <c r="AD2383" s="197"/>
      <c r="AE2383" s="197"/>
      <c r="AF2383" s="197"/>
      <c r="AG2383" s="197"/>
      <c r="AH2383" s="197"/>
      <c r="AI2383" s="197"/>
      <c r="AJ2383" s="197"/>
      <c r="AK2383" s="197"/>
      <c r="AL2383" s="197"/>
      <c r="AM2383" s="197"/>
      <c r="AN2383" s="197"/>
      <c r="AO2383" s="197"/>
      <c r="AP2383" s="197"/>
      <c r="AQ2383" s="197"/>
      <c r="AR2383" s="197"/>
      <c r="AS2383" s="197"/>
      <c r="AT2383" s="197"/>
      <c r="AU2383" s="197"/>
      <c r="AV2383" s="197"/>
      <c r="AW2383" s="197"/>
    </row>
    <row r="2384" spans="28:49" s="196" customFormat="1">
      <c r="AB2384" s="201"/>
      <c r="AC2384" s="201"/>
      <c r="AD2384" s="197"/>
      <c r="AE2384" s="197"/>
      <c r="AF2384" s="197"/>
      <c r="AG2384" s="197"/>
      <c r="AH2384" s="197"/>
      <c r="AI2384" s="197"/>
      <c r="AJ2384" s="197"/>
      <c r="AK2384" s="197"/>
      <c r="AL2384" s="197"/>
      <c r="AM2384" s="197"/>
      <c r="AN2384" s="197"/>
      <c r="AO2384" s="197"/>
      <c r="AP2384" s="197"/>
      <c r="AQ2384" s="197"/>
      <c r="AR2384" s="197"/>
      <c r="AS2384" s="197"/>
      <c r="AT2384" s="197"/>
      <c r="AU2384" s="197"/>
      <c r="AV2384" s="197"/>
      <c r="AW2384" s="197"/>
    </row>
    <row r="2385" spans="28:49" s="196" customFormat="1">
      <c r="AB2385" s="201"/>
      <c r="AC2385" s="201"/>
      <c r="AD2385" s="197"/>
      <c r="AE2385" s="197"/>
      <c r="AF2385" s="197"/>
      <c r="AG2385" s="197"/>
      <c r="AH2385" s="197"/>
      <c r="AI2385" s="197"/>
      <c r="AJ2385" s="197"/>
      <c r="AK2385" s="197"/>
      <c r="AL2385" s="197"/>
      <c r="AM2385" s="197"/>
      <c r="AN2385" s="197"/>
      <c r="AO2385" s="197"/>
      <c r="AP2385" s="197"/>
      <c r="AQ2385" s="197"/>
      <c r="AR2385" s="197"/>
      <c r="AS2385" s="197"/>
      <c r="AT2385" s="197"/>
      <c r="AU2385" s="197"/>
      <c r="AV2385" s="197"/>
      <c r="AW2385" s="197"/>
    </row>
    <row r="2386" spans="28:49" s="196" customFormat="1">
      <c r="AB2386" s="201"/>
      <c r="AC2386" s="201"/>
      <c r="AD2386" s="197"/>
      <c r="AE2386" s="197"/>
      <c r="AF2386" s="197"/>
      <c r="AG2386" s="197"/>
      <c r="AH2386" s="197"/>
      <c r="AI2386" s="197"/>
      <c r="AJ2386" s="197"/>
      <c r="AK2386" s="197"/>
      <c r="AL2386" s="197"/>
      <c r="AM2386" s="197"/>
      <c r="AN2386" s="197"/>
      <c r="AO2386" s="197"/>
      <c r="AP2386" s="197"/>
      <c r="AQ2386" s="197"/>
      <c r="AR2386" s="197"/>
      <c r="AS2386" s="197"/>
      <c r="AT2386" s="197"/>
      <c r="AU2386" s="197"/>
      <c r="AV2386" s="197"/>
      <c r="AW2386" s="197"/>
    </row>
    <row r="2387" spans="28:49" s="196" customFormat="1">
      <c r="AB2387" s="201"/>
      <c r="AC2387" s="201"/>
      <c r="AD2387" s="197"/>
      <c r="AE2387" s="197"/>
      <c r="AF2387" s="197"/>
      <c r="AG2387" s="197"/>
      <c r="AH2387" s="197"/>
      <c r="AI2387" s="197"/>
      <c r="AJ2387" s="197"/>
      <c r="AK2387" s="197"/>
      <c r="AL2387" s="197"/>
      <c r="AM2387" s="197"/>
      <c r="AN2387" s="197"/>
      <c r="AO2387" s="197"/>
      <c r="AP2387" s="197"/>
      <c r="AQ2387" s="197"/>
      <c r="AR2387" s="197"/>
      <c r="AS2387" s="197"/>
      <c r="AT2387" s="197"/>
      <c r="AU2387" s="197"/>
      <c r="AV2387" s="197"/>
      <c r="AW2387" s="197"/>
    </row>
    <row r="2388" spans="28:49" s="196" customFormat="1">
      <c r="AB2388" s="201"/>
      <c r="AC2388" s="201"/>
      <c r="AD2388" s="197"/>
      <c r="AE2388" s="197"/>
      <c r="AF2388" s="197"/>
      <c r="AG2388" s="197"/>
      <c r="AH2388" s="197"/>
      <c r="AI2388" s="197"/>
      <c r="AJ2388" s="197"/>
      <c r="AK2388" s="197"/>
      <c r="AL2388" s="197"/>
      <c r="AM2388" s="197"/>
      <c r="AN2388" s="197"/>
      <c r="AO2388" s="197"/>
      <c r="AP2388" s="197"/>
      <c r="AQ2388" s="197"/>
      <c r="AR2388" s="197"/>
      <c r="AS2388" s="197"/>
      <c r="AT2388" s="197"/>
      <c r="AU2388" s="197"/>
      <c r="AV2388" s="197"/>
      <c r="AW2388" s="197"/>
    </row>
    <row r="2389" spans="28:49" s="196" customFormat="1">
      <c r="AB2389" s="201"/>
      <c r="AC2389" s="201"/>
      <c r="AD2389" s="197"/>
      <c r="AE2389" s="197"/>
      <c r="AF2389" s="197"/>
      <c r="AG2389" s="197"/>
      <c r="AH2389" s="197"/>
      <c r="AI2389" s="197"/>
      <c r="AJ2389" s="197"/>
      <c r="AK2389" s="197"/>
      <c r="AL2389" s="197"/>
      <c r="AM2389" s="197"/>
      <c r="AN2389" s="197"/>
      <c r="AO2389" s="197"/>
      <c r="AP2389" s="197"/>
      <c r="AQ2389" s="197"/>
      <c r="AR2389" s="197"/>
      <c r="AS2389" s="197"/>
      <c r="AT2389" s="197"/>
      <c r="AU2389" s="197"/>
      <c r="AV2389" s="197"/>
      <c r="AW2389" s="197"/>
    </row>
    <row r="2390" spans="28:49" s="196" customFormat="1">
      <c r="AB2390" s="201"/>
      <c r="AC2390" s="201"/>
      <c r="AD2390" s="197"/>
      <c r="AE2390" s="197"/>
      <c r="AF2390" s="197"/>
      <c r="AG2390" s="197"/>
      <c r="AH2390" s="197"/>
      <c r="AI2390" s="197"/>
      <c r="AJ2390" s="197"/>
      <c r="AK2390" s="197"/>
      <c r="AL2390" s="197"/>
      <c r="AM2390" s="197"/>
      <c r="AN2390" s="197"/>
      <c r="AO2390" s="197"/>
      <c r="AP2390" s="197"/>
      <c r="AQ2390" s="197"/>
      <c r="AR2390" s="197"/>
      <c r="AS2390" s="197"/>
      <c r="AT2390" s="197"/>
      <c r="AU2390" s="197"/>
      <c r="AV2390" s="197"/>
      <c r="AW2390" s="197"/>
    </row>
    <row r="2391" spans="28:49" s="196" customFormat="1">
      <c r="AB2391" s="201"/>
      <c r="AC2391" s="201"/>
      <c r="AD2391" s="197"/>
      <c r="AE2391" s="197"/>
      <c r="AF2391" s="197"/>
      <c r="AG2391" s="197"/>
      <c r="AH2391" s="197"/>
      <c r="AI2391" s="197"/>
      <c r="AJ2391" s="197"/>
      <c r="AK2391" s="197"/>
      <c r="AL2391" s="197"/>
      <c r="AM2391" s="197"/>
      <c r="AN2391" s="197"/>
      <c r="AO2391" s="197"/>
      <c r="AP2391" s="197"/>
      <c r="AQ2391" s="197"/>
      <c r="AR2391" s="197"/>
      <c r="AS2391" s="197"/>
      <c r="AT2391" s="197"/>
      <c r="AU2391" s="197"/>
      <c r="AV2391" s="197"/>
      <c r="AW2391" s="197"/>
    </row>
    <row r="2392" spans="28:49" s="196" customFormat="1">
      <c r="AB2392" s="201"/>
      <c r="AC2392" s="201"/>
      <c r="AD2392" s="197"/>
      <c r="AE2392" s="197"/>
      <c r="AF2392" s="197"/>
      <c r="AG2392" s="197"/>
      <c r="AH2392" s="197"/>
      <c r="AI2392" s="197"/>
      <c r="AJ2392" s="197"/>
      <c r="AK2392" s="197"/>
      <c r="AL2392" s="197"/>
      <c r="AM2392" s="197"/>
      <c r="AN2392" s="197"/>
      <c r="AO2392" s="197"/>
      <c r="AP2392" s="197"/>
      <c r="AQ2392" s="197"/>
      <c r="AR2392" s="197"/>
      <c r="AS2392" s="197"/>
      <c r="AT2392" s="197"/>
      <c r="AU2392" s="197"/>
      <c r="AV2392" s="197"/>
      <c r="AW2392" s="197"/>
    </row>
    <row r="2393" spans="28:49" s="196" customFormat="1">
      <c r="AB2393" s="201"/>
      <c r="AC2393" s="201"/>
      <c r="AD2393" s="197"/>
      <c r="AE2393" s="197"/>
      <c r="AF2393" s="197"/>
      <c r="AG2393" s="197"/>
      <c r="AH2393" s="197"/>
      <c r="AI2393" s="197"/>
      <c r="AJ2393" s="197"/>
      <c r="AK2393" s="197"/>
      <c r="AL2393" s="197"/>
      <c r="AM2393" s="197"/>
      <c r="AN2393" s="197"/>
      <c r="AO2393" s="197"/>
      <c r="AP2393" s="197"/>
      <c r="AQ2393" s="197"/>
      <c r="AR2393" s="197"/>
      <c r="AS2393" s="197"/>
      <c r="AT2393" s="197"/>
      <c r="AU2393" s="197"/>
      <c r="AV2393" s="197"/>
      <c r="AW2393" s="197"/>
    </row>
    <row r="2394" spans="28:49" s="196" customFormat="1">
      <c r="AB2394" s="201"/>
      <c r="AC2394" s="201"/>
      <c r="AD2394" s="197"/>
      <c r="AE2394" s="197"/>
      <c r="AF2394" s="197"/>
      <c r="AG2394" s="197"/>
      <c r="AH2394" s="197"/>
      <c r="AI2394" s="197"/>
      <c r="AJ2394" s="197"/>
      <c r="AK2394" s="197"/>
      <c r="AL2394" s="197"/>
      <c r="AM2394" s="197"/>
      <c r="AN2394" s="197"/>
      <c r="AO2394" s="197"/>
      <c r="AP2394" s="197"/>
      <c r="AQ2394" s="197"/>
      <c r="AR2394" s="197"/>
      <c r="AS2394" s="197"/>
      <c r="AT2394" s="197"/>
      <c r="AU2394" s="197"/>
      <c r="AV2394" s="197"/>
      <c r="AW2394" s="197"/>
    </row>
    <row r="2395" spans="28:49" s="196" customFormat="1">
      <c r="AB2395" s="201"/>
      <c r="AC2395" s="201"/>
      <c r="AD2395" s="197"/>
      <c r="AE2395" s="197"/>
      <c r="AF2395" s="197"/>
      <c r="AG2395" s="197"/>
      <c r="AH2395" s="197"/>
      <c r="AI2395" s="197"/>
      <c r="AJ2395" s="197"/>
      <c r="AK2395" s="197"/>
      <c r="AL2395" s="197"/>
      <c r="AM2395" s="197"/>
      <c r="AN2395" s="197"/>
      <c r="AO2395" s="197"/>
      <c r="AP2395" s="197"/>
      <c r="AQ2395" s="197"/>
      <c r="AR2395" s="197"/>
      <c r="AS2395" s="197"/>
      <c r="AT2395" s="197"/>
      <c r="AU2395" s="197"/>
      <c r="AV2395" s="197"/>
      <c r="AW2395" s="197"/>
    </row>
    <row r="2396" spans="28:49" s="196" customFormat="1">
      <c r="AB2396" s="201"/>
      <c r="AC2396" s="201"/>
      <c r="AD2396" s="197"/>
      <c r="AE2396" s="197"/>
      <c r="AF2396" s="197"/>
      <c r="AG2396" s="197"/>
      <c r="AH2396" s="197"/>
      <c r="AI2396" s="197"/>
      <c r="AJ2396" s="197"/>
      <c r="AK2396" s="197"/>
      <c r="AL2396" s="197"/>
      <c r="AM2396" s="197"/>
      <c r="AN2396" s="197"/>
      <c r="AO2396" s="197"/>
      <c r="AP2396" s="197"/>
      <c r="AQ2396" s="197"/>
      <c r="AR2396" s="197"/>
      <c r="AS2396" s="197"/>
      <c r="AT2396" s="197"/>
      <c r="AU2396" s="197"/>
      <c r="AV2396" s="197"/>
      <c r="AW2396" s="197"/>
    </row>
    <row r="2397" spans="28:49" s="196" customFormat="1">
      <c r="AB2397" s="201"/>
      <c r="AC2397" s="201"/>
      <c r="AD2397" s="197"/>
      <c r="AE2397" s="197"/>
      <c r="AF2397" s="197"/>
      <c r="AG2397" s="197"/>
      <c r="AH2397" s="197"/>
      <c r="AI2397" s="197"/>
      <c r="AJ2397" s="197"/>
      <c r="AK2397" s="197"/>
      <c r="AL2397" s="197"/>
      <c r="AM2397" s="197"/>
      <c r="AN2397" s="197"/>
      <c r="AO2397" s="197"/>
      <c r="AP2397" s="197"/>
      <c r="AQ2397" s="197"/>
      <c r="AR2397" s="197"/>
      <c r="AS2397" s="197"/>
      <c r="AT2397" s="197"/>
      <c r="AU2397" s="197"/>
      <c r="AV2397" s="197"/>
      <c r="AW2397" s="197"/>
    </row>
    <row r="2398" spans="28:49" s="196" customFormat="1">
      <c r="AB2398" s="201"/>
      <c r="AC2398" s="201"/>
      <c r="AD2398" s="197"/>
      <c r="AE2398" s="197"/>
      <c r="AF2398" s="197"/>
      <c r="AG2398" s="197"/>
      <c r="AH2398" s="197"/>
      <c r="AI2398" s="197"/>
      <c r="AJ2398" s="197"/>
      <c r="AK2398" s="197"/>
      <c r="AL2398" s="197"/>
      <c r="AM2398" s="197"/>
      <c r="AN2398" s="197"/>
      <c r="AO2398" s="197"/>
      <c r="AP2398" s="197"/>
      <c r="AQ2398" s="197"/>
      <c r="AR2398" s="197"/>
      <c r="AS2398" s="197"/>
      <c r="AT2398" s="197"/>
      <c r="AU2398" s="197"/>
      <c r="AV2398" s="197"/>
      <c r="AW2398" s="197"/>
    </row>
    <row r="2399" spans="28:49" s="196" customFormat="1">
      <c r="AB2399" s="201"/>
      <c r="AC2399" s="201"/>
      <c r="AD2399" s="197"/>
      <c r="AE2399" s="197"/>
      <c r="AF2399" s="197"/>
      <c r="AG2399" s="197"/>
      <c r="AH2399" s="197"/>
      <c r="AI2399" s="197"/>
      <c r="AJ2399" s="197"/>
      <c r="AK2399" s="197"/>
      <c r="AL2399" s="197"/>
      <c r="AM2399" s="197"/>
      <c r="AN2399" s="197"/>
      <c r="AO2399" s="197"/>
      <c r="AP2399" s="197"/>
      <c r="AQ2399" s="197"/>
      <c r="AR2399" s="197"/>
      <c r="AS2399" s="197"/>
      <c r="AT2399" s="197"/>
      <c r="AU2399" s="197"/>
      <c r="AV2399" s="197"/>
      <c r="AW2399" s="197"/>
    </row>
    <row r="2400" spans="28:49" s="196" customFormat="1">
      <c r="AB2400" s="201"/>
      <c r="AC2400" s="201"/>
      <c r="AD2400" s="197"/>
      <c r="AE2400" s="197"/>
      <c r="AF2400" s="197"/>
      <c r="AG2400" s="197"/>
      <c r="AH2400" s="197"/>
      <c r="AI2400" s="197"/>
      <c r="AJ2400" s="197"/>
      <c r="AK2400" s="197"/>
      <c r="AL2400" s="197"/>
      <c r="AM2400" s="197"/>
      <c r="AN2400" s="197"/>
      <c r="AO2400" s="197"/>
      <c r="AP2400" s="197"/>
      <c r="AQ2400" s="197"/>
      <c r="AR2400" s="197"/>
      <c r="AS2400" s="197"/>
      <c r="AT2400" s="197"/>
      <c r="AU2400" s="197"/>
      <c r="AV2400" s="197"/>
      <c r="AW2400" s="197"/>
    </row>
    <row r="2401" spans="28:49" s="196" customFormat="1">
      <c r="AB2401" s="201"/>
      <c r="AC2401" s="201"/>
      <c r="AD2401" s="197"/>
      <c r="AE2401" s="197"/>
      <c r="AF2401" s="197"/>
      <c r="AG2401" s="197"/>
      <c r="AH2401" s="197"/>
      <c r="AI2401" s="197"/>
      <c r="AJ2401" s="197"/>
      <c r="AK2401" s="197"/>
      <c r="AL2401" s="197"/>
      <c r="AM2401" s="197"/>
      <c r="AN2401" s="197"/>
      <c r="AO2401" s="197"/>
      <c r="AP2401" s="197"/>
      <c r="AQ2401" s="197"/>
      <c r="AR2401" s="197"/>
      <c r="AS2401" s="197"/>
      <c r="AT2401" s="197"/>
      <c r="AU2401" s="197"/>
      <c r="AV2401" s="197"/>
      <c r="AW2401" s="197"/>
    </row>
    <row r="2402" spans="28:49" s="196" customFormat="1">
      <c r="AB2402" s="201"/>
      <c r="AC2402" s="201"/>
      <c r="AD2402" s="197"/>
      <c r="AE2402" s="197"/>
      <c r="AF2402" s="197"/>
      <c r="AG2402" s="197"/>
      <c r="AH2402" s="197"/>
      <c r="AI2402" s="197"/>
      <c r="AJ2402" s="197"/>
      <c r="AK2402" s="197"/>
      <c r="AL2402" s="197"/>
      <c r="AM2402" s="197"/>
      <c r="AN2402" s="197"/>
      <c r="AO2402" s="197"/>
      <c r="AP2402" s="197"/>
      <c r="AQ2402" s="197"/>
      <c r="AR2402" s="197"/>
      <c r="AS2402" s="197"/>
      <c r="AT2402" s="197"/>
      <c r="AU2402" s="197"/>
      <c r="AV2402" s="197"/>
      <c r="AW2402" s="197"/>
    </row>
    <row r="2403" spans="28:49" s="196" customFormat="1">
      <c r="AB2403" s="201"/>
      <c r="AC2403" s="201"/>
      <c r="AD2403" s="197"/>
      <c r="AE2403" s="197"/>
      <c r="AF2403" s="197"/>
      <c r="AG2403" s="197"/>
      <c r="AH2403" s="197"/>
      <c r="AI2403" s="197"/>
      <c r="AJ2403" s="197"/>
      <c r="AK2403" s="197"/>
      <c r="AL2403" s="197"/>
      <c r="AM2403" s="197"/>
      <c r="AN2403" s="197"/>
      <c r="AO2403" s="197"/>
      <c r="AP2403" s="197"/>
      <c r="AQ2403" s="197"/>
      <c r="AR2403" s="197"/>
      <c r="AS2403" s="197"/>
      <c r="AT2403" s="197"/>
      <c r="AU2403" s="197"/>
      <c r="AV2403" s="197"/>
      <c r="AW2403" s="197"/>
    </row>
    <row r="2404" spans="28:49" s="196" customFormat="1">
      <c r="AB2404" s="201"/>
      <c r="AC2404" s="201"/>
      <c r="AD2404" s="197"/>
      <c r="AE2404" s="197"/>
      <c r="AF2404" s="197"/>
      <c r="AG2404" s="197"/>
      <c r="AH2404" s="197"/>
      <c r="AI2404" s="197"/>
      <c r="AJ2404" s="197"/>
      <c r="AK2404" s="197"/>
      <c r="AL2404" s="197"/>
      <c r="AM2404" s="197"/>
      <c r="AN2404" s="197"/>
      <c r="AO2404" s="197"/>
      <c r="AP2404" s="197"/>
      <c r="AQ2404" s="197"/>
      <c r="AR2404" s="197"/>
      <c r="AS2404" s="197"/>
      <c r="AT2404" s="197"/>
      <c r="AU2404" s="197"/>
      <c r="AV2404" s="197"/>
      <c r="AW2404" s="197"/>
    </row>
    <row r="2405" spans="28:49" s="196" customFormat="1">
      <c r="AB2405" s="201"/>
      <c r="AC2405" s="201"/>
      <c r="AD2405" s="197"/>
      <c r="AE2405" s="197"/>
      <c r="AF2405" s="197"/>
      <c r="AG2405" s="197"/>
      <c r="AH2405" s="197"/>
      <c r="AI2405" s="197"/>
      <c r="AJ2405" s="197"/>
      <c r="AK2405" s="197"/>
      <c r="AL2405" s="197"/>
      <c r="AM2405" s="197"/>
      <c r="AN2405" s="197"/>
      <c r="AO2405" s="197"/>
      <c r="AP2405" s="197"/>
      <c r="AQ2405" s="197"/>
      <c r="AR2405" s="197"/>
      <c r="AS2405" s="197"/>
      <c r="AT2405" s="197"/>
      <c r="AU2405" s="197"/>
      <c r="AV2405" s="197"/>
      <c r="AW2405" s="197"/>
    </row>
    <row r="2406" spans="28:49" s="196" customFormat="1">
      <c r="AB2406" s="201"/>
      <c r="AC2406" s="201"/>
      <c r="AD2406" s="197"/>
      <c r="AE2406" s="197"/>
      <c r="AF2406" s="197"/>
      <c r="AG2406" s="197"/>
      <c r="AH2406" s="197"/>
      <c r="AI2406" s="197"/>
      <c r="AJ2406" s="197"/>
      <c r="AK2406" s="197"/>
      <c r="AL2406" s="197"/>
      <c r="AM2406" s="197"/>
      <c r="AN2406" s="197"/>
      <c r="AO2406" s="197"/>
      <c r="AP2406" s="197"/>
      <c r="AQ2406" s="197"/>
      <c r="AR2406" s="197"/>
      <c r="AS2406" s="197"/>
      <c r="AT2406" s="197"/>
      <c r="AU2406" s="197"/>
      <c r="AV2406" s="197"/>
      <c r="AW2406" s="197"/>
    </row>
    <row r="2407" spans="28:49" s="196" customFormat="1">
      <c r="AB2407" s="201"/>
      <c r="AC2407" s="201"/>
      <c r="AD2407" s="197"/>
      <c r="AE2407" s="197"/>
      <c r="AF2407" s="197"/>
      <c r="AG2407" s="197"/>
      <c r="AH2407" s="197"/>
      <c r="AI2407" s="197"/>
      <c r="AJ2407" s="197"/>
      <c r="AK2407" s="197"/>
      <c r="AL2407" s="197"/>
      <c r="AM2407" s="197"/>
      <c r="AN2407" s="197"/>
      <c r="AO2407" s="197"/>
      <c r="AP2407" s="197"/>
      <c r="AQ2407" s="197"/>
      <c r="AR2407" s="197"/>
      <c r="AS2407" s="197"/>
      <c r="AT2407" s="197"/>
      <c r="AU2407" s="197"/>
      <c r="AV2407" s="197"/>
      <c r="AW2407" s="197"/>
    </row>
    <row r="2408" spans="28:49" s="196" customFormat="1">
      <c r="AB2408" s="201"/>
      <c r="AC2408" s="201"/>
      <c r="AD2408" s="197"/>
      <c r="AE2408" s="197"/>
      <c r="AF2408" s="197"/>
      <c r="AG2408" s="197"/>
      <c r="AH2408" s="197"/>
      <c r="AI2408" s="197"/>
      <c r="AJ2408" s="197"/>
      <c r="AK2408" s="197"/>
      <c r="AL2408" s="197"/>
      <c r="AM2408" s="197"/>
      <c r="AN2408" s="197"/>
      <c r="AO2408" s="197"/>
      <c r="AP2408" s="197"/>
      <c r="AQ2408" s="197"/>
      <c r="AR2408" s="197"/>
      <c r="AS2408" s="197"/>
      <c r="AT2408" s="197"/>
      <c r="AU2408" s="197"/>
      <c r="AV2408" s="197"/>
      <c r="AW2408" s="197"/>
    </row>
    <row r="2409" spans="28:49" s="196" customFormat="1">
      <c r="AB2409" s="201"/>
      <c r="AC2409" s="201"/>
      <c r="AD2409" s="197"/>
      <c r="AE2409" s="197"/>
      <c r="AF2409" s="197"/>
      <c r="AG2409" s="197"/>
      <c r="AH2409" s="197"/>
      <c r="AI2409" s="197"/>
      <c r="AJ2409" s="197"/>
      <c r="AK2409" s="197"/>
      <c r="AL2409" s="197"/>
      <c r="AM2409" s="197"/>
      <c r="AN2409" s="197"/>
      <c r="AO2409" s="197"/>
      <c r="AP2409" s="197"/>
      <c r="AQ2409" s="197"/>
      <c r="AR2409" s="197"/>
      <c r="AS2409" s="197"/>
      <c r="AT2409" s="197"/>
      <c r="AU2409" s="197"/>
      <c r="AV2409" s="197"/>
      <c r="AW2409" s="197"/>
    </row>
    <row r="2410" spans="28:49" s="196" customFormat="1">
      <c r="AB2410" s="201"/>
      <c r="AC2410" s="201"/>
      <c r="AD2410" s="197"/>
      <c r="AE2410" s="197"/>
      <c r="AF2410" s="197"/>
      <c r="AG2410" s="197"/>
      <c r="AH2410" s="197"/>
      <c r="AI2410" s="197"/>
      <c r="AJ2410" s="197"/>
      <c r="AK2410" s="197"/>
      <c r="AL2410" s="197"/>
      <c r="AM2410" s="197"/>
      <c r="AN2410" s="197"/>
      <c r="AO2410" s="197"/>
      <c r="AP2410" s="197"/>
      <c r="AQ2410" s="197"/>
      <c r="AR2410" s="197"/>
      <c r="AS2410" s="197"/>
      <c r="AT2410" s="197"/>
      <c r="AU2410" s="197"/>
      <c r="AV2410" s="197"/>
      <c r="AW2410" s="197"/>
    </row>
    <row r="2411" spans="28:49" s="196" customFormat="1">
      <c r="AB2411" s="201"/>
      <c r="AC2411" s="201"/>
      <c r="AD2411" s="197"/>
      <c r="AE2411" s="197"/>
      <c r="AF2411" s="197"/>
      <c r="AG2411" s="197"/>
      <c r="AH2411" s="197"/>
      <c r="AI2411" s="197"/>
      <c r="AJ2411" s="197"/>
      <c r="AK2411" s="197"/>
      <c r="AL2411" s="197"/>
      <c r="AM2411" s="197"/>
      <c r="AN2411" s="197"/>
      <c r="AO2411" s="197"/>
      <c r="AP2411" s="197"/>
      <c r="AQ2411" s="197"/>
      <c r="AR2411" s="197"/>
      <c r="AS2411" s="197"/>
      <c r="AT2411" s="197"/>
      <c r="AU2411" s="197"/>
      <c r="AV2411" s="197"/>
      <c r="AW2411" s="197"/>
    </row>
    <row r="2412" spans="28:49" s="196" customFormat="1">
      <c r="AB2412" s="201"/>
      <c r="AC2412" s="201"/>
      <c r="AD2412" s="197"/>
      <c r="AE2412" s="197"/>
      <c r="AF2412" s="197"/>
      <c r="AG2412" s="197"/>
      <c r="AH2412" s="197"/>
      <c r="AI2412" s="197"/>
      <c r="AJ2412" s="197"/>
      <c r="AK2412" s="197"/>
      <c r="AL2412" s="197"/>
      <c r="AM2412" s="197"/>
      <c r="AN2412" s="197"/>
      <c r="AO2412" s="197"/>
      <c r="AP2412" s="197"/>
      <c r="AQ2412" s="197"/>
      <c r="AR2412" s="197"/>
      <c r="AS2412" s="197"/>
      <c r="AT2412" s="197"/>
      <c r="AU2412" s="197"/>
      <c r="AV2412" s="197"/>
      <c r="AW2412" s="197"/>
    </row>
    <row r="2413" spans="28:49" s="196" customFormat="1">
      <c r="AB2413" s="201"/>
      <c r="AC2413" s="201"/>
      <c r="AD2413" s="197"/>
      <c r="AE2413" s="197"/>
      <c r="AF2413" s="197"/>
      <c r="AG2413" s="197"/>
      <c r="AH2413" s="197"/>
      <c r="AI2413" s="197"/>
      <c r="AJ2413" s="197"/>
      <c r="AK2413" s="197"/>
      <c r="AL2413" s="197"/>
      <c r="AM2413" s="197"/>
      <c r="AN2413" s="197"/>
      <c r="AO2413" s="197"/>
      <c r="AP2413" s="197"/>
      <c r="AQ2413" s="197"/>
      <c r="AR2413" s="197"/>
      <c r="AS2413" s="197"/>
      <c r="AT2413" s="197"/>
      <c r="AU2413" s="197"/>
      <c r="AV2413" s="197"/>
      <c r="AW2413" s="197"/>
    </row>
    <row r="2414" spans="28:49" s="196" customFormat="1">
      <c r="AB2414" s="201"/>
      <c r="AC2414" s="201"/>
      <c r="AD2414" s="197"/>
      <c r="AE2414" s="197"/>
      <c r="AF2414" s="197"/>
      <c r="AG2414" s="197"/>
      <c r="AH2414" s="197"/>
      <c r="AI2414" s="197"/>
      <c r="AJ2414" s="197"/>
      <c r="AK2414" s="197"/>
      <c r="AL2414" s="197"/>
      <c r="AM2414" s="197"/>
      <c r="AN2414" s="197"/>
      <c r="AO2414" s="197"/>
      <c r="AP2414" s="197"/>
      <c r="AQ2414" s="197"/>
      <c r="AR2414" s="197"/>
      <c r="AS2414" s="197"/>
      <c r="AT2414" s="197"/>
      <c r="AU2414" s="197"/>
      <c r="AV2414" s="197"/>
      <c r="AW2414" s="197"/>
    </row>
    <row r="2415" spans="28:49" s="196" customFormat="1">
      <c r="AB2415" s="201"/>
      <c r="AC2415" s="201"/>
      <c r="AD2415" s="197"/>
      <c r="AE2415" s="197"/>
      <c r="AF2415" s="197"/>
      <c r="AG2415" s="197"/>
      <c r="AH2415" s="197"/>
      <c r="AI2415" s="197"/>
      <c r="AJ2415" s="197"/>
      <c r="AK2415" s="197"/>
      <c r="AL2415" s="197"/>
      <c r="AM2415" s="197"/>
      <c r="AN2415" s="197"/>
      <c r="AO2415" s="197"/>
      <c r="AP2415" s="197"/>
      <c r="AQ2415" s="197"/>
      <c r="AR2415" s="197"/>
      <c r="AS2415" s="197"/>
      <c r="AT2415" s="197"/>
      <c r="AU2415" s="197"/>
      <c r="AV2415" s="197"/>
      <c r="AW2415" s="197"/>
    </row>
    <row r="2416" spans="28:49" s="196" customFormat="1">
      <c r="AB2416" s="201"/>
      <c r="AC2416" s="201"/>
      <c r="AD2416" s="197"/>
      <c r="AE2416" s="197"/>
      <c r="AF2416" s="197"/>
      <c r="AG2416" s="197"/>
      <c r="AH2416" s="197"/>
      <c r="AI2416" s="197"/>
      <c r="AJ2416" s="197"/>
      <c r="AK2416" s="197"/>
      <c r="AL2416" s="197"/>
      <c r="AM2416" s="197"/>
      <c r="AN2416" s="197"/>
      <c r="AO2416" s="197"/>
      <c r="AP2416" s="197"/>
      <c r="AQ2416" s="197"/>
      <c r="AR2416" s="197"/>
      <c r="AS2416" s="197"/>
      <c r="AT2416" s="197"/>
      <c r="AU2416" s="197"/>
      <c r="AV2416" s="197"/>
      <c r="AW2416" s="197"/>
    </row>
    <row r="2417" spans="28:49" s="196" customFormat="1">
      <c r="AB2417" s="201"/>
      <c r="AC2417" s="201"/>
      <c r="AD2417" s="197"/>
      <c r="AE2417" s="197"/>
      <c r="AF2417" s="197"/>
      <c r="AG2417" s="197"/>
      <c r="AH2417" s="197"/>
      <c r="AI2417" s="197"/>
      <c r="AJ2417" s="197"/>
      <c r="AK2417" s="197"/>
      <c r="AL2417" s="197"/>
      <c r="AM2417" s="197"/>
      <c r="AN2417" s="197"/>
      <c r="AO2417" s="197"/>
      <c r="AP2417" s="197"/>
      <c r="AQ2417" s="197"/>
      <c r="AR2417" s="197"/>
      <c r="AS2417" s="197"/>
      <c r="AT2417" s="197"/>
      <c r="AU2417" s="197"/>
      <c r="AV2417" s="197"/>
      <c r="AW2417" s="197"/>
    </row>
    <row r="2418" spans="28:49" s="196" customFormat="1">
      <c r="AB2418" s="201"/>
      <c r="AC2418" s="201"/>
      <c r="AD2418" s="197"/>
      <c r="AE2418" s="197"/>
      <c r="AF2418" s="197"/>
      <c r="AG2418" s="197"/>
      <c r="AH2418" s="197"/>
      <c r="AI2418" s="197"/>
      <c r="AJ2418" s="197"/>
      <c r="AK2418" s="197"/>
      <c r="AL2418" s="197"/>
      <c r="AM2418" s="197"/>
      <c r="AN2418" s="197"/>
      <c r="AO2418" s="197"/>
      <c r="AP2418" s="197"/>
      <c r="AQ2418" s="197"/>
      <c r="AR2418" s="197"/>
      <c r="AS2418" s="197"/>
      <c r="AT2418" s="197"/>
      <c r="AU2418" s="197"/>
      <c r="AV2418" s="197"/>
      <c r="AW2418" s="197"/>
    </row>
    <row r="2419" spans="28:49" s="196" customFormat="1">
      <c r="AB2419" s="201"/>
      <c r="AC2419" s="201"/>
      <c r="AD2419" s="197"/>
      <c r="AE2419" s="197"/>
      <c r="AF2419" s="197"/>
      <c r="AG2419" s="197"/>
      <c r="AH2419" s="197"/>
      <c r="AI2419" s="197"/>
      <c r="AJ2419" s="197"/>
      <c r="AK2419" s="197"/>
      <c r="AL2419" s="197"/>
      <c r="AM2419" s="197"/>
      <c r="AN2419" s="197"/>
      <c r="AO2419" s="197"/>
      <c r="AP2419" s="197"/>
      <c r="AQ2419" s="197"/>
      <c r="AR2419" s="197"/>
      <c r="AS2419" s="197"/>
      <c r="AT2419" s="197"/>
      <c r="AU2419" s="197"/>
      <c r="AV2419" s="197"/>
      <c r="AW2419" s="197"/>
    </row>
    <row r="2420" spans="28:49" s="196" customFormat="1">
      <c r="AB2420" s="201"/>
      <c r="AC2420" s="201"/>
      <c r="AD2420" s="197"/>
      <c r="AE2420" s="197"/>
      <c r="AF2420" s="197"/>
      <c r="AG2420" s="197"/>
      <c r="AH2420" s="197"/>
      <c r="AI2420" s="197"/>
      <c r="AJ2420" s="197"/>
      <c r="AK2420" s="197"/>
      <c r="AL2420" s="197"/>
      <c r="AM2420" s="197"/>
      <c r="AN2420" s="197"/>
      <c r="AO2420" s="197"/>
      <c r="AP2420" s="197"/>
      <c r="AQ2420" s="197"/>
      <c r="AR2420" s="197"/>
      <c r="AS2420" s="197"/>
      <c r="AT2420" s="197"/>
      <c r="AU2420" s="197"/>
      <c r="AV2420" s="197"/>
      <c r="AW2420" s="197"/>
    </row>
    <row r="2421" spans="28:49" s="196" customFormat="1">
      <c r="AB2421" s="201"/>
      <c r="AC2421" s="201"/>
      <c r="AD2421" s="197"/>
      <c r="AE2421" s="197"/>
      <c r="AF2421" s="197"/>
      <c r="AG2421" s="197"/>
      <c r="AH2421" s="197"/>
      <c r="AI2421" s="197"/>
      <c r="AJ2421" s="197"/>
      <c r="AK2421" s="197"/>
      <c r="AL2421" s="197"/>
      <c r="AM2421" s="197"/>
      <c r="AN2421" s="197"/>
      <c r="AO2421" s="197"/>
      <c r="AP2421" s="197"/>
      <c r="AQ2421" s="197"/>
      <c r="AR2421" s="197"/>
      <c r="AS2421" s="197"/>
      <c r="AT2421" s="197"/>
      <c r="AU2421" s="197"/>
      <c r="AV2421" s="197"/>
      <c r="AW2421" s="197"/>
    </row>
    <row r="2422" spans="28:49" s="196" customFormat="1">
      <c r="AB2422" s="201"/>
      <c r="AC2422" s="201"/>
      <c r="AD2422" s="197"/>
      <c r="AE2422" s="197"/>
      <c r="AF2422" s="197"/>
      <c r="AG2422" s="197"/>
      <c r="AH2422" s="197"/>
      <c r="AI2422" s="197"/>
      <c r="AJ2422" s="197"/>
      <c r="AK2422" s="197"/>
      <c r="AL2422" s="197"/>
      <c r="AM2422" s="197"/>
      <c r="AN2422" s="197"/>
      <c r="AO2422" s="197"/>
      <c r="AP2422" s="197"/>
      <c r="AQ2422" s="197"/>
      <c r="AR2422" s="197"/>
      <c r="AS2422" s="197"/>
      <c r="AT2422" s="197"/>
      <c r="AU2422" s="197"/>
      <c r="AV2422" s="197"/>
      <c r="AW2422" s="197"/>
    </row>
    <row r="2423" spans="28:49" s="196" customFormat="1">
      <c r="AB2423" s="201"/>
      <c r="AC2423" s="201"/>
      <c r="AD2423" s="197"/>
      <c r="AE2423" s="197"/>
      <c r="AF2423" s="197"/>
      <c r="AG2423" s="197"/>
      <c r="AH2423" s="197"/>
      <c r="AI2423" s="197"/>
      <c r="AJ2423" s="197"/>
      <c r="AK2423" s="197"/>
      <c r="AL2423" s="197"/>
      <c r="AM2423" s="197"/>
      <c r="AN2423" s="197"/>
      <c r="AO2423" s="197"/>
      <c r="AP2423" s="197"/>
      <c r="AQ2423" s="197"/>
      <c r="AR2423" s="197"/>
      <c r="AS2423" s="197"/>
      <c r="AT2423" s="197"/>
      <c r="AU2423" s="197"/>
      <c r="AV2423" s="197"/>
      <c r="AW2423" s="197"/>
    </row>
    <row r="2424" spans="28:49" s="196" customFormat="1">
      <c r="AB2424" s="201"/>
      <c r="AC2424" s="201"/>
      <c r="AD2424" s="197"/>
      <c r="AE2424" s="197"/>
      <c r="AF2424" s="197"/>
      <c r="AG2424" s="197"/>
      <c r="AH2424" s="197"/>
      <c r="AI2424" s="197"/>
      <c r="AJ2424" s="197"/>
      <c r="AK2424" s="197"/>
      <c r="AL2424" s="197"/>
      <c r="AM2424" s="197"/>
      <c r="AN2424" s="197"/>
      <c r="AO2424" s="197"/>
      <c r="AP2424" s="197"/>
      <c r="AQ2424" s="197"/>
      <c r="AR2424" s="197"/>
      <c r="AS2424" s="197"/>
      <c r="AT2424" s="197"/>
      <c r="AU2424" s="197"/>
      <c r="AV2424" s="197"/>
      <c r="AW2424" s="197"/>
    </row>
    <row r="2425" spans="28:49" s="196" customFormat="1">
      <c r="AB2425" s="201"/>
      <c r="AC2425" s="201"/>
      <c r="AD2425" s="197"/>
      <c r="AE2425" s="197"/>
      <c r="AF2425" s="197"/>
      <c r="AG2425" s="197"/>
      <c r="AH2425" s="197"/>
      <c r="AI2425" s="197"/>
      <c r="AJ2425" s="197"/>
      <c r="AK2425" s="197"/>
      <c r="AL2425" s="197"/>
      <c r="AM2425" s="197"/>
      <c r="AN2425" s="197"/>
      <c r="AO2425" s="197"/>
      <c r="AP2425" s="197"/>
      <c r="AQ2425" s="197"/>
      <c r="AR2425" s="197"/>
      <c r="AS2425" s="197"/>
      <c r="AT2425" s="197"/>
      <c r="AU2425" s="197"/>
      <c r="AV2425" s="197"/>
      <c r="AW2425" s="197"/>
    </row>
    <row r="2426" spans="28:49" s="196" customFormat="1">
      <c r="AB2426" s="201"/>
      <c r="AC2426" s="201"/>
      <c r="AD2426" s="197"/>
      <c r="AE2426" s="197"/>
      <c r="AF2426" s="197"/>
      <c r="AG2426" s="197"/>
      <c r="AH2426" s="197"/>
      <c r="AI2426" s="197"/>
      <c r="AJ2426" s="197"/>
      <c r="AK2426" s="197"/>
      <c r="AL2426" s="197"/>
      <c r="AM2426" s="197"/>
      <c r="AN2426" s="197"/>
      <c r="AO2426" s="197"/>
      <c r="AP2426" s="197"/>
      <c r="AQ2426" s="197"/>
      <c r="AR2426" s="197"/>
      <c r="AS2426" s="197"/>
      <c r="AT2426" s="197"/>
      <c r="AU2426" s="197"/>
      <c r="AV2426" s="197"/>
      <c r="AW2426" s="197"/>
    </row>
    <row r="2427" spans="28:49" s="196" customFormat="1">
      <c r="AB2427" s="201"/>
      <c r="AC2427" s="201"/>
      <c r="AD2427" s="197"/>
      <c r="AE2427" s="197"/>
      <c r="AF2427" s="197"/>
      <c r="AG2427" s="197"/>
      <c r="AH2427" s="197"/>
      <c r="AI2427" s="197"/>
      <c r="AJ2427" s="197"/>
      <c r="AK2427" s="197"/>
      <c r="AL2427" s="197"/>
      <c r="AM2427" s="197"/>
      <c r="AN2427" s="197"/>
      <c r="AO2427" s="197"/>
      <c r="AP2427" s="197"/>
      <c r="AQ2427" s="197"/>
      <c r="AR2427" s="197"/>
      <c r="AS2427" s="197"/>
      <c r="AT2427" s="197"/>
      <c r="AU2427" s="197"/>
      <c r="AV2427" s="197"/>
      <c r="AW2427" s="197"/>
    </row>
    <row r="2428" spans="28:49" s="196" customFormat="1">
      <c r="AB2428" s="201"/>
      <c r="AC2428" s="201"/>
      <c r="AD2428" s="197"/>
      <c r="AE2428" s="197"/>
      <c r="AF2428" s="197"/>
      <c r="AG2428" s="197"/>
      <c r="AH2428" s="197"/>
      <c r="AI2428" s="197"/>
      <c r="AJ2428" s="197"/>
      <c r="AK2428" s="197"/>
      <c r="AL2428" s="197"/>
      <c r="AM2428" s="197"/>
      <c r="AN2428" s="197"/>
      <c r="AO2428" s="197"/>
      <c r="AP2428" s="197"/>
      <c r="AQ2428" s="197"/>
      <c r="AR2428" s="197"/>
      <c r="AS2428" s="197"/>
      <c r="AT2428" s="197"/>
      <c r="AU2428" s="197"/>
      <c r="AV2428" s="197"/>
      <c r="AW2428" s="197"/>
    </row>
    <row r="2429" spans="28:49" s="196" customFormat="1">
      <c r="AB2429" s="201"/>
      <c r="AC2429" s="201"/>
      <c r="AD2429" s="197"/>
      <c r="AE2429" s="197"/>
      <c r="AF2429" s="197"/>
      <c r="AG2429" s="197"/>
      <c r="AH2429" s="197"/>
      <c r="AI2429" s="197"/>
      <c r="AJ2429" s="197"/>
      <c r="AK2429" s="197"/>
      <c r="AL2429" s="197"/>
      <c r="AM2429" s="197"/>
      <c r="AN2429" s="197"/>
      <c r="AO2429" s="197"/>
      <c r="AP2429" s="197"/>
      <c r="AQ2429" s="197"/>
      <c r="AR2429" s="197"/>
      <c r="AS2429" s="197"/>
      <c r="AT2429" s="197"/>
      <c r="AU2429" s="197"/>
      <c r="AV2429" s="197"/>
      <c r="AW2429" s="197"/>
    </row>
    <row r="2430" spans="28:49" s="196" customFormat="1">
      <c r="AB2430" s="201"/>
      <c r="AC2430" s="201"/>
      <c r="AD2430" s="197"/>
      <c r="AE2430" s="197"/>
      <c r="AF2430" s="197"/>
      <c r="AG2430" s="197"/>
      <c r="AH2430" s="197"/>
      <c r="AI2430" s="197"/>
      <c r="AJ2430" s="197"/>
      <c r="AK2430" s="197"/>
      <c r="AL2430" s="197"/>
      <c r="AM2430" s="197"/>
      <c r="AN2430" s="197"/>
      <c r="AO2430" s="197"/>
      <c r="AP2430" s="197"/>
      <c r="AQ2430" s="197"/>
      <c r="AR2430" s="197"/>
      <c r="AS2430" s="197"/>
      <c r="AT2430" s="197"/>
      <c r="AU2430" s="197"/>
      <c r="AV2430" s="197"/>
      <c r="AW2430" s="197"/>
    </row>
    <row r="2431" spans="28:49" s="196" customFormat="1">
      <c r="AB2431" s="201"/>
      <c r="AC2431" s="201"/>
      <c r="AD2431" s="197"/>
      <c r="AE2431" s="197"/>
      <c r="AF2431" s="197"/>
      <c r="AG2431" s="197"/>
      <c r="AH2431" s="197"/>
      <c r="AI2431" s="197"/>
      <c r="AJ2431" s="197"/>
      <c r="AK2431" s="197"/>
      <c r="AL2431" s="197"/>
      <c r="AM2431" s="197"/>
      <c r="AN2431" s="197"/>
      <c r="AO2431" s="197"/>
      <c r="AP2431" s="197"/>
      <c r="AQ2431" s="197"/>
      <c r="AR2431" s="197"/>
      <c r="AS2431" s="197"/>
      <c r="AT2431" s="197"/>
      <c r="AU2431" s="197"/>
      <c r="AV2431" s="197"/>
      <c r="AW2431" s="197"/>
    </row>
    <row r="2432" spans="28:49" s="196" customFormat="1">
      <c r="AB2432" s="201"/>
      <c r="AC2432" s="201"/>
      <c r="AD2432" s="197"/>
      <c r="AE2432" s="197"/>
      <c r="AF2432" s="197"/>
      <c r="AG2432" s="197"/>
      <c r="AH2432" s="197"/>
      <c r="AI2432" s="197"/>
      <c r="AJ2432" s="197"/>
      <c r="AK2432" s="197"/>
      <c r="AL2432" s="197"/>
      <c r="AM2432" s="197"/>
      <c r="AN2432" s="197"/>
      <c r="AO2432" s="197"/>
      <c r="AP2432" s="197"/>
      <c r="AQ2432" s="197"/>
      <c r="AR2432" s="197"/>
      <c r="AS2432" s="197"/>
      <c r="AT2432" s="197"/>
      <c r="AU2432" s="197"/>
      <c r="AV2432" s="197"/>
      <c r="AW2432" s="197"/>
    </row>
    <row r="2433" spans="28:49" s="196" customFormat="1">
      <c r="AB2433" s="201"/>
      <c r="AC2433" s="201"/>
      <c r="AD2433" s="197"/>
      <c r="AE2433" s="197"/>
      <c r="AF2433" s="197"/>
      <c r="AG2433" s="197"/>
      <c r="AH2433" s="197"/>
      <c r="AI2433" s="197"/>
      <c r="AJ2433" s="197"/>
      <c r="AK2433" s="197"/>
      <c r="AL2433" s="197"/>
      <c r="AM2433" s="197"/>
      <c r="AN2433" s="197"/>
      <c r="AO2433" s="197"/>
      <c r="AP2433" s="197"/>
      <c r="AQ2433" s="197"/>
      <c r="AR2433" s="197"/>
      <c r="AS2433" s="197"/>
      <c r="AT2433" s="197"/>
      <c r="AU2433" s="197"/>
      <c r="AV2433" s="197"/>
      <c r="AW2433" s="197"/>
    </row>
    <row r="2434" spans="28:49" s="196" customFormat="1">
      <c r="AB2434" s="201"/>
      <c r="AC2434" s="201"/>
      <c r="AD2434" s="197"/>
      <c r="AE2434" s="197"/>
      <c r="AF2434" s="197"/>
      <c r="AG2434" s="197"/>
      <c r="AH2434" s="197"/>
      <c r="AI2434" s="197"/>
      <c r="AJ2434" s="197"/>
      <c r="AK2434" s="197"/>
      <c r="AL2434" s="197"/>
      <c r="AM2434" s="197"/>
      <c r="AN2434" s="197"/>
      <c r="AO2434" s="197"/>
      <c r="AP2434" s="197"/>
      <c r="AQ2434" s="197"/>
      <c r="AR2434" s="197"/>
      <c r="AS2434" s="197"/>
      <c r="AT2434" s="197"/>
      <c r="AU2434" s="197"/>
      <c r="AV2434" s="197"/>
      <c r="AW2434" s="197"/>
    </row>
    <row r="2435" spans="28:49" s="196" customFormat="1">
      <c r="AB2435" s="201"/>
      <c r="AC2435" s="201"/>
      <c r="AD2435" s="197"/>
      <c r="AE2435" s="197"/>
      <c r="AF2435" s="197"/>
      <c r="AG2435" s="197"/>
      <c r="AH2435" s="197"/>
      <c r="AI2435" s="197"/>
      <c r="AJ2435" s="197"/>
      <c r="AK2435" s="197"/>
      <c r="AL2435" s="197"/>
      <c r="AM2435" s="197"/>
      <c r="AN2435" s="197"/>
      <c r="AO2435" s="197"/>
      <c r="AP2435" s="197"/>
      <c r="AQ2435" s="197"/>
      <c r="AR2435" s="197"/>
      <c r="AS2435" s="197"/>
      <c r="AT2435" s="197"/>
      <c r="AU2435" s="197"/>
      <c r="AV2435" s="197"/>
      <c r="AW2435" s="197"/>
    </row>
    <row r="2436" spans="28:49" s="196" customFormat="1">
      <c r="AB2436" s="201"/>
      <c r="AC2436" s="201"/>
      <c r="AD2436" s="197"/>
      <c r="AE2436" s="197"/>
      <c r="AF2436" s="197"/>
      <c r="AG2436" s="197"/>
      <c r="AH2436" s="197"/>
      <c r="AI2436" s="197"/>
      <c r="AJ2436" s="197"/>
      <c r="AK2436" s="197"/>
      <c r="AL2436" s="197"/>
      <c r="AM2436" s="197"/>
      <c r="AN2436" s="197"/>
      <c r="AO2436" s="197"/>
      <c r="AP2436" s="197"/>
      <c r="AQ2436" s="197"/>
      <c r="AR2436" s="197"/>
      <c r="AS2436" s="197"/>
      <c r="AT2436" s="197"/>
      <c r="AU2436" s="197"/>
      <c r="AV2436" s="197"/>
      <c r="AW2436" s="197"/>
    </row>
    <row r="2437" spans="28:49" s="196" customFormat="1">
      <c r="AB2437" s="201"/>
      <c r="AC2437" s="201"/>
      <c r="AD2437" s="197"/>
      <c r="AE2437" s="197"/>
      <c r="AF2437" s="197"/>
      <c r="AG2437" s="197"/>
      <c r="AH2437" s="197"/>
      <c r="AI2437" s="197"/>
      <c r="AJ2437" s="197"/>
      <c r="AK2437" s="197"/>
      <c r="AL2437" s="197"/>
      <c r="AM2437" s="197"/>
      <c r="AN2437" s="197"/>
      <c r="AO2437" s="197"/>
      <c r="AP2437" s="197"/>
      <c r="AQ2437" s="197"/>
      <c r="AR2437" s="197"/>
      <c r="AS2437" s="197"/>
      <c r="AT2437" s="197"/>
      <c r="AU2437" s="197"/>
      <c r="AV2437" s="197"/>
      <c r="AW2437" s="197"/>
    </row>
    <row r="2438" spans="28:49" s="196" customFormat="1">
      <c r="AB2438" s="201"/>
      <c r="AC2438" s="201"/>
      <c r="AD2438" s="197"/>
      <c r="AE2438" s="197"/>
      <c r="AF2438" s="197"/>
      <c r="AG2438" s="197"/>
      <c r="AH2438" s="197"/>
      <c r="AI2438" s="197"/>
      <c r="AJ2438" s="197"/>
      <c r="AK2438" s="197"/>
      <c r="AL2438" s="197"/>
      <c r="AM2438" s="197"/>
      <c r="AN2438" s="197"/>
      <c r="AO2438" s="197"/>
      <c r="AP2438" s="197"/>
      <c r="AQ2438" s="197"/>
      <c r="AR2438" s="197"/>
      <c r="AS2438" s="197"/>
      <c r="AT2438" s="197"/>
      <c r="AU2438" s="197"/>
      <c r="AV2438" s="197"/>
      <c r="AW2438" s="197"/>
    </row>
    <row r="2439" spans="28:49" s="196" customFormat="1">
      <c r="AB2439" s="201"/>
      <c r="AC2439" s="201"/>
      <c r="AD2439" s="197"/>
      <c r="AE2439" s="197"/>
      <c r="AF2439" s="197"/>
      <c r="AG2439" s="197"/>
      <c r="AH2439" s="197"/>
      <c r="AI2439" s="197"/>
      <c r="AJ2439" s="197"/>
      <c r="AK2439" s="197"/>
      <c r="AL2439" s="197"/>
      <c r="AM2439" s="197"/>
      <c r="AN2439" s="197"/>
      <c r="AO2439" s="197"/>
      <c r="AP2439" s="197"/>
      <c r="AQ2439" s="197"/>
      <c r="AR2439" s="197"/>
      <c r="AS2439" s="197"/>
      <c r="AT2439" s="197"/>
      <c r="AU2439" s="197"/>
      <c r="AV2439" s="197"/>
      <c r="AW2439" s="197"/>
    </row>
    <row r="2440" spans="28:49" s="196" customFormat="1">
      <c r="AB2440" s="201"/>
      <c r="AC2440" s="201"/>
      <c r="AD2440" s="197"/>
      <c r="AE2440" s="197"/>
      <c r="AF2440" s="197"/>
      <c r="AG2440" s="197"/>
      <c r="AH2440" s="197"/>
      <c r="AI2440" s="197"/>
      <c r="AJ2440" s="197"/>
      <c r="AK2440" s="197"/>
      <c r="AL2440" s="197"/>
      <c r="AM2440" s="197"/>
      <c r="AN2440" s="197"/>
      <c r="AO2440" s="197"/>
      <c r="AP2440" s="197"/>
      <c r="AQ2440" s="197"/>
      <c r="AR2440" s="197"/>
      <c r="AS2440" s="197"/>
      <c r="AT2440" s="197"/>
      <c r="AU2440" s="197"/>
      <c r="AV2440" s="197"/>
      <c r="AW2440" s="197"/>
    </row>
    <row r="2441" spans="28:49" s="196" customFormat="1">
      <c r="AB2441" s="201"/>
      <c r="AC2441" s="201"/>
      <c r="AD2441" s="197"/>
      <c r="AE2441" s="197"/>
      <c r="AF2441" s="197"/>
      <c r="AG2441" s="197"/>
      <c r="AH2441" s="197"/>
      <c r="AI2441" s="197"/>
      <c r="AJ2441" s="197"/>
      <c r="AK2441" s="197"/>
      <c r="AL2441" s="197"/>
      <c r="AM2441" s="197"/>
      <c r="AN2441" s="197"/>
      <c r="AO2441" s="197"/>
      <c r="AP2441" s="197"/>
      <c r="AQ2441" s="197"/>
      <c r="AR2441" s="197"/>
      <c r="AS2441" s="197"/>
      <c r="AT2441" s="197"/>
      <c r="AU2441" s="197"/>
      <c r="AV2441" s="197"/>
      <c r="AW2441" s="197"/>
    </row>
    <row r="2442" spans="28:49" s="196" customFormat="1">
      <c r="AB2442" s="201"/>
      <c r="AC2442" s="201"/>
      <c r="AD2442" s="197"/>
      <c r="AE2442" s="197"/>
      <c r="AF2442" s="197"/>
      <c r="AG2442" s="197"/>
      <c r="AH2442" s="197"/>
      <c r="AI2442" s="197"/>
      <c r="AJ2442" s="197"/>
      <c r="AK2442" s="197"/>
      <c r="AL2442" s="197"/>
      <c r="AM2442" s="197"/>
      <c r="AN2442" s="197"/>
      <c r="AO2442" s="197"/>
      <c r="AP2442" s="197"/>
      <c r="AQ2442" s="197"/>
      <c r="AR2442" s="197"/>
      <c r="AS2442" s="197"/>
      <c r="AT2442" s="197"/>
      <c r="AU2442" s="197"/>
      <c r="AV2442" s="197"/>
      <c r="AW2442" s="197"/>
    </row>
    <row r="2443" spans="28:49" s="196" customFormat="1">
      <c r="AB2443" s="201"/>
      <c r="AC2443" s="201"/>
      <c r="AD2443" s="197"/>
      <c r="AE2443" s="197"/>
      <c r="AF2443" s="197"/>
      <c r="AG2443" s="197"/>
      <c r="AH2443" s="197"/>
      <c r="AI2443" s="197"/>
      <c r="AJ2443" s="197"/>
      <c r="AK2443" s="197"/>
      <c r="AL2443" s="197"/>
      <c r="AM2443" s="197"/>
      <c r="AN2443" s="197"/>
      <c r="AO2443" s="197"/>
      <c r="AP2443" s="197"/>
      <c r="AQ2443" s="197"/>
      <c r="AR2443" s="197"/>
      <c r="AS2443" s="197"/>
      <c r="AT2443" s="197"/>
      <c r="AU2443" s="197"/>
      <c r="AV2443" s="197"/>
      <c r="AW2443" s="197"/>
    </row>
    <row r="2444" spans="28:49" s="196" customFormat="1">
      <c r="AB2444" s="201"/>
      <c r="AC2444" s="201"/>
      <c r="AD2444" s="197"/>
      <c r="AE2444" s="197"/>
      <c r="AF2444" s="197"/>
      <c r="AG2444" s="197"/>
      <c r="AH2444" s="197"/>
      <c r="AI2444" s="197"/>
      <c r="AJ2444" s="197"/>
      <c r="AK2444" s="197"/>
      <c r="AL2444" s="197"/>
      <c r="AM2444" s="197"/>
      <c r="AN2444" s="197"/>
      <c r="AO2444" s="197"/>
      <c r="AP2444" s="197"/>
      <c r="AQ2444" s="197"/>
      <c r="AR2444" s="197"/>
      <c r="AS2444" s="197"/>
      <c r="AT2444" s="197"/>
      <c r="AU2444" s="197"/>
      <c r="AV2444" s="197"/>
      <c r="AW2444" s="197"/>
    </row>
    <row r="2445" spans="28:49" s="196" customFormat="1">
      <c r="AB2445" s="201"/>
      <c r="AC2445" s="201"/>
      <c r="AD2445" s="197"/>
      <c r="AE2445" s="197"/>
      <c r="AF2445" s="197"/>
      <c r="AG2445" s="197"/>
      <c r="AH2445" s="197"/>
      <c r="AI2445" s="197"/>
      <c r="AJ2445" s="197"/>
      <c r="AK2445" s="197"/>
      <c r="AL2445" s="197"/>
      <c r="AM2445" s="197"/>
      <c r="AN2445" s="197"/>
      <c r="AO2445" s="197"/>
      <c r="AP2445" s="197"/>
      <c r="AQ2445" s="197"/>
      <c r="AR2445" s="197"/>
      <c r="AS2445" s="197"/>
      <c r="AT2445" s="197"/>
      <c r="AU2445" s="197"/>
      <c r="AV2445" s="197"/>
      <c r="AW2445" s="197"/>
    </row>
    <row r="2446" spans="28:49" s="196" customFormat="1">
      <c r="AB2446" s="201"/>
      <c r="AC2446" s="201"/>
      <c r="AD2446" s="197"/>
      <c r="AE2446" s="197"/>
      <c r="AF2446" s="197"/>
      <c r="AG2446" s="197"/>
      <c r="AH2446" s="197"/>
      <c r="AI2446" s="197"/>
      <c r="AJ2446" s="197"/>
      <c r="AK2446" s="197"/>
      <c r="AL2446" s="197"/>
      <c r="AM2446" s="197"/>
      <c r="AN2446" s="197"/>
      <c r="AO2446" s="197"/>
      <c r="AP2446" s="197"/>
      <c r="AQ2446" s="197"/>
      <c r="AR2446" s="197"/>
      <c r="AS2446" s="197"/>
      <c r="AT2446" s="197"/>
      <c r="AU2446" s="197"/>
      <c r="AV2446" s="197"/>
      <c r="AW2446" s="197"/>
    </row>
    <row r="2447" spans="28:49" s="196" customFormat="1">
      <c r="AB2447" s="201"/>
      <c r="AC2447" s="201"/>
      <c r="AD2447" s="197"/>
      <c r="AE2447" s="197"/>
      <c r="AF2447" s="197"/>
      <c r="AG2447" s="197"/>
      <c r="AH2447" s="197"/>
      <c r="AI2447" s="197"/>
      <c r="AJ2447" s="197"/>
      <c r="AK2447" s="197"/>
      <c r="AL2447" s="197"/>
      <c r="AM2447" s="197"/>
      <c r="AN2447" s="197"/>
      <c r="AO2447" s="197"/>
      <c r="AP2447" s="197"/>
      <c r="AQ2447" s="197"/>
      <c r="AR2447" s="197"/>
      <c r="AS2447" s="197"/>
      <c r="AT2447" s="197"/>
      <c r="AU2447" s="197"/>
      <c r="AV2447" s="197"/>
      <c r="AW2447" s="197"/>
    </row>
    <row r="2448" spans="28:49" s="196" customFormat="1">
      <c r="AB2448" s="201"/>
      <c r="AC2448" s="201"/>
      <c r="AD2448" s="197"/>
      <c r="AE2448" s="197"/>
      <c r="AF2448" s="197"/>
      <c r="AG2448" s="197"/>
      <c r="AH2448" s="197"/>
      <c r="AI2448" s="197"/>
      <c r="AJ2448" s="197"/>
      <c r="AK2448" s="197"/>
      <c r="AL2448" s="197"/>
      <c r="AM2448" s="197"/>
      <c r="AN2448" s="197"/>
      <c r="AO2448" s="197"/>
      <c r="AP2448" s="197"/>
      <c r="AQ2448" s="197"/>
      <c r="AR2448" s="197"/>
      <c r="AS2448" s="197"/>
      <c r="AT2448" s="197"/>
      <c r="AU2448" s="197"/>
      <c r="AV2448" s="197"/>
      <c r="AW2448" s="197"/>
    </row>
    <row r="2449" spans="28:49" s="196" customFormat="1">
      <c r="AB2449" s="201"/>
      <c r="AC2449" s="201"/>
      <c r="AD2449" s="197"/>
      <c r="AE2449" s="197"/>
      <c r="AF2449" s="197"/>
      <c r="AG2449" s="197"/>
      <c r="AH2449" s="197"/>
      <c r="AI2449" s="197"/>
      <c r="AJ2449" s="197"/>
      <c r="AK2449" s="197"/>
      <c r="AL2449" s="197"/>
      <c r="AM2449" s="197"/>
      <c r="AN2449" s="197"/>
      <c r="AO2449" s="197"/>
      <c r="AP2449" s="197"/>
      <c r="AQ2449" s="197"/>
      <c r="AR2449" s="197"/>
      <c r="AS2449" s="197"/>
      <c r="AT2449" s="197"/>
      <c r="AU2449" s="197"/>
      <c r="AV2449" s="197"/>
      <c r="AW2449" s="197"/>
    </row>
    <row r="2450" spans="28:49" s="196" customFormat="1">
      <c r="AB2450" s="201"/>
      <c r="AC2450" s="201"/>
      <c r="AD2450" s="197"/>
      <c r="AE2450" s="197"/>
      <c r="AF2450" s="197"/>
      <c r="AG2450" s="197"/>
      <c r="AH2450" s="197"/>
      <c r="AI2450" s="197"/>
      <c r="AJ2450" s="197"/>
      <c r="AK2450" s="197"/>
      <c r="AL2450" s="197"/>
      <c r="AM2450" s="197"/>
      <c r="AN2450" s="197"/>
      <c r="AO2450" s="197"/>
      <c r="AP2450" s="197"/>
      <c r="AQ2450" s="197"/>
      <c r="AR2450" s="197"/>
      <c r="AS2450" s="197"/>
      <c r="AT2450" s="197"/>
      <c r="AU2450" s="197"/>
      <c r="AV2450" s="197"/>
      <c r="AW2450" s="197"/>
    </row>
    <row r="2451" spans="28:49" s="196" customFormat="1">
      <c r="AB2451" s="201"/>
      <c r="AC2451" s="201"/>
      <c r="AD2451" s="197"/>
      <c r="AE2451" s="197"/>
      <c r="AF2451" s="197"/>
      <c r="AG2451" s="197"/>
      <c r="AH2451" s="197"/>
      <c r="AI2451" s="197"/>
      <c r="AJ2451" s="197"/>
      <c r="AK2451" s="197"/>
      <c r="AL2451" s="197"/>
      <c r="AM2451" s="197"/>
      <c r="AN2451" s="197"/>
      <c r="AO2451" s="197"/>
      <c r="AP2451" s="197"/>
      <c r="AQ2451" s="197"/>
      <c r="AR2451" s="197"/>
      <c r="AS2451" s="197"/>
      <c r="AT2451" s="197"/>
      <c r="AU2451" s="197"/>
      <c r="AV2451" s="197"/>
      <c r="AW2451" s="197"/>
    </row>
    <row r="2452" spans="28:49" s="196" customFormat="1">
      <c r="AB2452" s="201"/>
      <c r="AC2452" s="201"/>
      <c r="AD2452" s="197"/>
      <c r="AE2452" s="197"/>
      <c r="AF2452" s="197"/>
      <c r="AG2452" s="197"/>
      <c r="AH2452" s="197"/>
      <c r="AI2452" s="197"/>
      <c r="AJ2452" s="197"/>
      <c r="AK2452" s="197"/>
      <c r="AL2452" s="197"/>
      <c r="AM2452" s="197"/>
      <c r="AN2452" s="197"/>
      <c r="AO2452" s="197"/>
      <c r="AP2452" s="197"/>
      <c r="AQ2452" s="197"/>
      <c r="AR2452" s="197"/>
      <c r="AS2452" s="197"/>
      <c r="AT2452" s="197"/>
      <c r="AU2452" s="197"/>
      <c r="AV2452" s="197"/>
      <c r="AW2452" s="197"/>
    </row>
    <row r="2453" spans="28:49" s="196" customFormat="1">
      <c r="AB2453" s="201"/>
      <c r="AC2453" s="201"/>
      <c r="AD2453" s="197"/>
      <c r="AE2453" s="197"/>
      <c r="AF2453" s="197"/>
      <c r="AG2453" s="197"/>
      <c r="AH2453" s="197"/>
      <c r="AI2453" s="197"/>
      <c r="AJ2453" s="197"/>
      <c r="AK2453" s="197"/>
      <c r="AL2453" s="197"/>
      <c r="AM2453" s="197"/>
      <c r="AN2453" s="197"/>
      <c r="AO2453" s="197"/>
      <c r="AP2453" s="197"/>
      <c r="AQ2453" s="197"/>
      <c r="AR2453" s="197"/>
      <c r="AS2453" s="197"/>
      <c r="AT2453" s="197"/>
      <c r="AU2453" s="197"/>
      <c r="AV2453" s="197"/>
      <c r="AW2453" s="197"/>
    </row>
    <row r="2454" spans="28:49" s="196" customFormat="1">
      <c r="AB2454" s="201"/>
      <c r="AC2454" s="201"/>
      <c r="AD2454" s="197"/>
      <c r="AE2454" s="197"/>
      <c r="AF2454" s="197"/>
      <c r="AG2454" s="197"/>
      <c r="AH2454" s="197"/>
      <c r="AI2454" s="197"/>
      <c r="AJ2454" s="197"/>
      <c r="AK2454" s="197"/>
      <c r="AL2454" s="197"/>
      <c r="AM2454" s="197"/>
      <c r="AN2454" s="197"/>
      <c r="AO2454" s="197"/>
      <c r="AP2454" s="197"/>
      <c r="AQ2454" s="197"/>
      <c r="AR2454" s="197"/>
      <c r="AS2454" s="197"/>
      <c r="AT2454" s="197"/>
      <c r="AU2454" s="197"/>
      <c r="AV2454" s="197"/>
      <c r="AW2454" s="197"/>
    </row>
    <row r="2455" spans="28:49" s="196" customFormat="1">
      <c r="AB2455" s="201"/>
      <c r="AC2455" s="201"/>
      <c r="AD2455" s="197"/>
      <c r="AE2455" s="197"/>
      <c r="AF2455" s="197"/>
      <c r="AG2455" s="197"/>
      <c r="AH2455" s="197"/>
      <c r="AI2455" s="197"/>
      <c r="AJ2455" s="197"/>
      <c r="AK2455" s="197"/>
      <c r="AL2455" s="197"/>
      <c r="AM2455" s="197"/>
      <c r="AN2455" s="197"/>
      <c r="AO2455" s="197"/>
      <c r="AP2455" s="197"/>
      <c r="AQ2455" s="197"/>
      <c r="AR2455" s="197"/>
      <c r="AS2455" s="197"/>
      <c r="AT2455" s="197"/>
      <c r="AU2455" s="197"/>
      <c r="AV2455" s="197"/>
      <c r="AW2455" s="197"/>
    </row>
    <row r="2456" spans="28:49" s="196" customFormat="1">
      <c r="AB2456" s="201"/>
      <c r="AC2456" s="201"/>
      <c r="AD2456" s="197"/>
      <c r="AE2456" s="197"/>
      <c r="AF2456" s="197"/>
      <c r="AG2456" s="197"/>
      <c r="AH2456" s="197"/>
      <c r="AI2456" s="197"/>
      <c r="AJ2456" s="197"/>
      <c r="AK2456" s="197"/>
      <c r="AL2456" s="197"/>
      <c r="AM2456" s="197"/>
      <c r="AN2456" s="197"/>
      <c r="AO2456" s="197"/>
      <c r="AP2456" s="197"/>
      <c r="AQ2456" s="197"/>
      <c r="AR2456" s="197"/>
      <c r="AS2456" s="197"/>
      <c r="AT2456" s="197"/>
      <c r="AU2456" s="197"/>
      <c r="AV2456" s="197"/>
      <c r="AW2456" s="197"/>
    </row>
    <row r="2457" spans="28:49" s="196" customFormat="1">
      <c r="AB2457" s="201"/>
      <c r="AC2457" s="201"/>
      <c r="AD2457" s="197"/>
      <c r="AE2457" s="197"/>
      <c r="AF2457" s="197"/>
      <c r="AG2457" s="197"/>
      <c r="AH2457" s="197"/>
      <c r="AI2457" s="197"/>
      <c r="AJ2457" s="197"/>
      <c r="AK2457" s="197"/>
      <c r="AL2457" s="197"/>
      <c r="AM2457" s="197"/>
      <c r="AN2457" s="197"/>
      <c r="AO2457" s="197"/>
      <c r="AP2457" s="197"/>
      <c r="AQ2457" s="197"/>
      <c r="AR2457" s="197"/>
      <c r="AS2457" s="197"/>
      <c r="AT2457" s="197"/>
      <c r="AU2457" s="197"/>
      <c r="AV2457" s="197"/>
      <c r="AW2457" s="197"/>
    </row>
    <row r="2458" spans="28:49" s="196" customFormat="1">
      <c r="AB2458" s="201"/>
      <c r="AC2458" s="201"/>
      <c r="AD2458" s="197"/>
      <c r="AE2458" s="197"/>
      <c r="AF2458" s="197"/>
      <c r="AG2458" s="197"/>
      <c r="AH2458" s="197"/>
      <c r="AI2458" s="197"/>
      <c r="AJ2458" s="197"/>
      <c r="AK2458" s="197"/>
      <c r="AL2458" s="197"/>
      <c r="AM2458" s="197"/>
      <c r="AN2458" s="197"/>
      <c r="AO2458" s="197"/>
      <c r="AP2458" s="197"/>
      <c r="AQ2458" s="197"/>
      <c r="AR2458" s="197"/>
      <c r="AS2458" s="197"/>
      <c r="AT2458" s="197"/>
      <c r="AU2458" s="197"/>
      <c r="AV2458" s="197"/>
      <c r="AW2458" s="197"/>
    </row>
    <row r="2459" spans="28:49" s="196" customFormat="1">
      <c r="AB2459" s="201"/>
      <c r="AC2459" s="201"/>
      <c r="AD2459" s="197"/>
      <c r="AE2459" s="197"/>
      <c r="AF2459" s="197"/>
      <c r="AG2459" s="197"/>
      <c r="AH2459" s="197"/>
      <c r="AI2459" s="197"/>
      <c r="AJ2459" s="197"/>
      <c r="AK2459" s="197"/>
      <c r="AL2459" s="197"/>
      <c r="AM2459" s="197"/>
      <c r="AN2459" s="197"/>
      <c r="AO2459" s="197"/>
      <c r="AP2459" s="197"/>
      <c r="AQ2459" s="197"/>
      <c r="AR2459" s="197"/>
      <c r="AS2459" s="197"/>
      <c r="AT2459" s="197"/>
      <c r="AU2459" s="197"/>
      <c r="AV2459" s="197"/>
      <c r="AW2459" s="197"/>
    </row>
    <row r="2460" spans="28:49" s="196" customFormat="1">
      <c r="AB2460" s="201"/>
      <c r="AC2460" s="201"/>
      <c r="AD2460" s="197"/>
      <c r="AE2460" s="197"/>
      <c r="AF2460" s="197"/>
      <c r="AG2460" s="197"/>
      <c r="AH2460" s="197"/>
      <c r="AI2460" s="197"/>
      <c r="AJ2460" s="197"/>
      <c r="AK2460" s="197"/>
      <c r="AL2460" s="197"/>
      <c r="AM2460" s="197"/>
      <c r="AN2460" s="197"/>
      <c r="AO2460" s="197"/>
      <c r="AP2460" s="197"/>
      <c r="AQ2460" s="197"/>
      <c r="AR2460" s="197"/>
      <c r="AS2460" s="197"/>
      <c r="AT2460" s="197"/>
      <c r="AU2460" s="197"/>
      <c r="AV2460" s="197"/>
      <c r="AW2460" s="197"/>
    </row>
    <row r="2461" spans="28:49" s="196" customFormat="1">
      <c r="AB2461" s="201"/>
      <c r="AC2461" s="201"/>
      <c r="AD2461" s="197"/>
      <c r="AE2461" s="197"/>
      <c r="AF2461" s="197"/>
      <c r="AG2461" s="197"/>
      <c r="AH2461" s="197"/>
      <c r="AI2461" s="197"/>
      <c r="AJ2461" s="197"/>
      <c r="AK2461" s="197"/>
      <c r="AL2461" s="197"/>
      <c r="AM2461" s="197"/>
      <c r="AN2461" s="197"/>
      <c r="AO2461" s="197"/>
      <c r="AP2461" s="197"/>
      <c r="AQ2461" s="197"/>
      <c r="AR2461" s="197"/>
      <c r="AS2461" s="197"/>
      <c r="AT2461" s="197"/>
      <c r="AU2461" s="197"/>
      <c r="AV2461" s="197"/>
      <c r="AW2461" s="197"/>
    </row>
    <row r="2462" spans="28:49" s="196" customFormat="1">
      <c r="AB2462" s="201"/>
      <c r="AC2462" s="201"/>
      <c r="AD2462" s="197"/>
      <c r="AE2462" s="197"/>
      <c r="AF2462" s="197"/>
      <c r="AG2462" s="197"/>
      <c r="AH2462" s="197"/>
      <c r="AI2462" s="197"/>
      <c r="AJ2462" s="197"/>
      <c r="AK2462" s="197"/>
      <c r="AL2462" s="197"/>
      <c r="AM2462" s="197"/>
      <c r="AN2462" s="197"/>
      <c r="AO2462" s="197"/>
      <c r="AP2462" s="197"/>
      <c r="AQ2462" s="197"/>
      <c r="AR2462" s="197"/>
      <c r="AS2462" s="197"/>
      <c r="AT2462" s="197"/>
      <c r="AU2462" s="197"/>
      <c r="AV2462" s="197"/>
      <c r="AW2462" s="197"/>
    </row>
    <row r="2463" spans="28:49" s="196" customFormat="1">
      <c r="AB2463" s="201"/>
      <c r="AC2463" s="201"/>
      <c r="AD2463" s="197"/>
      <c r="AE2463" s="197"/>
      <c r="AF2463" s="197"/>
      <c r="AG2463" s="197"/>
      <c r="AH2463" s="197"/>
      <c r="AI2463" s="197"/>
      <c r="AJ2463" s="197"/>
      <c r="AK2463" s="197"/>
      <c r="AL2463" s="197"/>
      <c r="AM2463" s="197"/>
      <c r="AN2463" s="197"/>
      <c r="AO2463" s="197"/>
      <c r="AP2463" s="197"/>
      <c r="AQ2463" s="197"/>
      <c r="AR2463" s="197"/>
      <c r="AS2463" s="197"/>
      <c r="AT2463" s="197"/>
      <c r="AU2463" s="197"/>
      <c r="AV2463" s="197"/>
      <c r="AW2463" s="197"/>
    </row>
    <row r="2464" spans="28:49" s="196" customFormat="1">
      <c r="AB2464" s="201"/>
      <c r="AC2464" s="201"/>
      <c r="AD2464" s="197"/>
      <c r="AE2464" s="197"/>
      <c r="AF2464" s="197"/>
      <c r="AG2464" s="197"/>
      <c r="AH2464" s="197"/>
      <c r="AI2464" s="197"/>
      <c r="AJ2464" s="197"/>
      <c r="AK2464" s="197"/>
      <c r="AL2464" s="197"/>
      <c r="AM2464" s="197"/>
      <c r="AN2464" s="197"/>
      <c r="AO2464" s="197"/>
      <c r="AP2464" s="197"/>
      <c r="AQ2464" s="197"/>
      <c r="AR2464" s="197"/>
      <c r="AS2464" s="197"/>
      <c r="AT2464" s="197"/>
      <c r="AU2464" s="197"/>
      <c r="AV2464" s="197"/>
      <c r="AW2464" s="197"/>
    </row>
    <row r="2465" spans="28:49" s="196" customFormat="1">
      <c r="AB2465" s="201"/>
      <c r="AC2465" s="201"/>
      <c r="AD2465" s="197"/>
      <c r="AE2465" s="197"/>
      <c r="AF2465" s="197"/>
      <c r="AG2465" s="197"/>
      <c r="AH2465" s="197"/>
      <c r="AI2465" s="197"/>
      <c r="AJ2465" s="197"/>
      <c r="AK2465" s="197"/>
      <c r="AL2465" s="197"/>
      <c r="AM2465" s="197"/>
      <c r="AN2465" s="197"/>
      <c r="AO2465" s="197"/>
      <c r="AP2465" s="197"/>
      <c r="AQ2465" s="197"/>
      <c r="AR2465" s="197"/>
      <c r="AS2465" s="197"/>
      <c r="AT2465" s="197"/>
      <c r="AU2465" s="197"/>
      <c r="AV2465" s="197"/>
      <c r="AW2465" s="197"/>
    </row>
    <row r="2466" spans="28:49" s="196" customFormat="1">
      <c r="AB2466" s="201"/>
      <c r="AC2466" s="201"/>
      <c r="AD2466" s="197"/>
      <c r="AE2466" s="197"/>
      <c r="AF2466" s="197"/>
      <c r="AG2466" s="197"/>
      <c r="AH2466" s="197"/>
      <c r="AI2466" s="197"/>
      <c r="AJ2466" s="197"/>
      <c r="AK2466" s="197"/>
      <c r="AL2466" s="197"/>
      <c r="AM2466" s="197"/>
      <c r="AN2466" s="197"/>
      <c r="AO2466" s="197"/>
      <c r="AP2466" s="197"/>
      <c r="AQ2466" s="197"/>
      <c r="AR2466" s="197"/>
      <c r="AS2466" s="197"/>
      <c r="AT2466" s="197"/>
      <c r="AU2466" s="197"/>
      <c r="AV2466" s="197"/>
      <c r="AW2466" s="197"/>
    </row>
    <row r="2467" spans="28:49" s="196" customFormat="1">
      <c r="AB2467" s="201"/>
      <c r="AC2467" s="201"/>
      <c r="AD2467" s="197"/>
      <c r="AE2467" s="197"/>
      <c r="AF2467" s="197"/>
      <c r="AG2467" s="197"/>
      <c r="AH2467" s="197"/>
      <c r="AI2467" s="197"/>
      <c r="AJ2467" s="197"/>
      <c r="AK2467" s="197"/>
      <c r="AL2467" s="197"/>
      <c r="AM2467" s="197"/>
      <c r="AN2467" s="197"/>
      <c r="AO2467" s="197"/>
      <c r="AP2467" s="197"/>
      <c r="AQ2467" s="197"/>
      <c r="AR2467" s="197"/>
      <c r="AS2467" s="197"/>
      <c r="AT2467" s="197"/>
      <c r="AU2467" s="197"/>
      <c r="AV2467" s="197"/>
      <c r="AW2467" s="197"/>
    </row>
    <row r="2468" spans="28:49" s="196" customFormat="1">
      <c r="AB2468" s="201"/>
      <c r="AC2468" s="201"/>
      <c r="AD2468" s="197"/>
      <c r="AE2468" s="197"/>
      <c r="AF2468" s="197"/>
      <c r="AG2468" s="197"/>
      <c r="AH2468" s="197"/>
      <c r="AI2468" s="197"/>
      <c r="AJ2468" s="197"/>
      <c r="AK2468" s="197"/>
      <c r="AL2468" s="197"/>
      <c r="AM2468" s="197"/>
      <c r="AN2468" s="197"/>
      <c r="AO2468" s="197"/>
      <c r="AP2468" s="197"/>
      <c r="AQ2468" s="197"/>
      <c r="AR2468" s="197"/>
      <c r="AS2468" s="197"/>
      <c r="AT2468" s="197"/>
      <c r="AU2468" s="197"/>
      <c r="AV2468" s="197"/>
      <c r="AW2468" s="197"/>
    </row>
    <row r="2469" spans="28:49" s="196" customFormat="1">
      <c r="AB2469" s="201"/>
      <c r="AC2469" s="201"/>
      <c r="AD2469" s="197"/>
      <c r="AE2469" s="197"/>
      <c r="AF2469" s="197"/>
      <c r="AG2469" s="197"/>
      <c r="AH2469" s="197"/>
      <c r="AI2469" s="197"/>
      <c r="AJ2469" s="197"/>
      <c r="AK2469" s="197"/>
      <c r="AL2469" s="197"/>
      <c r="AM2469" s="197"/>
      <c r="AN2469" s="197"/>
      <c r="AO2469" s="197"/>
      <c r="AP2469" s="197"/>
      <c r="AQ2469" s="197"/>
      <c r="AR2469" s="197"/>
      <c r="AS2469" s="197"/>
      <c r="AT2469" s="197"/>
      <c r="AU2469" s="197"/>
      <c r="AV2469" s="197"/>
      <c r="AW2469" s="197"/>
    </row>
    <row r="2470" spans="28:49" s="196" customFormat="1">
      <c r="AB2470" s="201"/>
      <c r="AC2470" s="201"/>
      <c r="AD2470" s="197"/>
      <c r="AE2470" s="197"/>
      <c r="AF2470" s="197"/>
      <c r="AG2470" s="197"/>
      <c r="AH2470" s="197"/>
      <c r="AI2470" s="197"/>
      <c r="AJ2470" s="197"/>
      <c r="AK2470" s="197"/>
      <c r="AL2470" s="197"/>
      <c r="AM2470" s="197"/>
      <c r="AN2470" s="197"/>
      <c r="AO2470" s="197"/>
      <c r="AP2470" s="197"/>
      <c r="AQ2470" s="197"/>
      <c r="AR2470" s="197"/>
      <c r="AS2470" s="197"/>
      <c r="AT2470" s="197"/>
      <c r="AU2470" s="197"/>
      <c r="AV2470" s="197"/>
      <c r="AW2470" s="197"/>
    </row>
    <row r="2471" spans="28:49" s="196" customFormat="1">
      <c r="AB2471" s="201"/>
      <c r="AC2471" s="201"/>
      <c r="AD2471" s="197"/>
      <c r="AE2471" s="197"/>
      <c r="AF2471" s="197"/>
      <c r="AG2471" s="197"/>
      <c r="AH2471" s="197"/>
      <c r="AI2471" s="197"/>
      <c r="AJ2471" s="197"/>
      <c r="AK2471" s="197"/>
      <c r="AL2471" s="197"/>
      <c r="AM2471" s="197"/>
      <c r="AN2471" s="197"/>
      <c r="AO2471" s="197"/>
      <c r="AP2471" s="197"/>
      <c r="AQ2471" s="197"/>
      <c r="AR2471" s="197"/>
      <c r="AS2471" s="197"/>
      <c r="AT2471" s="197"/>
      <c r="AU2471" s="197"/>
      <c r="AV2471" s="197"/>
      <c r="AW2471" s="197"/>
    </row>
    <row r="2472" spans="28:49" s="196" customFormat="1">
      <c r="AB2472" s="201"/>
      <c r="AC2472" s="201"/>
      <c r="AD2472" s="197"/>
      <c r="AE2472" s="197"/>
      <c r="AF2472" s="197"/>
      <c r="AG2472" s="197"/>
      <c r="AH2472" s="197"/>
      <c r="AI2472" s="197"/>
      <c r="AJ2472" s="197"/>
      <c r="AK2472" s="197"/>
      <c r="AL2472" s="197"/>
      <c r="AM2472" s="197"/>
      <c r="AN2472" s="197"/>
      <c r="AO2472" s="197"/>
      <c r="AP2472" s="197"/>
      <c r="AQ2472" s="197"/>
      <c r="AR2472" s="197"/>
      <c r="AS2472" s="197"/>
      <c r="AT2472" s="197"/>
      <c r="AU2472" s="197"/>
      <c r="AV2472" s="197"/>
      <c r="AW2472" s="197"/>
    </row>
    <row r="2473" spans="28:49" s="196" customFormat="1">
      <c r="AB2473" s="201"/>
      <c r="AC2473" s="201"/>
      <c r="AD2473" s="197"/>
      <c r="AE2473" s="197"/>
      <c r="AF2473" s="197"/>
      <c r="AG2473" s="197"/>
      <c r="AH2473" s="197"/>
      <c r="AI2473" s="197"/>
      <c r="AJ2473" s="197"/>
      <c r="AK2473" s="197"/>
      <c r="AL2473" s="197"/>
      <c r="AM2473" s="197"/>
      <c r="AN2473" s="197"/>
      <c r="AO2473" s="197"/>
      <c r="AP2473" s="197"/>
      <c r="AQ2473" s="197"/>
      <c r="AR2473" s="197"/>
      <c r="AS2473" s="197"/>
      <c r="AT2473" s="197"/>
      <c r="AU2473" s="197"/>
      <c r="AV2473" s="197"/>
      <c r="AW2473" s="197"/>
    </row>
    <row r="2474" spans="28:49" s="196" customFormat="1">
      <c r="AB2474" s="201"/>
      <c r="AC2474" s="201"/>
      <c r="AD2474" s="197"/>
      <c r="AE2474" s="197"/>
      <c r="AF2474" s="197"/>
      <c r="AG2474" s="197"/>
      <c r="AH2474" s="197"/>
      <c r="AI2474" s="197"/>
      <c r="AJ2474" s="197"/>
      <c r="AK2474" s="197"/>
      <c r="AL2474" s="197"/>
      <c r="AM2474" s="197"/>
      <c r="AN2474" s="197"/>
      <c r="AO2474" s="197"/>
      <c r="AP2474" s="197"/>
      <c r="AQ2474" s="197"/>
      <c r="AR2474" s="197"/>
      <c r="AS2474" s="197"/>
      <c r="AT2474" s="197"/>
      <c r="AU2474" s="197"/>
      <c r="AV2474" s="197"/>
      <c r="AW2474" s="197"/>
    </row>
    <row r="2475" spans="28:49" s="196" customFormat="1">
      <c r="AB2475" s="201"/>
      <c r="AC2475" s="201"/>
      <c r="AD2475" s="197"/>
      <c r="AE2475" s="197"/>
      <c r="AF2475" s="197"/>
      <c r="AG2475" s="197"/>
      <c r="AH2475" s="197"/>
      <c r="AI2475" s="197"/>
      <c r="AJ2475" s="197"/>
      <c r="AK2475" s="197"/>
      <c r="AL2475" s="197"/>
      <c r="AM2475" s="197"/>
      <c r="AN2475" s="197"/>
      <c r="AO2475" s="197"/>
      <c r="AP2475" s="197"/>
      <c r="AQ2475" s="197"/>
      <c r="AR2475" s="197"/>
      <c r="AS2475" s="197"/>
      <c r="AT2475" s="197"/>
      <c r="AU2475" s="197"/>
      <c r="AV2475" s="197"/>
      <c r="AW2475" s="197"/>
    </row>
    <row r="2476" spans="28:49" s="196" customFormat="1">
      <c r="AB2476" s="201"/>
      <c r="AC2476" s="201"/>
      <c r="AD2476" s="197"/>
      <c r="AE2476" s="197"/>
      <c r="AF2476" s="197"/>
      <c r="AG2476" s="197"/>
      <c r="AH2476" s="197"/>
      <c r="AI2476" s="197"/>
      <c r="AJ2476" s="197"/>
      <c r="AK2476" s="197"/>
      <c r="AL2476" s="197"/>
      <c r="AM2476" s="197"/>
      <c r="AN2476" s="197"/>
      <c r="AO2476" s="197"/>
      <c r="AP2476" s="197"/>
      <c r="AQ2476" s="197"/>
      <c r="AR2476" s="197"/>
      <c r="AS2476" s="197"/>
      <c r="AT2476" s="197"/>
      <c r="AU2476" s="197"/>
      <c r="AV2476" s="197"/>
      <c r="AW2476" s="197"/>
    </row>
    <row r="2477" spans="28:49" s="196" customFormat="1">
      <c r="AB2477" s="201"/>
      <c r="AC2477" s="201"/>
      <c r="AD2477" s="197"/>
      <c r="AE2477" s="197"/>
      <c r="AF2477" s="197"/>
      <c r="AG2477" s="197"/>
      <c r="AH2477" s="197"/>
      <c r="AI2477" s="197"/>
      <c r="AJ2477" s="197"/>
      <c r="AK2477" s="197"/>
      <c r="AL2477" s="197"/>
      <c r="AM2477" s="197"/>
      <c r="AN2477" s="197"/>
      <c r="AO2477" s="197"/>
      <c r="AP2477" s="197"/>
      <c r="AQ2477" s="197"/>
      <c r="AR2477" s="197"/>
      <c r="AS2477" s="197"/>
      <c r="AT2477" s="197"/>
      <c r="AU2477" s="197"/>
      <c r="AV2477" s="197"/>
      <c r="AW2477" s="197"/>
    </row>
    <row r="2478" spans="28:49" s="196" customFormat="1">
      <c r="AB2478" s="201"/>
      <c r="AC2478" s="201"/>
      <c r="AD2478" s="197"/>
      <c r="AE2478" s="197"/>
      <c r="AF2478" s="197"/>
      <c r="AG2478" s="197"/>
      <c r="AH2478" s="197"/>
      <c r="AI2478" s="197"/>
      <c r="AJ2478" s="197"/>
      <c r="AK2478" s="197"/>
      <c r="AL2478" s="197"/>
      <c r="AM2478" s="197"/>
      <c r="AN2478" s="197"/>
      <c r="AO2478" s="197"/>
      <c r="AP2478" s="197"/>
      <c r="AQ2478" s="197"/>
      <c r="AR2478" s="197"/>
      <c r="AS2478" s="197"/>
      <c r="AT2478" s="197"/>
      <c r="AU2478" s="197"/>
      <c r="AV2478" s="197"/>
      <c r="AW2478" s="197"/>
    </row>
    <row r="2479" spans="28:49" s="196" customFormat="1">
      <c r="AB2479" s="201"/>
      <c r="AC2479" s="201"/>
      <c r="AD2479" s="197"/>
      <c r="AE2479" s="197"/>
      <c r="AF2479" s="197"/>
      <c r="AG2479" s="197"/>
      <c r="AH2479" s="197"/>
      <c r="AI2479" s="197"/>
      <c r="AJ2479" s="197"/>
      <c r="AK2479" s="197"/>
      <c r="AL2479" s="197"/>
      <c r="AM2479" s="197"/>
      <c r="AN2479" s="197"/>
      <c r="AO2479" s="197"/>
      <c r="AP2479" s="197"/>
      <c r="AQ2479" s="197"/>
      <c r="AR2479" s="197"/>
      <c r="AS2479" s="197"/>
      <c r="AT2479" s="197"/>
      <c r="AU2479" s="197"/>
      <c r="AV2479" s="197"/>
      <c r="AW2479" s="197"/>
    </row>
    <row r="2480" spans="28:49" s="196" customFormat="1">
      <c r="AB2480" s="201"/>
      <c r="AC2480" s="201"/>
      <c r="AD2480" s="197"/>
      <c r="AE2480" s="197"/>
      <c r="AF2480" s="197"/>
      <c r="AG2480" s="197"/>
      <c r="AH2480" s="197"/>
      <c r="AI2480" s="197"/>
      <c r="AJ2480" s="197"/>
      <c r="AK2480" s="197"/>
      <c r="AL2480" s="197"/>
      <c r="AM2480" s="197"/>
      <c r="AN2480" s="197"/>
      <c r="AO2480" s="197"/>
      <c r="AP2480" s="197"/>
      <c r="AQ2480" s="197"/>
      <c r="AR2480" s="197"/>
      <c r="AS2480" s="197"/>
      <c r="AT2480" s="197"/>
      <c r="AU2480" s="197"/>
      <c r="AV2480" s="197"/>
      <c r="AW2480" s="197"/>
    </row>
    <row r="2481" spans="28:49" s="196" customFormat="1">
      <c r="AB2481" s="201"/>
      <c r="AC2481" s="201"/>
      <c r="AD2481" s="197"/>
      <c r="AE2481" s="197"/>
      <c r="AF2481" s="197"/>
      <c r="AG2481" s="197"/>
      <c r="AH2481" s="197"/>
      <c r="AI2481" s="197"/>
      <c r="AJ2481" s="197"/>
      <c r="AK2481" s="197"/>
      <c r="AL2481" s="197"/>
      <c r="AM2481" s="197"/>
      <c r="AN2481" s="197"/>
      <c r="AO2481" s="197"/>
      <c r="AP2481" s="197"/>
      <c r="AQ2481" s="197"/>
      <c r="AR2481" s="197"/>
      <c r="AS2481" s="197"/>
      <c r="AT2481" s="197"/>
      <c r="AU2481" s="197"/>
      <c r="AV2481" s="197"/>
      <c r="AW2481" s="197"/>
    </row>
    <row r="2482" spans="28:49" s="196" customFormat="1">
      <c r="AB2482" s="201"/>
      <c r="AC2482" s="201"/>
      <c r="AD2482" s="197"/>
      <c r="AE2482" s="197"/>
      <c r="AF2482" s="197"/>
      <c r="AG2482" s="197"/>
      <c r="AH2482" s="197"/>
      <c r="AI2482" s="197"/>
      <c r="AJ2482" s="197"/>
      <c r="AK2482" s="197"/>
      <c r="AL2482" s="197"/>
      <c r="AM2482" s="197"/>
      <c r="AN2482" s="197"/>
      <c r="AO2482" s="197"/>
      <c r="AP2482" s="197"/>
      <c r="AQ2482" s="197"/>
      <c r="AR2482" s="197"/>
      <c r="AS2482" s="197"/>
      <c r="AT2482" s="197"/>
      <c r="AU2482" s="197"/>
      <c r="AV2482" s="197"/>
      <c r="AW2482" s="197"/>
    </row>
    <row r="2483" spans="28:49" s="196" customFormat="1">
      <c r="AB2483" s="201"/>
      <c r="AC2483" s="201"/>
      <c r="AD2483" s="197"/>
      <c r="AE2483" s="197"/>
      <c r="AF2483" s="197"/>
      <c r="AG2483" s="197"/>
      <c r="AH2483" s="197"/>
      <c r="AI2483" s="197"/>
      <c r="AJ2483" s="197"/>
      <c r="AK2483" s="197"/>
      <c r="AL2483" s="197"/>
      <c r="AM2483" s="197"/>
      <c r="AN2483" s="197"/>
      <c r="AO2483" s="197"/>
      <c r="AP2483" s="197"/>
      <c r="AQ2483" s="197"/>
      <c r="AR2483" s="197"/>
      <c r="AS2483" s="197"/>
      <c r="AT2483" s="197"/>
      <c r="AU2483" s="197"/>
      <c r="AV2483" s="197"/>
      <c r="AW2483" s="197"/>
    </row>
    <row r="2484" spans="28:49" s="196" customFormat="1">
      <c r="AB2484" s="201"/>
      <c r="AC2484" s="201"/>
      <c r="AD2484" s="197"/>
      <c r="AE2484" s="197"/>
      <c r="AF2484" s="197"/>
      <c r="AG2484" s="197"/>
      <c r="AH2484" s="197"/>
      <c r="AI2484" s="197"/>
      <c r="AJ2484" s="197"/>
      <c r="AK2484" s="197"/>
      <c r="AL2484" s="197"/>
      <c r="AM2484" s="197"/>
      <c r="AN2484" s="197"/>
      <c r="AO2484" s="197"/>
      <c r="AP2484" s="197"/>
      <c r="AQ2484" s="197"/>
      <c r="AR2484" s="197"/>
      <c r="AS2484" s="197"/>
      <c r="AT2484" s="197"/>
      <c r="AU2484" s="197"/>
      <c r="AV2484" s="197"/>
      <c r="AW2484" s="197"/>
    </row>
    <row r="2485" spans="28:49" s="196" customFormat="1">
      <c r="AB2485" s="201"/>
      <c r="AC2485" s="201"/>
      <c r="AD2485" s="197"/>
      <c r="AE2485" s="197"/>
      <c r="AF2485" s="197"/>
      <c r="AG2485" s="197"/>
      <c r="AH2485" s="197"/>
      <c r="AI2485" s="197"/>
      <c r="AJ2485" s="197"/>
      <c r="AK2485" s="197"/>
      <c r="AL2485" s="197"/>
      <c r="AM2485" s="197"/>
      <c r="AN2485" s="197"/>
      <c r="AO2485" s="197"/>
      <c r="AP2485" s="197"/>
      <c r="AQ2485" s="197"/>
      <c r="AR2485" s="197"/>
      <c r="AS2485" s="197"/>
      <c r="AT2485" s="197"/>
      <c r="AU2485" s="197"/>
      <c r="AV2485" s="197"/>
      <c r="AW2485" s="197"/>
    </row>
    <row r="2486" spans="28:49" s="196" customFormat="1">
      <c r="AB2486" s="201"/>
      <c r="AC2486" s="201"/>
      <c r="AD2486" s="197"/>
      <c r="AE2486" s="197"/>
      <c r="AF2486" s="197"/>
      <c r="AG2486" s="197"/>
      <c r="AH2486" s="197"/>
      <c r="AI2486" s="197"/>
      <c r="AJ2486" s="197"/>
      <c r="AK2486" s="197"/>
      <c r="AL2486" s="197"/>
      <c r="AM2486" s="197"/>
      <c r="AN2486" s="197"/>
      <c r="AO2486" s="197"/>
      <c r="AP2486" s="197"/>
      <c r="AQ2486" s="197"/>
      <c r="AR2486" s="197"/>
      <c r="AS2486" s="197"/>
      <c r="AT2486" s="197"/>
      <c r="AU2486" s="197"/>
      <c r="AV2486" s="197"/>
      <c r="AW2486" s="197"/>
    </row>
    <row r="2487" spans="28:49" s="196" customFormat="1">
      <c r="AB2487" s="201"/>
      <c r="AC2487" s="201"/>
      <c r="AD2487" s="197"/>
      <c r="AE2487" s="197"/>
      <c r="AF2487" s="197"/>
      <c r="AG2487" s="197"/>
      <c r="AH2487" s="197"/>
      <c r="AI2487" s="197"/>
      <c r="AJ2487" s="197"/>
      <c r="AK2487" s="197"/>
      <c r="AL2487" s="197"/>
      <c r="AM2487" s="197"/>
      <c r="AN2487" s="197"/>
      <c r="AO2487" s="197"/>
      <c r="AP2487" s="197"/>
      <c r="AQ2487" s="197"/>
      <c r="AR2487" s="197"/>
      <c r="AS2487" s="197"/>
      <c r="AT2487" s="197"/>
      <c r="AU2487" s="197"/>
      <c r="AV2487" s="197"/>
      <c r="AW2487" s="197"/>
    </row>
    <row r="2488" spans="28:49" s="196" customFormat="1">
      <c r="AB2488" s="201"/>
      <c r="AC2488" s="201"/>
      <c r="AD2488" s="197"/>
      <c r="AE2488" s="197"/>
      <c r="AF2488" s="197"/>
      <c r="AG2488" s="197"/>
      <c r="AH2488" s="197"/>
      <c r="AI2488" s="197"/>
      <c r="AJ2488" s="197"/>
      <c r="AK2488" s="197"/>
      <c r="AL2488" s="197"/>
      <c r="AM2488" s="197"/>
      <c r="AN2488" s="197"/>
      <c r="AO2488" s="197"/>
      <c r="AP2488" s="197"/>
      <c r="AQ2488" s="197"/>
      <c r="AR2488" s="197"/>
      <c r="AS2488" s="197"/>
      <c r="AT2488" s="197"/>
      <c r="AU2488" s="197"/>
      <c r="AV2488" s="197"/>
      <c r="AW2488" s="197"/>
    </row>
    <row r="2489" spans="28:49" s="196" customFormat="1">
      <c r="AB2489" s="201"/>
      <c r="AC2489" s="201"/>
      <c r="AD2489" s="197"/>
      <c r="AE2489" s="197"/>
      <c r="AF2489" s="197"/>
      <c r="AG2489" s="197"/>
      <c r="AH2489" s="197"/>
      <c r="AI2489" s="197"/>
      <c r="AJ2489" s="197"/>
      <c r="AK2489" s="197"/>
      <c r="AL2489" s="197"/>
      <c r="AM2489" s="197"/>
      <c r="AN2489" s="197"/>
      <c r="AO2489" s="197"/>
      <c r="AP2489" s="197"/>
      <c r="AQ2489" s="197"/>
      <c r="AR2489" s="197"/>
      <c r="AS2489" s="197"/>
      <c r="AT2489" s="197"/>
      <c r="AU2489" s="197"/>
      <c r="AV2489" s="197"/>
      <c r="AW2489" s="197"/>
    </row>
    <row r="2490" spans="28:49" s="196" customFormat="1">
      <c r="AB2490" s="201"/>
      <c r="AC2490" s="201"/>
      <c r="AD2490" s="197"/>
      <c r="AE2490" s="197"/>
      <c r="AF2490" s="197"/>
      <c r="AG2490" s="197"/>
      <c r="AH2490" s="197"/>
      <c r="AI2490" s="197"/>
      <c r="AJ2490" s="197"/>
      <c r="AK2490" s="197"/>
      <c r="AL2490" s="197"/>
      <c r="AM2490" s="197"/>
      <c r="AN2490" s="197"/>
      <c r="AO2490" s="197"/>
      <c r="AP2490" s="197"/>
      <c r="AQ2490" s="197"/>
      <c r="AR2490" s="197"/>
      <c r="AS2490" s="197"/>
      <c r="AT2490" s="197"/>
      <c r="AU2490" s="197"/>
      <c r="AV2490" s="197"/>
      <c r="AW2490" s="197"/>
    </row>
    <row r="2491" spans="28:49" s="196" customFormat="1">
      <c r="AB2491" s="201"/>
      <c r="AC2491" s="201"/>
      <c r="AD2491" s="197"/>
      <c r="AE2491" s="197"/>
      <c r="AF2491" s="197"/>
      <c r="AG2491" s="197"/>
      <c r="AH2491" s="197"/>
      <c r="AI2491" s="197"/>
      <c r="AJ2491" s="197"/>
      <c r="AK2491" s="197"/>
      <c r="AL2491" s="197"/>
      <c r="AM2491" s="197"/>
      <c r="AN2491" s="197"/>
      <c r="AO2491" s="197"/>
      <c r="AP2491" s="197"/>
      <c r="AQ2491" s="197"/>
      <c r="AR2491" s="197"/>
      <c r="AS2491" s="197"/>
      <c r="AT2491" s="197"/>
      <c r="AU2491" s="197"/>
      <c r="AV2491" s="197"/>
      <c r="AW2491" s="197"/>
    </row>
    <row r="2492" spans="28:49" s="196" customFormat="1">
      <c r="AB2492" s="201"/>
      <c r="AC2492" s="201"/>
      <c r="AD2492" s="197"/>
      <c r="AE2492" s="197"/>
      <c r="AF2492" s="197"/>
      <c r="AG2492" s="197"/>
      <c r="AH2492" s="197"/>
      <c r="AI2492" s="197"/>
      <c r="AJ2492" s="197"/>
      <c r="AK2492" s="197"/>
      <c r="AL2492" s="197"/>
      <c r="AM2492" s="197"/>
      <c r="AN2492" s="197"/>
      <c r="AO2492" s="197"/>
      <c r="AP2492" s="197"/>
      <c r="AQ2492" s="197"/>
      <c r="AR2492" s="197"/>
      <c r="AS2492" s="197"/>
      <c r="AT2492" s="197"/>
      <c r="AU2492" s="197"/>
      <c r="AV2492" s="197"/>
      <c r="AW2492" s="197"/>
    </row>
    <row r="2493" spans="28:49" s="196" customFormat="1">
      <c r="AB2493" s="201"/>
      <c r="AC2493" s="201"/>
      <c r="AD2493" s="197"/>
      <c r="AE2493" s="197"/>
      <c r="AF2493" s="197"/>
      <c r="AG2493" s="197"/>
      <c r="AH2493" s="197"/>
      <c r="AI2493" s="197"/>
      <c r="AJ2493" s="197"/>
      <c r="AK2493" s="197"/>
      <c r="AL2493" s="197"/>
      <c r="AM2493" s="197"/>
      <c r="AN2493" s="197"/>
      <c r="AO2493" s="197"/>
      <c r="AP2493" s="197"/>
      <c r="AQ2493" s="197"/>
      <c r="AR2493" s="197"/>
      <c r="AS2493" s="197"/>
      <c r="AT2493" s="197"/>
      <c r="AU2493" s="197"/>
      <c r="AV2493" s="197"/>
      <c r="AW2493" s="197"/>
    </row>
    <row r="2494" spans="28:49" s="196" customFormat="1">
      <c r="AB2494" s="201"/>
      <c r="AC2494" s="201"/>
      <c r="AD2494" s="197"/>
      <c r="AE2494" s="197"/>
      <c r="AF2494" s="197"/>
      <c r="AG2494" s="197"/>
      <c r="AH2494" s="197"/>
      <c r="AI2494" s="197"/>
      <c r="AJ2494" s="197"/>
      <c r="AK2494" s="197"/>
      <c r="AL2494" s="197"/>
      <c r="AM2494" s="197"/>
      <c r="AN2494" s="197"/>
      <c r="AO2494" s="197"/>
      <c r="AP2494" s="197"/>
      <c r="AQ2494" s="197"/>
      <c r="AR2494" s="197"/>
      <c r="AS2494" s="197"/>
      <c r="AT2494" s="197"/>
      <c r="AU2494" s="197"/>
      <c r="AV2494" s="197"/>
      <c r="AW2494" s="197"/>
    </row>
    <row r="2495" spans="28:49" s="196" customFormat="1">
      <c r="AB2495" s="201"/>
      <c r="AC2495" s="201"/>
      <c r="AD2495" s="197"/>
      <c r="AE2495" s="197"/>
      <c r="AF2495" s="197"/>
      <c r="AG2495" s="197"/>
      <c r="AH2495" s="197"/>
      <c r="AI2495" s="197"/>
      <c r="AJ2495" s="197"/>
      <c r="AK2495" s="197"/>
      <c r="AL2495" s="197"/>
      <c r="AM2495" s="197"/>
      <c r="AN2495" s="197"/>
      <c r="AO2495" s="197"/>
      <c r="AP2495" s="197"/>
      <c r="AQ2495" s="197"/>
      <c r="AR2495" s="197"/>
      <c r="AS2495" s="197"/>
      <c r="AT2495" s="197"/>
      <c r="AU2495" s="197"/>
      <c r="AV2495" s="197"/>
      <c r="AW2495" s="197"/>
    </row>
    <row r="2496" spans="28:49" s="196" customFormat="1">
      <c r="AB2496" s="201"/>
      <c r="AC2496" s="201"/>
      <c r="AD2496" s="197"/>
      <c r="AE2496" s="197"/>
      <c r="AF2496" s="197"/>
      <c r="AG2496" s="197"/>
      <c r="AH2496" s="197"/>
      <c r="AI2496" s="197"/>
      <c r="AJ2496" s="197"/>
      <c r="AK2496" s="197"/>
      <c r="AL2496" s="197"/>
      <c r="AM2496" s="197"/>
      <c r="AN2496" s="197"/>
      <c r="AO2496" s="197"/>
      <c r="AP2496" s="197"/>
      <c r="AQ2496" s="197"/>
      <c r="AR2496" s="197"/>
      <c r="AS2496" s="197"/>
      <c r="AT2496" s="197"/>
      <c r="AU2496" s="197"/>
      <c r="AV2496" s="197"/>
      <c r="AW2496" s="197"/>
    </row>
    <row r="2497" spans="28:49" s="196" customFormat="1">
      <c r="AB2497" s="201"/>
      <c r="AC2497" s="201"/>
      <c r="AD2497" s="197"/>
      <c r="AE2497" s="197"/>
      <c r="AF2497" s="197"/>
      <c r="AG2497" s="197"/>
      <c r="AH2497" s="197"/>
      <c r="AI2497" s="197"/>
      <c r="AJ2497" s="197"/>
      <c r="AK2497" s="197"/>
      <c r="AL2497" s="197"/>
      <c r="AM2497" s="197"/>
      <c r="AN2497" s="197"/>
      <c r="AO2497" s="197"/>
      <c r="AP2497" s="197"/>
      <c r="AQ2497" s="197"/>
      <c r="AR2497" s="197"/>
      <c r="AS2497" s="197"/>
      <c r="AT2497" s="197"/>
      <c r="AU2497" s="197"/>
      <c r="AV2497" s="197"/>
      <c r="AW2497" s="197"/>
    </row>
    <row r="2498" spans="28:49" s="196" customFormat="1">
      <c r="AB2498" s="201"/>
      <c r="AC2498" s="201"/>
      <c r="AD2498" s="197"/>
      <c r="AE2498" s="197"/>
      <c r="AF2498" s="197"/>
      <c r="AG2498" s="197"/>
      <c r="AH2498" s="197"/>
      <c r="AI2498" s="197"/>
      <c r="AJ2498" s="197"/>
      <c r="AK2498" s="197"/>
      <c r="AL2498" s="197"/>
      <c r="AM2498" s="197"/>
      <c r="AN2498" s="197"/>
      <c r="AO2498" s="197"/>
      <c r="AP2498" s="197"/>
      <c r="AQ2498" s="197"/>
      <c r="AR2498" s="197"/>
      <c r="AS2498" s="197"/>
      <c r="AT2498" s="197"/>
      <c r="AU2498" s="197"/>
      <c r="AV2498" s="197"/>
      <c r="AW2498" s="197"/>
    </row>
    <row r="2499" spans="28:49" s="196" customFormat="1">
      <c r="AB2499" s="201"/>
      <c r="AC2499" s="201"/>
      <c r="AD2499" s="197"/>
      <c r="AE2499" s="197"/>
      <c r="AF2499" s="197"/>
      <c r="AG2499" s="197"/>
      <c r="AH2499" s="197"/>
      <c r="AI2499" s="197"/>
      <c r="AJ2499" s="197"/>
      <c r="AK2499" s="197"/>
      <c r="AL2499" s="197"/>
      <c r="AM2499" s="197"/>
      <c r="AN2499" s="197"/>
      <c r="AO2499" s="197"/>
      <c r="AP2499" s="197"/>
      <c r="AQ2499" s="197"/>
      <c r="AR2499" s="197"/>
      <c r="AS2499" s="197"/>
      <c r="AT2499" s="197"/>
      <c r="AU2499" s="197"/>
      <c r="AV2499" s="197"/>
      <c r="AW2499" s="197"/>
    </row>
    <row r="2500" spans="28:49" s="196" customFormat="1">
      <c r="AB2500" s="201"/>
      <c r="AC2500" s="201"/>
      <c r="AD2500" s="197"/>
      <c r="AE2500" s="197"/>
      <c r="AF2500" s="197"/>
      <c r="AG2500" s="197"/>
      <c r="AH2500" s="197"/>
      <c r="AI2500" s="197"/>
      <c r="AJ2500" s="197"/>
      <c r="AK2500" s="197"/>
      <c r="AL2500" s="197"/>
      <c r="AM2500" s="197"/>
      <c r="AN2500" s="197"/>
      <c r="AO2500" s="197"/>
      <c r="AP2500" s="197"/>
      <c r="AQ2500" s="197"/>
      <c r="AR2500" s="197"/>
      <c r="AS2500" s="197"/>
      <c r="AT2500" s="197"/>
      <c r="AU2500" s="197"/>
      <c r="AV2500" s="197"/>
      <c r="AW2500" s="197"/>
    </row>
    <row r="2501" spans="28:49" s="196" customFormat="1">
      <c r="AB2501" s="201"/>
      <c r="AC2501" s="201"/>
      <c r="AD2501" s="197"/>
      <c r="AE2501" s="197"/>
      <c r="AF2501" s="197"/>
      <c r="AG2501" s="197"/>
      <c r="AH2501" s="197"/>
      <c r="AI2501" s="197"/>
      <c r="AJ2501" s="197"/>
      <c r="AK2501" s="197"/>
      <c r="AL2501" s="197"/>
      <c r="AM2501" s="197"/>
      <c r="AN2501" s="197"/>
      <c r="AO2501" s="197"/>
      <c r="AP2501" s="197"/>
      <c r="AQ2501" s="197"/>
      <c r="AR2501" s="197"/>
      <c r="AS2501" s="197"/>
      <c r="AT2501" s="197"/>
      <c r="AU2501" s="197"/>
      <c r="AV2501" s="197"/>
      <c r="AW2501" s="197"/>
    </row>
    <row r="2502" spans="28:49" s="196" customFormat="1">
      <c r="AB2502" s="201"/>
      <c r="AC2502" s="201"/>
      <c r="AD2502" s="197"/>
      <c r="AE2502" s="197"/>
      <c r="AF2502" s="197"/>
      <c r="AG2502" s="197"/>
      <c r="AH2502" s="197"/>
      <c r="AI2502" s="197"/>
      <c r="AJ2502" s="197"/>
      <c r="AK2502" s="197"/>
      <c r="AL2502" s="197"/>
      <c r="AM2502" s="197"/>
      <c r="AN2502" s="197"/>
      <c r="AO2502" s="197"/>
      <c r="AP2502" s="197"/>
      <c r="AQ2502" s="197"/>
      <c r="AR2502" s="197"/>
      <c r="AS2502" s="197"/>
      <c r="AT2502" s="197"/>
      <c r="AU2502" s="197"/>
      <c r="AV2502" s="197"/>
      <c r="AW2502" s="197"/>
    </row>
    <row r="2503" spans="28:49" s="196" customFormat="1">
      <c r="AB2503" s="201"/>
      <c r="AC2503" s="201"/>
      <c r="AD2503" s="197"/>
      <c r="AE2503" s="197"/>
      <c r="AF2503" s="197"/>
      <c r="AG2503" s="197"/>
      <c r="AH2503" s="197"/>
      <c r="AI2503" s="197"/>
      <c r="AJ2503" s="197"/>
      <c r="AK2503" s="197"/>
      <c r="AL2503" s="197"/>
      <c r="AM2503" s="197"/>
      <c r="AN2503" s="197"/>
      <c r="AO2503" s="197"/>
      <c r="AP2503" s="197"/>
      <c r="AQ2503" s="197"/>
      <c r="AR2503" s="197"/>
      <c r="AS2503" s="197"/>
      <c r="AT2503" s="197"/>
      <c r="AU2503" s="197"/>
      <c r="AV2503" s="197"/>
      <c r="AW2503" s="197"/>
    </row>
    <row r="2504" spans="28:49" s="196" customFormat="1">
      <c r="AB2504" s="201"/>
      <c r="AC2504" s="201"/>
      <c r="AD2504" s="197"/>
      <c r="AE2504" s="197"/>
      <c r="AF2504" s="197"/>
      <c r="AG2504" s="197"/>
      <c r="AH2504" s="197"/>
      <c r="AI2504" s="197"/>
      <c r="AJ2504" s="197"/>
      <c r="AK2504" s="197"/>
      <c r="AL2504" s="197"/>
      <c r="AM2504" s="197"/>
      <c r="AN2504" s="197"/>
      <c r="AO2504" s="197"/>
      <c r="AP2504" s="197"/>
      <c r="AQ2504" s="197"/>
      <c r="AR2504" s="197"/>
      <c r="AS2504" s="197"/>
      <c r="AT2504" s="197"/>
      <c r="AU2504" s="197"/>
      <c r="AV2504" s="197"/>
      <c r="AW2504" s="197"/>
    </row>
    <row r="2505" spans="28:49" s="196" customFormat="1">
      <c r="AB2505" s="201"/>
      <c r="AC2505" s="201"/>
      <c r="AD2505" s="197"/>
      <c r="AE2505" s="197"/>
      <c r="AF2505" s="197"/>
      <c r="AG2505" s="197"/>
      <c r="AH2505" s="197"/>
      <c r="AI2505" s="197"/>
      <c r="AJ2505" s="197"/>
      <c r="AK2505" s="197"/>
      <c r="AL2505" s="197"/>
      <c r="AM2505" s="197"/>
      <c r="AN2505" s="197"/>
      <c r="AO2505" s="197"/>
      <c r="AP2505" s="197"/>
      <c r="AQ2505" s="197"/>
      <c r="AR2505" s="197"/>
      <c r="AS2505" s="197"/>
      <c r="AT2505" s="197"/>
      <c r="AU2505" s="197"/>
      <c r="AV2505" s="197"/>
      <c r="AW2505" s="197"/>
    </row>
    <row r="2506" spans="28:49" s="196" customFormat="1">
      <c r="AB2506" s="201"/>
      <c r="AC2506" s="201"/>
      <c r="AD2506" s="197"/>
      <c r="AE2506" s="197"/>
      <c r="AF2506" s="197"/>
      <c r="AG2506" s="197"/>
      <c r="AH2506" s="197"/>
      <c r="AI2506" s="197"/>
      <c r="AJ2506" s="197"/>
      <c r="AK2506" s="197"/>
      <c r="AL2506" s="197"/>
      <c r="AM2506" s="197"/>
      <c r="AN2506" s="197"/>
      <c r="AO2506" s="197"/>
      <c r="AP2506" s="197"/>
      <c r="AQ2506" s="197"/>
      <c r="AR2506" s="197"/>
      <c r="AS2506" s="197"/>
      <c r="AT2506" s="197"/>
      <c r="AU2506" s="197"/>
      <c r="AV2506" s="197"/>
      <c r="AW2506" s="197"/>
    </row>
    <row r="2507" spans="28:49" s="196" customFormat="1">
      <c r="AB2507" s="201"/>
      <c r="AC2507" s="201"/>
      <c r="AD2507" s="197"/>
      <c r="AE2507" s="197"/>
      <c r="AF2507" s="197"/>
      <c r="AG2507" s="197"/>
      <c r="AH2507" s="197"/>
      <c r="AI2507" s="197"/>
      <c r="AJ2507" s="197"/>
      <c r="AK2507" s="197"/>
      <c r="AL2507" s="197"/>
      <c r="AM2507" s="197"/>
      <c r="AN2507" s="197"/>
      <c r="AO2507" s="197"/>
      <c r="AP2507" s="197"/>
      <c r="AQ2507" s="197"/>
      <c r="AR2507" s="197"/>
      <c r="AS2507" s="197"/>
      <c r="AT2507" s="197"/>
      <c r="AU2507" s="197"/>
      <c r="AV2507" s="197"/>
      <c r="AW2507" s="197"/>
    </row>
    <row r="2508" spans="28:49" s="196" customFormat="1">
      <c r="AB2508" s="201"/>
      <c r="AC2508" s="201"/>
      <c r="AD2508" s="197"/>
      <c r="AE2508" s="197"/>
      <c r="AF2508" s="197"/>
      <c r="AG2508" s="197"/>
      <c r="AH2508" s="197"/>
      <c r="AI2508" s="197"/>
      <c r="AJ2508" s="197"/>
      <c r="AK2508" s="197"/>
      <c r="AL2508" s="197"/>
      <c r="AM2508" s="197"/>
      <c r="AN2508" s="197"/>
      <c r="AO2508" s="197"/>
      <c r="AP2508" s="197"/>
      <c r="AQ2508" s="197"/>
      <c r="AR2508" s="197"/>
      <c r="AS2508" s="197"/>
      <c r="AT2508" s="197"/>
      <c r="AU2508" s="197"/>
      <c r="AV2508" s="197"/>
      <c r="AW2508" s="197"/>
    </row>
    <row r="2509" spans="28:49" s="196" customFormat="1">
      <c r="AB2509" s="201"/>
      <c r="AC2509" s="201"/>
      <c r="AD2509" s="197"/>
      <c r="AE2509" s="197"/>
      <c r="AF2509" s="197"/>
      <c r="AG2509" s="197"/>
      <c r="AH2509" s="197"/>
      <c r="AI2509" s="197"/>
      <c r="AJ2509" s="197"/>
      <c r="AK2509" s="197"/>
      <c r="AL2509" s="197"/>
      <c r="AM2509" s="197"/>
      <c r="AN2509" s="197"/>
      <c r="AO2509" s="197"/>
      <c r="AP2509" s="197"/>
      <c r="AQ2509" s="197"/>
      <c r="AR2509" s="197"/>
      <c r="AS2509" s="197"/>
      <c r="AT2509" s="197"/>
      <c r="AU2509" s="197"/>
      <c r="AV2509" s="197"/>
      <c r="AW2509" s="197"/>
    </row>
    <row r="2510" spans="28:49" s="196" customFormat="1">
      <c r="AB2510" s="201"/>
      <c r="AC2510" s="201"/>
      <c r="AD2510" s="197"/>
      <c r="AE2510" s="197"/>
      <c r="AF2510" s="197"/>
      <c r="AG2510" s="197"/>
      <c r="AH2510" s="197"/>
      <c r="AI2510" s="197"/>
      <c r="AJ2510" s="197"/>
      <c r="AK2510" s="197"/>
      <c r="AL2510" s="197"/>
      <c r="AM2510" s="197"/>
      <c r="AN2510" s="197"/>
      <c r="AO2510" s="197"/>
      <c r="AP2510" s="197"/>
      <c r="AQ2510" s="197"/>
      <c r="AR2510" s="197"/>
      <c r="AS2510" s="197"/>
      <c r="AT2510" s="197"/>
      <c r="AU2510" s="197"/>
      <c r="AV2510" s="197"/>
      <c r="AW2510" s="197"/>
    </row>
    <row r="2511" spans="28:49" s="196" customFormat="1">
      <c r="AB2511" s="201"/>
      <c r="AC2511" s="201"/>
      <c r="AD2511" s="197"/>
      <c r="AE2511" s="197"/>
      <c r="AF2511" s="197"/>
      <c r="AG2511" s="197"/>
      <c r="AH2511" s="197"/>
      <c r="AI2511" s="197"/>
      <c r="AJ2511" s="197"/>
      <c r="AK2511" s="197"/>
      <c r="AL2511" s="197"/>
      <c r="AM2511" s="197"/>
      <c r="AN2511" s="197"/>
      <c r="AO2511" s="197"/>
      <c r="AP2511" s="197"/>
      <c r="AQ2511" s="197"/>
      <c r="AR2511" s="197"/>
      <c r="AS2511" s="197"/>
      <c r="AT2511" s="197"/>
      <c r="AU2511" s="197"/>
      <c r="AV2511" s="197"/>
      <c r="AW2511" s="197"/>
    </row>
    <row r="2512" spans="28:49" s="196" customFormat="1">
      <c r="AB2512" s="201"/>
      <c r="AC2512" s="201"/>
      <c r="AD2512" s="197"/>
      <c r="AE2512" s="197"/>
      <c r="AF2512" s="197"/>
      <c r="AG2512" s="197"/>
      <c r="AH2512" s="197"/>
      <c r="AI2512" s="197"/>
      <c r="AJ2512" s="197"/>
      <c r="AK2512" s="197"/>
      <c r="AL2512" s="197"/>
      <c r="AM2512" s="197"/>
      <c r="AN2512" s="197"/>
      <c r="AO2512" s="197"/>
      <c r="AP2512" s="197"/>
      <c r="AQ2512" s="197"/>
      <c r="AR2512" s="197"/>
      <c r="AS2512" s="197"/>
      <c r="AT2512" s="197"/>
      <c r="AU2512" s="197"/>
      <c r="AV2512" s="197"/>
      <c r="AW2512" s="197"/>
    </row>
    <row r="2513" spans="28:49" s="196" customFormat="1">
      <c r="AB2513" s="201"/>
      <c r="AC2513" s="201"/>
      <c r="AD2513" s="197"/>
      <c r="AE2513" s="197"/>
      <c r="AF2513" s="197"/>
      <c r="AG2513" s="197"/>
      <c r="AH2513" s="197"/>
      <c r="AI2513" s="197"/>
      <c r="AJ2513" s="197"/>
      <c r="AK2513" s="197"/>
      <c r="AL2513" s="197"/>
      <c r="AM2513" s="197"/>
      <c r="AN2513" s="197"/>
      <c r="AO2513" s="197"/>
      <c r="AP2513" s="197"/>
      <c r="AQ2513" s="197"/>
      <c r="AR2513" s="197"/>
      <c r="AS2513" s="197"/>
      <c r="AT2513" s="197"/>
      <c r="AU2513" s="197"/>
      <c r="AV2513" s="197"/>
      <c r="AW2513" s="197"/>
    </row>
    <row r="2514" spans="28:49" s="196" customFormat="1">
      <c r="AB2514" s="201"/>
      <c r="AC2514" s="201"/>
      <c r="AD2514" s="197"/>
      <c r="AE2514" s="197"/>
      <c r="AF2514" s="197"/>
      <c r="AG2514" s="197"/>
      <c r="AH2514" s="197"/>
      <c r="AI2514" s="197"/>
      <c r="AJ2514" s="197"/>
      <c r="AK2514" s="197"/>
      <c r="AL2514" s="197"/>
      <c r="AM2514" s="197"/>
      <c r="AN2514" s="197"/>
      <c r="AO2514" s="197"/>
      <c r="AP2514" s="197"/>
      <c r="AQ2514" s="197"/>
      <c r="AR2514" s="197"/>
      <c r="AS2514" s="197"/>
      <c r="AT2514" s="197"/>
      <c r="AU2514" s="197"/>
      <c r="AV2514" s="197"/>
      <c r="AW2514" s="197"/>
    </row>
    <row r="2515" spans="28:49" s="196" customFormat="1">
      <c r="AB2515" s="201"/>
      <c r="AC2515" s="201"/>
      <c r="AD2515" s="197"/>
      <c r="AE2515" s="197"/>
      <c r="AF2515" s="197"/>
      <c r="AG2515" s="197"/>
      <c r="AH2515" s="197"/>
      <c r="AI2515" s="197"/>
      <c r="AJ2515" s="197"/>
      <c r="AK2515" s="197"/>
      <c r="AL2515" s="197"/>
      <c r="AM2515" s="197"/>
      <c r="AN2515" s="197"/>
      <c r="AO2515" s="197"/>
      <c r="AP2515" s="197"/>
      <c r="AQ2515" s="197"/>
      <c r="AR2515" s="197"/>
      <c r="AS2515" s="197"/>
      <c r="AT2515" s="197"/>
      <c r="AU2515" s="197"/>
      <c r="AV2515" s="197"/>
      <c r="AW2515" s="197"/>
    </row>
    <row r="2516" spans="28:49" s="196" customFormat="1">
      <c r="AB2516" s="201"/>
      <c r="AC2516" s="201"/>
      <c r="AD2516" s="197"/>
      <c r="AE2516" s="197"/>
      <c r="AF2516" s="197"/>
      <c r="AG2516" s="197"/>
      <c r="AH2516" s="197"/>
      <c r="AI2516" s="197"/>
      <c r="AJ2516" s="197"/>
      <c r="AK2516" s="197"/>
      <c r="AL2516" s="197"/>
      <c r="AM2516" s="197"/>
      <c r="AN2516" s="197"/>
      <c r="AO2516" s="197"/>
      <c r="AP2516" s="197"/>
      <c r="AQ2516" s="197"/>
      <c r="AR2516" s="197"/>
      <c r="AS2516" s="197"/>
      <c r="AT2516" s="197"/>
      <c r="AU2516" s="197"/>
      <c r="AV2516" s="197"/>
      <c r="AW2516" s="197"/>
    </row>
    <row r="2517" spans="28:49" s="196" customFormat="1">
      <c r="AB2517" s="201"/>
      <c r="AC2517" s="201"/>
      <c r="AD2517" s="197"/>
      <c r="AE2517" s="197"/>
      <c r="AF2517" s="197"/>
      <c r="AG2517" s="197"/>
      <c r="AH2517" s="197"/>
      <c r="AI2517" s="197"/>
      <c r="AJ2517" s="197"/>
      <c r="AK2517" s="197"/>
      <c r="AL2517" s="197"/>
      <c r="AM2517" s="197"/>
      <c r="AN2517" s="197"/>
      <c r="AO2517" s="197"/>
      <c r="AP2517" s="197"/>
      <c r="AQ2517" s="197"/>
      <c r="AR2517" s="197"/>
      <c r="AS2517" s="197"/>
      <c r="AT2517" s="197"/>
      <c r="AU2517" s="197"/>
      <c r="AV2517" s="197"/>
      <c r="AW2517" s="197"/>
    </row>
    <row r="2518" spans="28:49" s="196" customFormat="1">
      <c r="AB2518" s="201"/>
      <c r="AC2518" s="201"/>
      <c r="AD2518" s="197"/>
      <c r="AE2518" s="197"/>
      <c r="AF2518" s="197"/>
      <c r="AG2518" s="197"/>
      <c r="AH2518" s="197"/>
      <c r="AI2518" s="197"/>
      <c r="AJ2518" s="197"/>
      <c r="AK2518" s="197"/>
      <c r="AL2518" s="197"/>
      <c r="AM2518" s="197"/>
      <c r="AN2518" s="197"/>
      <c r="AO2518" s="197"/>
      <c r="AP2518" s="197"/>
      <c r="AQ2518" s="197"/>
      <c r="AR2518" s="197"/>
      <c r="AS2518" s="197"/>
      <c r="AT2518" s="197"/>
      <c r="AU2518" s="197"/>
      <c r="AV2518" s="197"/>
      <c r="AW2518" s="197"/>
    </row>
    <row r="2519" spans="28:49" s="196" customFormat="1">
      <c r="AB2519" s="201"/>
      <c r="AC2519" s="201"/>
      <c r="AD2519" s="197"/>
      <c r="AE2519" s="197"/>
      <c r="AF2519" s="197"/>
      <c r="AG2519" s="197"/>
      <c r="AH2519" s="197"/>
      <c r="AI2519" s="197"/>
      <c r="AJ2519" s="197"/>
      <c r="AK2519" s="197"/>
      <c r="AL2519" s="197"/>
      <c r="AM2519" s="197"/>
      <c r="AN2519" s="197"/>
      <c r="AO2519" s="197"/>
      <c r="AP2519" s="197"/>
      <c r="AQ2519" s="197"/>
      <c r="AR2519" s="197"/>
      <c r="AS2519" s="197"/>
      <c r="AT2519" s="197"/>
      <c r="AU2519" s="197"/>
      <c r="AV2519" s="197"/>
      <c r="AW2519" s="197"/>
    </row>
    <row r="2520" spans="28:49" s="196" customFormat="1">
      <c r="AB2520" s="201"/>
      <c r="AC2520" s="201"/>
      <c r="AD2520" s="197"/>
      <c r="AE2520" s="197"/>
      <c r="AF2520" s="197"/>
      <c r="AG2520" s="197"/>
      <c r="AH2520" s="197"/>
      <c r="AI2520" s="197"/>
      <c r="AJ2520" s="197"/>
      <c r="AK2520" s="197"/>
      <c r="AL2520" s="197"/>
      <c r="AM2520" s="197"/>
      <c r="AN2520" s="197"/>
      <c r="AO2520" s="197"/>
      <c r="AP2520" s="197"/>
      <c r="AQ2520" s="197"/>
      <c r="AR2520" s="197"/>
      <c r="AS2520" s="197"/>
      <c r="AT2520" s="197"/>
      <c r="AU2520" s="197"/>
      <c r="AV2520" s="197"/>
      <c r="AW2520" s="197"/>
    </row>
    <row r="2521" spans="28:49" s="196" customFormat="1">
      <c r="AB2521" s="201"/>
      <c r="AC2521" s="201"/>
      <c r="AD2521" s="197"/>
      <c r="AE2521" s="197"/>
      <c r="AF2521" s="197"/>
      <c r="AG2521" s="197"/>
      <c r="AH2521" s="197"/>
      <c r="AI2521" s="197"/>
      <c r="AJ2521" s="197"/>
      <c r="AK2521" s="197"/>
      <c r="AL2521" s="197"/>
      <c r="AM2521" s="197"/>
      <c r="AN2521" s="197"/>
      <c r="AO2521" s="197"/>
      <c r="AP2521" s="197"/>
      <c r="AQ2521" s="197"/>
      <c r="AR2521" s="197"/>
      <c r="AS2521" s="197"/>
      <c r="AT2521" s="197"/>
      <c r="AU2521" s="197"/>
      <c r="AV2521" s="197"/>
      <c r="AW2521" s="197"/>
    </row>
    <row r="2522" spans="28:49" s="196" customFormat="1">
      <c r="AB2522" s="201"/>
      <c r="AC2522" s="201"/>
      <c r="AD2522" s="197"/>
      <c r="AE2522" s="197"/>
      <c r="AF2522" s="197"/>
      <c r="AG2522" s="197"/>
      <c r="AH2522" s="197"/>
      <c r="AI2522" s="197"/>
      <c r="AJ2522" s="197"/>
      <c r="AK2522" s="197"/>
      <c r="AL2522" s="197"/>
      <c r="AM2522" s="197"/>
      <c r="AN2522" s="197"/>
      <c r="AO2522" s="197"/>
      <c r="AP2522" s="197"/>
      <c r="AQ2522" s="197"/>
      <c r="AR2522" s="197"/>
      <c r="AS2522" s="197"/>
      <c r="AT2522" s="197"/>
      <c r="AU2522" s="197"/>
      <c r="AV2522" s="197"/>
      <c r="AW2522" s="197"/>
    </row>
    <row r="2523" spans="28:49" s="196" customFormat="1">
      <c r="AB2523" s="201"/>
      <c r="AC2523" s="201"/>
      <c r="AD2523" s="197"/>
      <c r="AE2523" s="197"/>
      <c r="AF2523" s="197"/>
      <c r="AG2523" s="197"/>
      <c r="AH2523" s="197"/>
      <c r="AI2523" s="197"/>
      <c r="AJ2523" s="197"/>
      <c r="AK2523" s="197"/>
      <c r="AL2523" s="197"/>
      <c r="AM2523" s="197"/>
      <c r="AN2523" s="197"/>
      <c r="AO2523" s="197"/>
      <c r="AP2523" s="197"/>
      <c r="AQ2523" s="197"/>
      <c r="AR2523" s="197"/>
      <c r="AS2523" s="197"/>
      <c r="AT2523" s="197"/>
      <c r="AU2523" s="197"/>
      <c r="AV2523" s="197"/>
      <c r="AW2523" s="197"/>
    </row>
    <row r="2524" spans="28:49" s="196" customFormat="1">
      <c r="AB2524" s="201"/>
      <c r="AC2524" s="201"/>
      <c r="AD2524" s="197"/>
      <c r="AE2524" s="197"/>
      <c r="AF2524" s="197"/>
      <c r="AG2524" s="197"/>
      <c r="AH2524" s="197"/>
      <c r="AI2524" s="197"/>
      <c r="AJ2524" s="197"/>
      <c r="AK2524" s="197"/>
      <c r="AL2524" s="197"/>
      <c r="AM2524" s="197"/>
      <c r="AN2524" s="197"/>
      <c r="AO2524" s="197"/>
      <c r="AP2524" s="197"/>
      <c r="AQ2524" s="197"/>
      <c r="AR2524" s="197"/>
      <c r="AS2524" s="197"/>
      <c r="AT2524" s="197"/>
      <c r="AU2524" s="197"/>
      <c r="AV2524" s="197"/>
      <c r="AW2524" s="197"/>
    </row>
    <row r="2525" spans="28:49" s="196" customFormat="1">
      <c r="AB2525" s="201"/>
      <c r="AC2525" s="201"/>
      <c r="AD2525" s="197"/>
      <c r="AE2525" s="197"/>
      <c r="AF2525" s="197"/>
      <c r="AG2525" s="197"/>
      <c r="AH2525" s="197"/>
      <c r="AI2525" s="197"/>
      <c r="AJ2525" s="197"/>
      <c r="AK2525" s="197"/>
      <c r="AL2525" s="197"/>
      <c r="AM2525" s="197"/>
      <c r="AN2525" s="197"/>
      <c r="AO2525" s="197"/>
      <c r="AP2525" s="197"/>
      <c r="AQ2525" s="197"/>
      <c r="AR2525" s="197"/>
      <c r="AS2525" s="197"/>
      <c r="AT2525" s="197"/>
      <c r="AU2525" s="197"/>
      <c r="AV2525" s="197"/>
      <c r="AW2525" s="197"/>
    </row>
    <row r="2526" spans="28:49" s="196" customFormat="1">
      <c r="AB2526" s="201"/>
      <c r="AC2526" s="201"/>
      <c r="AD2526" s="197"/>
      <c r="AE2526" s="197"/>
      <c r="AF2526" s="197"/>
      <c r="AG2526" s="197"/>
      <c r="AH2526" s="197"/>
      <c r="AI2526" s="197"/>
      <c r="AJ2526" s="197"/>
      <c r="AK2526" s="197"/>
      <c r="AL2526" s="197"/>
      <c r="AM2526" s="197"/>
      <c r="AN2526" s="197"/>
      <c r="AO2526" s="197"/>
      <c r="AP2526" s="197"/>
      <c r="AQ2526" s="197"/>
      <c r="AR2526" s="197"/>
      <c r="AS2526" s="197"/>
      <c r="AT2526" s="197"/>
      <c r="AU2526" s="197"/>
      <c r="AV2526" s="197"/>
      <c r="AW2526" s="197"/>
    </row>
    <row r="2527" spans="28:49" s="196" customFormat="1">
      <c r="AB2527" s="201"/>
      <c r="AC2527" s="201"/>
      <c r="AD2527" s="197"/>
      <c r="AE2527" s="197"/>
      <c r="AF2527" s="197"/>
      <c r="AG2527" s="197"/>
      <c r="AH2527" s="197"/>
      <c r="AI2527" s="197"/>
      <c r="AJ2527" s="197"/>
      <c r="AK2527" s="197"/>
      <c r="AL2527" s="197"/>
      <c r="AM2527" s="197"/>
      <c r="AN2527" s="197"/>
      <c r="AO2527" s="197"/>
      <c r="AP2527" s="197"/>
      <c r="AQ2527" s="197"/>
      <c r="AR2527" s="197"/>
      <c r="AS2527" s="197"/>
      <c r="AT2527" s="197"/>
      <c r="AU2527" s="197"/>
      <c r="AV2527" s="197"/>
      <c r="AW2527" s="197"/>
    </row>
    <row r="2528" spans="28:49" s="196" customFormat="1">
      <c r="AB2528" s="201"/>
      <c r="AC2528" s="201"/>
      <c r="AD2528" s="197"/>
      <c r="AE2528" s="197"/>
      <c r="AF2528" s="197"/>
      <c r="AG2528" s="197"/>
      <c r="AH2528" s="197"/>
      <c r="AI2528" s="197"/>
      <c r="AJ2528" s="197"/>
      <c r="AK2528" s="197"/>
      <c r="AL2528" s="197"/>
      <c r="AM2528" s="197"/>
      <c r="AN2528" s="197"/>
      <c r="AO2528" s="197"/>
      <c r="AP2528" s="197"/>
      <c r="AQ2528" s="197"/>
      <c r="AR2528" s="197"/>
      <c r="AS2528" s="197"/>
      <c r="AT2528" s="197"/>
      <c r="AU2528" s="197"/>
      <c r="AV2528" s="197"/>
      <c r="AW2528" s="197"/>
    </row>
    <row r="2529" spans="28:49" s="196" customFormat="1">
      <c r="AB2529" s="201"/>
      <c r="AC2529" s="201"/>
      <c r="AD2529" s="197"/>
      <c r="AE2529" s="197"/>
      <c r="AF2529" s="197"/>
      <c r="AG2529" s="197"/>
      <c r="AH2529" s="197"/>
      <c r="AI2529" s="197"/>
      <c r="AJ2529" s="197"/>
      <c r="AK2529" s="197"/>
      <c r="AL2529" s="197"/>
      <c r="AM2529" s="197"/>
      <c r="AN2529" s="197"/>
      <c r="AO2529" s="197"/>
      <c r="AP2529" s="197"/>
      <c r="AQ2529" s="197"/>
      <c r="AR2529" s="197"/>
      <c r="AS2529" s="197"/>
      <c r="AT2529" s="197"/>
      <c r="AU2529" s="197"/>
      <c r="AV2529" s="197"/>
      <c r="AW2529" s="197"/>
    </row>
    <row r="2530" spans="28:49" s="196" customFormat="1">
      <c r="AB2530" s="201"/>
      <c r="AC2530" s="201"/>
      <c r="AD2530" s="197"/>
      <c r="AE2530" s="197"/>
      <c r="AF2530" s="197"/>
      <c r="AG2530" s="197"/>
      <c r="AH2530" s="197"/>
      <c r="AI2530" s="197"/>
      <c r="AJ2530" s="197"/>
      <c r="AK2530" s="197"/>
      <c r="AL2530" s="197"/>
      <c r="AM2530" s="197"/>
      <c r="AN2530" s="197"/>
      <c r="AO2530" s="197"/>
      <c r="AP2530" s="197"/>
      <c r="AQ2530" s="197"/>
      <c r="AR2530" s="197"/>
      <c r="AS2530" s="197"/>
      <c r="AT2530" s="197"/>
      <c r="AU2530" s="197"/>
      <c r="AV2530" s="197"/>
      <c r="AW2530" s="197"/>
    </row>
    <row r="2531" spans="28:49" s="196" customFormat="1">
      <c r="AB2531" s="201"/>
      <c r="AC2531" s="201"/>
      <c r="AD2531" s="197"/>
      <c r="AE2531" s="197"/>
      <c r="AF2531" s="197"/>
      <c r="AG2531" s="197"/>
      <c r="AH2531" s="197"/>
      <c r="AI2531" s="197"/>
      <c r="AJ2531" s="197"/>
      <c r="AK2531" s="197"/>
      <c r="AL2531" s="197"/>
      <c r="AM2531" s="197"/>
      <c r="AN2531" s="197"/>
      <c r="AO2531" s="197"/>
      <c r="AP2531" s="197"/>
      <c r="AQ2531" s="197"/>
      <c r="AR2531" s="197"/>
      <c r="AS2531" s="197"/>
      <c r="AT2531" s="197"/>
      <c r="AU2531" s="197"/>
      <c r="AV2531" s="197"/>
      <c r="AW2531" s="197"/>
    </row>
    <row r="2532" spans="28:49" s="196" customFormat="1">
      <c r="AB2532" s="201"/>
      <c r="AC2532" s="201"/>
      <c r="AD2532" s="197"/>
      <c r="AE2532" s="197"/>
      <c r="AF2532" s="197"/>
      <c r="AG2532" s="197"/>
      <c r="AH2532" s="197"/>
      <c r="AI2532" s="197"/>
      <c r="AJ2532" s="197"/>
      <c r="AK2532" s="197"/>
      <c r="AL2532" s="197"/>
      <c r="AM2532" s="197"/>
      <c r="AN2532" s="197"/>
      <c r="AO2532" s="197"/>
      <c r="AP2532" s="197"/>
      <c r="AQ2532" s="197"/>
      <c r="AR2532" s="197"/>
      <c r="AS2532" s="197"/>
      <c r="AT2532" s="197"/>
      <c r="AU2532" s="197"/>
      <c r="AV2532" s="197"/>
      <c r="AW2532" s="197"/>
    </row>
    <row r="2533" spans="28:49" s="196" customFormat="1">
      <c r="AB2533" s="201"/>
      <c r="AC2533" s="201"/>
      <c r="AD2533" s="197"/>
      <c r="AE2533" s="197"/>
      <c r="AF2533" s="197"/>
      <c r="AG2533" s="197"/>
      <c r="AH2533" s="197"/>
      <c r="AI2533" s="197"/>
      <c r="AJ2533" s="197"/>
      <c r="AK2533" s="197"/>
      <c r="AL2533" s="197"/>
      <c r="AM2533" s="197"/>
      <c r="AN2533" s="197"/>
      <c r="AO2533" s="197"/>
      <c r="AP2533" s="197"/>
      <c r="AQ2533" s="197"/>
      <c r="AR2533" s="197"/>
      <c r="AS2533" s="197"/>
      <c r="AT2533" s="197"/>
      <c r="AU2533" s="197"/>
      <c r="AV2533" s="197"/>
      <c r="AW2533" s="197"/>
    </row>
    <row r="2534" spans="28:49" s="196" customFormat="1">
      <c r="AB2534" s="201"/>
      <c r="AC2534" s="201"/>
      <c r="AD2534" s="197"/>
      <c r="AE2534" s="197"/>
      <c r="AF2534" s="197"/>
      <c r="AG2534" s="197"/>
      <c r="AH2534" s="197"/>
      <c r="AI2534" s="197"/>
      <c r="AJ2534" s="197"/>
      <c r="AK2534" s="197"/>
      <c r="AL2534" s="197"/>
      <c r="AM2534" s="197"/>
      <c r="AN2534" s="197"/>
      <c r="AO2534" s="197"/>
      <c r="AP2534" s="197"/>
      <c r="AQ2534" s="197"/>
      <c r="AR2534" s="197"/>
      <c r="AS2534" s="197"/>
      <c r="AT2534" s="197"/>
      <c r="AU2534" s="197"/>
      <c r="AV2534" s="197"/>
      <c r="AW2534" s="197"/>
    </row>
    <row r="2535" spans="28:49" s="196" customFormat="1">
      <c r="AB2535" s="201"/>
      <c r="AC2535" s="201"/>
      <c r="AD2535" s="197"/>
      <c r="AE2535" s="197"/>
      <c r="AF2535" s="197"/>
      <c r="AG2535" s="197"/>
      <c r="AH2535" s="197"/>
      <c r="AI2535" s="197"/>
      <c r="AJ2535" s="197"/>
      <c r="AK2535" s="197"/>
      <c r="AL2535" s="197"/>
      <c r="AM2535" s="197"/>
      <c r="AN2535" s="197"/>
      <c r="AO2535" s="197"/>
      <c r="AP2535" s="197"/>
      <c r="AQ2535" s="197"/>
      <c r="AR2535" s="197"/>
      <c r="AS2535" s="197"/>
      <c r="AT2535" s="197"/>
      <c r="AU2535" s="197"/>
      <c r="AV2535" s="197"/>
      <c r="AW2535" s="197"/>
    </row>
    <row r="2536" spans="28:49" s="196" customFormat="1">
      <c r="AB2536" s="201"/>
      <c r="AC2536" s="201"/>
      <c r="AD2536" s="197"/>
      <c r="AE2536" s="197"/>
      <c r="AF2536" s="197"/>
      <c r="AG2536" s="197"/>
      <c r="AH2536" s="197"/>
      <c r="AI2536" s="197"/>
      <c r="AJ2536" s="197"/>
      <c r="AK2536" s="197"/>
      <c r="AL2536" s="197"/>
      <c r="AM2536" s="197"/>
      <c r="AN2536" s="197"/>
      <c r="AO2536" s="197"/>
      <c r="AP2536" s="197"/>
      <c r="AQ2536" s="197"/>
      <c r="AR2536" s="197"/>
      <c r="AS2536" s="197"/>
      <c r="AT2536" s="197"/>
      <c r="AU2536" s="197"/>
      <c r="AV2536" s="197"/>
      <c r="AW2536" s="197"/>
    </row>
    <row r="2537" spans="28:49" s="196" customFormat="1">
      <c r="AB2537" s="201"/>
      <c r="AC2537" s="201"/>
      <c r="AD2537" s="197"/>
      <c r="AE2537" s="197"/>
      <c r="AF2537" s="197"/>
      <c r="AG2537" s="197"/>
      <c r="AH2537" s="197"/>
      <c r="AI2537" s="197"/>
      <c r="AJ2537" s="197"/>
      <c r="AK2537" s="197"/>
      <c r="AL2537" s="197"/>
      <c r="AM2537" s="197"/>
      <c r="AN2537" s="197"/>
      <c r="AO2537" s="197"/>
      <c r="AP2537" s="197"/>
      <c r="AQ2537" s="197"/>
      <c r="AR2537" s="197"/>
      <c r="AS2537" s="197"/>
      <c r="AT2537" s="197"/>
      <c r="AU2537" s="197"/>
      <c r="AV2537" s="197"/>
      <c r="AW2537" s="197"/>
    </row>
    <row r="2538" spans="28:49" s="196" customFormat="1">
      <c r="AB2538" s="201"/>
      <c r="AC2538" s="201"/>
      <c r="AD2538" s="197"/>
      <c r="AE2538" s="197"/>
      <c r="AF2538" s="197"/>
      <c r="AG2538" s="197"/>
      <c r="AH2538" s="197"/>
      <c r="AI2538" s="197"/>
      <c r="AJ2538" s="197"/>
      <c r="AK2538" s="197"/>
      <c r="AL2538" s="197"/>
      <c r="AM2538" s="197"/>
      <c r="AN2538" s="197"/>
      <c r="AO2538" s="197"/>
      <c r="AP2538" s="197"/>
      <c r="AQ2538" s="197"/>
      <c r="AR2538" s="197"/>
      <c r="AS2538" s="197"/>
      <c r="AT2538" s="197"/>
      <c r="AU2538" s="197"/>
      <c r="AV2538" s="197"/>
      <c r="AW2538" s="197"/>
    </row>
    <row r="2539" spans="28:49" s="196" customFormat="1">
      <c r="AB2539" s="201"/>
      <c r="AC2539" s="201"/>
      <c r="AD2539" s="197"/>
      <c r="AE2539" s="197"/>
      <c r="AF2539" s="197"/>
      <c r="AG2539" s="197"/>
      <c r="AH2539" s="197"/>
      <c r="AI2539" s="197"/>
      <c r="AJ2539" s="197"/>
      <c r="AK2539" s="197"/>
      <c r="AL2539" s="197"/>
      <c r="AM2539" s="197"/>
      <c r="AN2539" s="197"/>
      <c r="AO2539" s="197"/>
      <c r="AP2539" s="197"/>
      <c r="AQ2539" s="197"/>
      <c r="AR2539" s="197"/>
      <c r="AS2539" s="197"/>
      <c r="AT2539" s="197"/>
      <c r="AU2539" s="197"/>
      <c r="AV2539" s="197"/>
      <c r="AW2539" s="197"/>
    </row>
    <row r="2540" spans="28:49" s="196" customFormat="1">
      <c r="AB2540" s="201"/>
      <c r="AC2540" s="201"/>
      <c r="AD2540" s="197"/>
      <c r="AE2540" s="197"/>
      <c r="AF2540" s="197"/>
      <c r="AG2540" s="197"/>
      <c r="AH2540" s="197"/>
      <c r="AI2540" s="197"/>
      <c r="AJ2540" s="197"/>
      <c r="AK2540" s="197"/>
      <c r="AL2540" s="197"/>
      <c r="AM2540" s="197"/>
      <c r="AN2540" s="197"/>
      <c r="AO2540" s="197"/>
      <c r="AP2540" s="197"/>
      <c r="AQ2540" s="197"/>
      <c r="AR2540" s="197"/>
      <c r="AS2540" s="197"/>
      <c r="AT2540" s="197"/>
      <c r="AU2540" s="197"/>
      <c r="AV2540" s="197"/>
      <c r="AW2540" s="197"/>
    </row>
    <row r="2541" spans="28:49" s="196" customFormat="1">
      <c r="AB2541" s="201"/>
      <c r="AC2541" s="201"/>
      <c r="AD2541" s="197"/>
      <c r="AE2541" s="197"/>
      <c r="AF2541" s="197"/>
      <c r="AG2541" s="197"/>
      <c r="AH2541" s="197"/>
      <c r="AI2541" s="197"/>
      <c r="AJ2541" s="197"/>
      <c r="AK2541" s="197"/>
      <c r="AL2541" s="197"/>
      <c r="AM2541" s="197"/>
      <c r="AN2541" s="197"/>
      <c r="AO2541" s="197"/>
      <c r="AP2541" s="197"/>
      <c r="AQ2541" s="197"/>
      <c r="AR2541" s="197"/>
      <c r="AS2541" s="197"/>
      <c r="AT2541" s="197"/>
      <c r="AU2541" s="197"/>
      <c r="AV2541" s="197"/>
      <c r="AW2541" s="197"/>
    </row>
    <row r="2542" spans="28:49" s="196" customFormat="1">
      <c r="AB2542" s="201"/>
      <c r="AC2542" s="201"/>
      <c r="AD2542" s="197"/>
      <c r="AE2542" s="197"/>
      <c r="AF2542" s="197"/>
      <c r="AG2542" s="197"/>
      <c r="AH2542" s="197"/>
      <c r="AI2542" s="197"/>
      <c r="AJ2542" s="197"/>
      <c r="AK2542" s="197"/>
      <c r="AL2542" s="197"/>
      <c r="AM2542" s="197"/>
      <c r="AN2542" s="197"/>
      <c r="AO2542" s="197"/>
      <c r="AP2542" s="197"/>
      <c r="AQ2542" s="197"/>
      <c r="AR2542" s="197"/>
      <c r="AS2542" s="197"/>
      <c r="AT2542" s="197"/>
      <c r="AU2542" s="197"/>
      <c r="AV2542" s="197"/>
      <c r="AW2542" s="197"/>
    </row>
    <row r="2543" spans="28:49" s="196" customFormat="1">
      <c r="AB2543" s="201"/>
      <c r="AC2543" s="201"/>
      <c r="AD2543" s="197"/>
      <c r="AE2543" s="197"/>
      <c r="AF2543" s="197"/>
      <c r="AG2543" s="197"/>
      <c r="AH2543" s="197"/>
      <c r="AI2543" s="197"/>
      <c r="AJ2543" s="197"/>
      <c r="AK2543" s="197"/>
      <c r="AL2543" s="197"/>
      <c r="AM2543" s="197"/>
      <c r="AN2543" s="197"/>
      <c r="AO2543" s="197"/>
      <c r="AP2543" s="197"/>
      <c r="AQ2543" s="197"/>
      <c r="AR2543" s="197"/>
      <c r="AS2543" s="197"/>
      <c r="AT2543" s="197"/>
      <c r="AU2543" s="197"/>
      <c r="AV2543" s="197"/>
      <c r="AW2543" s="197"/>
    </row>
    <row r="2544" spans="28:49" s="196" customFormat="1">
      <c r="AB2544" s="201"/>
      <c r="AC2544" s="201"/>
      <c r="AD2544" s="197"/>
      <c r="AE2544" s="197"/>
      <c r="AF2544" s="197"/>
      <c r="AG2544" s="197"/>
      <c r="AH2544" s="197"/>
      <c r="AI2544" s="197"/>
      <c r="AJ2544" s="197"/>
      <c r="AK2544" s="197"/>
      <c r="AL2544" s="197"/>
      <c r="AM2544" s="197"/>
      <c r="AN2544" s="197"/>
      <c r="AO2544" s="197"/>
      <c r="AP2544" s="197"/>
      <c r="AQ2544" s="197"/>
      <c r="AR2544" s="197"/>
      <c r="AS2544" s="197"/>
      <c r="AT2544" s="197"/>
      <c r="AU2544" s="197"/>
      <c r="AV2544" s="197"/>
      <c r="AW2544" s="197"/>
    </row>
    <row r="2545" spans="28:49" s="196" customFormat="1">
      <c r="AB2545" s="201"/>
      <c r="AC2545" s="201"/>
      <c r="AD2545" s="197"/>
      <c r="AE2545" s="197"/>
      <c r="AF2545" s="197"/>
      <c r="AG2545" s="197"/>
      <c r="AH2545" s="197"/>
      <c r="AI2545" s="197"/>
      <c r="AJ2545" s="197"/>
      <c r="AK2545" s="197"/>
      <c r="AL2545" s="197"/>
      <c r="AM2545" s="197"/>
      <c r="AN2545" s="197"/>
      <c r="AO2545" s="197"/>
      <c r="AP2545" s="197"/>
      <c r="AQ2545" s="197"/>
      <c r="AR2545" s="197"/>
      <c r="AS2545" s="197"/>
      <c r="AT2545" s="197"/>
      <c r="AU2545" s="197"/>
      <c r="AV2545" s="197"/>
      <c r="AW2545" s="197"/>
    </row>
    <row r="2546" spans="28:49" s="196" customFormat="1">
      <c r="AB2546" s="201"/>
      <c r="AC2546" s="201"/>
      <c r="AD2546" s="197"/>
      <c r="AE2546" s="197"/>
      <c r="AF2546" s="197"/>
      <c r="AG2546" s="197"/>
      <c r="AH2546" s="197"/>
      <c r="AI2546" s="197"/>
      <c r="AJ2546" s="197"/>
      <c r="AK2546" s="197"/>
      <c r="AL2546" s="197"/>
      <c r="AM2546" s="197"/>
      <c r="AN2546" s="197"/>
      <c r="AO2546" s="197"/>
      <c r="AP2546" s="197"/>
      <c r="AQ2546" s="197"/>
      <c r="AR2546" s="197"/>
      <c r="AS2546" s="197"/>
      <c r="AT2546" s="197"/>
      <c r="AU2546" s="197"/>
      <c r="AV2546" s="197"/>
      <c r="AW2546" s="197"/>
    </row>
    <row r="2547" spans="28:49" s="196" customFormat="1">
      <c r="AB2547" s="201"/>
      <c r="AC2547" s="201"/>
      <c r="AD2547" s="197"/>
      <c r="AE2547" s="197"/>
      <c r="AF2547" s="197"/>
      <c r="AG2547" s="197"/>
      <c r="AH2547" s="197"/>
      <c r="AI2547" s="197"/>
      <c r="AJ2547" s="197"/>
      <c r="AK2547" s="197"/>
      <c r="AL2547" s="197"/>
      <c r="AM2547" s="197"/>
      <c r="AN2547" s="197"/>
      <c r="AO2547" s="197"/>
      <c r="AP2547" s="197"/>
      <c r="AQ2547" s="197"/>
      <c r="AR2547" s="197"/>
      <c r="AS2547" s="197"/>
      <c r="AT2547" s="197"/>
      <c r="AU2547" s="197"/>
      <c r="AV2547" s="197"/>
      <c r="AW2547" s="197"/>
    </row>
    <row r="2548" spans="28:49" s="196" customFormat="1">
      <c r="AB2548" s="201"/>
      <c r="AC2548" s="201"/>
      <c r="AD2548" s="197"/>
      <c r="AE2548" s="197"/>
      <c r="AF2548" s="197"/>
      <c r="AG2548" s="197"/>
      <c r="AH2548" s="197"/>
      <c r="AI2548" s="197"/>
      <c r="AJ2548" s="197"/>
      <c r="AK2548" s="197"/>
      <c r="AL2548" s="197"/>
      <c r="AM2548" s="197"/>
      <c r="AN2548" s="197"/>
      <c r="AO2548" s="197"/>
      <c r="AP2548" s="197"/>
      <c r="AQ2548" s="197"/>
      <c r="AR2548" s="197"/>
      <c r="AS2548" s="197"/>
      <c r="AT2548" s="197"/>
      <c r="AU2548" s="197"/>
      <c r="AV2548" s="197"/>
      <c r="AW2548" s="197"/>
    </row>
    <row r="2549" spans="28:49" s="196" customFormat="1">
      <c r="AB2549" s="201"/>
      <c r="AC2549" s="201"/>
      <c r="AD2549" s="197"/>
      <c r="AE2549" s="197"/>
      <c r="AF2549" s="197"/>
      <c r="AG2549" s="197"/>
      <c r="AH2549" s="197"/>
      <c r="AI2549" s="197"/>
      <c r="AJ2549" s="197"/>
      <c r="AK2549" s="197"/>
      <c r="AL2549" s="197"/>
      <c r="AM2549" s="197"/>
      <c r="AN2549" s="197"/>
      <c r="AO2549" s="197"/>
      <c r="AP2549" s="197"/>
      <c r="AQ2549" s="197"/>
      <c r="AR2549" s="197"/>
      <c r="AS2549" s="197"/>
      <c r="AT2549" s="197"/>
      <c r="AU2549" s="197"/>
      <c r="AV2549" s="197"/>
      <c r="AW2549" s="197"/>
    </row>
    <row r="2550" spans="28:49" s="196" customFormat="1">
      <c r="AB2550" s="201"/>
      <c r="AC2550" s="201"/>
      <c r="AD2550" s="197"/>
      <c r="AE2550" s="197"/>
      <c r="AF2550" s="197"/>
      <c r="AG2550" s="197"/>
      <c r="AH2550" s="197"/>
      <c r="AI2550" s="197"/>
      <c r="AJ2550" s="197"/>
      <c r="AK2550" s="197"/>
      <c r="AL2550" s="197"/>
      <c r="AM2550" s="197"/>
      <c r="AN2550" s="197"/>
      <c r="AO2550" s="197"/>
      <c r="AP2550" s="197"/>
      <c r="AQ2550" s="197"/>
      <c r="AR2550" s="197"/>
      <c r="AS2550" s="197"/>
      <c r="AT2550" s="197"/>
      <c r="AU2550" s="197"/>
      <c r="AV2550" s="197"/>
      <c r="AW2550" s="197"/>
    </row>
    <row r="2551" spans="28:49" s="196" customFormat="1">
      <c r="AB2551" s="201"/>
      <c r="AC2551" s="201"/>
      <c r="AD2551" s="197"/>
      <c r="AE2551" s="197"/>
      <c r="AF2551" s="197"/>
      <c r="AG2551" s="197"/>
      <c r="AH2551" s="197"/>
      <c r="AI2551" s="197"/>
      <c r="AJ2551" s="197"/>
      <c r="AK2551" s="197"/>
      <c r="AL2551" s="197"/>
      <c r="AM2551" s="197"/>
      <c r="AN2551" s="197"/>
      <c r="AO2551" s="197"/>
      <c r="AP2551" s="197"/>
      <c r="AQ2551" s="197"/>
      <c r="AR2551" s="197"/>
      <c r="AS2551" s="197"/>
      <c r="AT2551" s="197"/>
      <c r="AU2551" s="197"/>
      <c r="AV2551" s="197"/>
      <c r="AW2551" s="197"/>
    </row>
    <row r="2552" spans="28:49" s="196" customFormat="1">
      <c r="AB2552" s="201"/>
      <c r="AC2552" s="201"/>
      <c r="AD2552" s="197"/>
      <c r="AE2552" s="197"/>
      <c r="AF2552" s="197"/>
      <c r="AG2552" s="197"/>
      <c r="AH2552" s="197"/>
      <c r="AI2552" s="197"/>
      <c r="AJ2552" s="197"/>
      <c r="AK2552" s="197"/>
      <c r="AL2552" s="197"/>
      <c r="AM2552" s="197"/>
      <c r="AN2552" s="197"/>
      <c r="AO2552" s="197"/>
      <c r="AP2552" s="197"/>
      <c r="AQ2552" s="197"/>
      <c r="AR2552" s="197"/>
      <c r="AS2552" s="197"/>
      <c r="AT2552" s="197"/>
      <c r="AU2552" s="197"/>
      <c r="AV2552" s="197"/>
      <c r="AW2552" s="197"/>
    </row>
    <row r="2553" spans="28:49" s="196" customFormat="1">
      <c r="AB2553" s="201"/>
      <c r="AC2553" s="201"/>
      <c r="AD2553" s="197"/>
      <c r="AE2553" s="197"/>
      <c r="AF2553" s="197"/>
      <c r="AG2553" s="197"/>
      <c r="AH2553" s="197"/>
      <c r="AI2553" s="197"/>
      <c r="AJ2553" s="197"/>
      <c r="AK2553" s="197"/>
      <c r="AL2553" s="197"/>
      <c r="AM2553" s="197"/>
      <c r="AN2553" s="197"/>
      <c r="AO2553" s="197"/>
      <c r="AP2553" s="197"/>
      <c r="AQ2553" s="197"/>
      <c r="AR2553" s="197"/>
      <c r="AS2553" s="197"/>
      <c r="AT2553" s="197"/>
      <c r="AU2553" s="197"/>
      <c r="AV2553" s="197"/>
      <c r="AW2553" s="197"/>
    </row>
    <row r="2554" spans="28:49" s="196" customFormat="1">
      <c r="AB2554" s="201"/>
      <c r="AC2554" s="201"/>
      <c r="AD2554" s="197"/>
      <c r="AE2554" s="197"/>
      <c r="AF2554" s="197"/>
      <c r="AG2554" s="197"/>
      <c r="AH2554" s="197"/>
      <c r="AI2554" s="197"/>
      <c r="AJ2554" s="197"/>
      <c r="AK2554" s="197"/>
      <c r="AL2554" s="197"/>
      <c r="AM2554" s="197"/>
      <c r="AN2554" s="197"/>
      <c r="AO2554" s="197"/>
      <c r="AP2554" s="197"/>
      <c r="AQ2554" s="197"/>
      <c r="AR2554" s="197"/>
      <c r="AS2554" s="197"/>
      <c r="AT2554" s="197"/>
      <c r="AU2554" s="197"/>
      <c r="AV2554" s="197"/>
      <c r="AW2554" s="197"/>
    </row>
    <row r="2555" spans="28:49" s="196" customFormat="1">
      <c r="AB2555" s="201"/>
      <c r="AC2555" s="201"/>
      <c r="AD2555" s="197"/>
      <c r="AE2555" s="197"/>
      <c r="AF2555" s="197"/>
      <c r="AG2555" s="197"/>
      <c r="AH2555" s="197"/>
      <c r="AI2555" s="197"/>
      <c r="AJ2555" s="197"/>
      <c r="AK2555" s="197"/>
      <c r="AL2555" s="197"/>
      <c r="AM2555" s="197"/>
      <c r="AN2555" s="197"/>
      <c r="AO2555" s="197"/>
      <c r="AP2555" s="197"/>
      <c r="AQ2555" s="197"/>
      <c r="AR2555" s="197"/>
      <c r="AS2555" s="197"/>
      <c r="AT2555" s="197"/>
      <c r="AU2555" s="197"/>
      <c r="AV2555" s="197"/>
      <c r="AW2555" s="197"/>
    </row>
    <row r="2556" spans="28:49" s="196" customFormat="1">
      <c r="AB2556" s="201"/>
      <c r="AC2556" s="201"/>
      <c r="AD2556" s="197"/>
      <c r="AE2556" s="197"/>
      <c r="AF2556" s="197"/>
      <c r="AG2556" s="197"/>
      <c r="AH2556" s="197"/>
      <c r="AI2556" s="197"/>
      <c r="AJ2556" s="197"/>
      <c r="AK2556" s="197"/>
      <c r="AL2556" s="197"/>
      <c r="AM2556" s="197"/>
      <c r="AN2556" s="197"/>
      <c r="AO2556" s="197"/>
      <c r="AP2556" s="197"/>
      <c r="AQ2556" s="197"/>
      <c r="AR2556" s="197"/>
      <c r="AS2556" s="197"/>
      <c r="AT2556" s="197"/>
      <c r="AU2556" s="197"/>
      <c r="AV2556" s="197"/>
      <c r="AW2556" s="197"/>
    </row>
    <row r="2557" spans="28:49" s="196" customFormat="1">
      <c r="AB2557" s="201"/>
      <c r="AC2557" s="201"/>
      <c r="AD2557" s="197"/>
      <c r="AE2557" s="197"/>
      <c r="AF2557" s="197"/>
      <c r="AG2557" s="197"/>
      <c r="AH2557" s="197"/>
      <c r="AI2557" s="197"/>
      <c r="AJ2557" s="197"/>
      <c r="AK2557" s="197"/>
      <c r="AL2557" s="197"/>
      <c r="AM2557" s="197"/>
      <c r="AN2557" s="197"/>
      <c r="AO2557" s="197"/>
      <c r="AP2557" s="197"/>
      <c r="AQ2557" s="197"/>
      <c r="AR2557" s="197"/>
      <c r="AS2557" s="197"/>
      <c r="AT2557" s="197"/>
      <c r="AU2557" s="197"/>
      <c r="AV2557" s="197"/>
      <c r="AW2557" s="197"/>
    </row>
    <row r="2558" spans="28:49" s="196" customFormat="1">
      <c r="AB2558" s="201"/>
      <c r="AC2558" s="201"/>
      <c r="AD2558" s="197"/>
      <c r="AE2558" s="197"/>
      <c r="AF2558" s="197"/>
      <c r="AG2558" s="197"/>
      <c r="AH2558" s="197"/>
      <c r="AI2558" s="197"/>
      <c r="AJ2558" s="197"/>
      <c r="AK2558" s="197"/>
      <c r="AL2558" s="197"/>
      <c r="AM2558" s="197"/>
      <c r="AN2558" s="197"/>
      <c r="AO2558" s="197"/>
      <c r="AP2558" s="197"/>
      <c r="AQ2558" s="197"/>
      <c r="AR2558" s="197"/>
      <c r="AS2558" s="197"/>
      <c r="AT2558" s="197"/>
      <c r="AU2558" s="197"/>
      <c r="AV2558" s="197"/>
      <c r="AW2558" s="197"/>
    </row>
    <row r="2559" spans="28:49" s="196" customFormat="1">
      <c r="AB2559" s="201"/>
      <c r="AC2559" s="201"/>
      <c r="AD2559" s="197"/>
      <c r="AE2559" s="197"/>
      <c r="AF2559" s="197"/>
      <c r="AG2559" s="197"/>
      <c r="AH2559" s="197"/>
      <c r="AI2559" s="197"/>
      <c r="AJ2559" s="197"/>
      <c r="AK2559" s="197"/>
      <c r="AL2559" s="197"/>
      <c r="AM2559" s="197"/>
      <c r="AN2559" s="197"/>
      <c r="AO2559" s="197"/>
      <c r="AP2559" s="197"/>
      <c r="AQ2559" s="197"/>
      <c r="AR2559" s="197"/>
      <c r="AS2559" s="197"/>
      <c r="AT2559" s="197"/>
      <c r="AU2559" s="197"/>
      <c r="AV2559" s="197"/>
      <c r="AW2559" s="197"/>
    </row>
    <row r="2560" spans="28:49" s="196" customFormat="1">
      <c r="AB2560" s="201"/>
      <c r="AC2560" s="201"/>
      <c r="AD2560" s="197"/>
      <c r="AE2560" s="197"/>
      <c r="AF2560" s="197"/>
      <c r="AG2560" s="197"/>
      <c r="AH2560" s="197"/>
      <c r="AI2560" s="197"/>
      <c r="AJ2560" s="197"/>
      <c r="AK2560" s="197"/>
      <c r="AL2560" s="197"/>
      <c r="AM2560" s="197"/>
      <c r="AN2560" s="197"/>
      <c r="AO2560" s="197"/>
      <c r="AP2560" s="197"/>
      <c r="AQ2560" s="197"/>
      <c r="AR2560" s="197"/>
      <c r="AS2560" s="197"/>
      <c r="AT2560" s="197"/>
      <c r="AU2560" s="197"/>
      <c r="AV2560" s="197"/>
      <c r="AW2560" s="197"/>
    </row>
    <row r="2561" spans="28:49" s="196" customFormat="1">
      <c r="AB2561" s="201"/>
      <c r="AC2561" s="201"/>
      <c r="AD2561" s="197"/>
      <c r="AE2561" s="197"/>
      <c r="AF2561" s="197"/>
      <c r="AG2561" s="197"/>
      <c r="AH2561" s="197"/>
      <c r="AI2561" s="197"/>
      <c r="AJ2561" s="197"/>
      <c r="AK2561" s="197"/>
      <c r="AL2561" s="197"/>
      <c r="AM2561" s="197"/>
      <c r="AN2561" s="197"/>
      <c r="AO2561" s="197"/>
      <c r="AP2561" s="197"/>
      <c r="AQ2561" s="197"/>
      <c r="AR2561" s="197"/>
      <c r="AS2561" s="197"/>
      <c r="AT2561" s="197"/>
      <c r="AU2561" s="197"/>
      <c r="AV2561" s="197"/>
      <c r="AW2561" s="197"/>
    </row>
    <row r="2562" spans="28:49" s="196" customFormat="1">
      <c r="AB2562" s="201"/>
      <c r="AC2562" s="201"/>
      <c r="AD2562" s="197"/>
      <c r="AE2562" s="197"/>
      <c r="AF2562" s="197"/>
      <c r="AG2562" s="197"/>
      <c r="AH2562" s="197"/>
      <c r="AI2562" s="197"/>
      <c r="AJ2562" s="197"/>
      <c r="AK2562" s="197"/>
      <c r="AL2562" s="197"/>
      <c r="AM2562" s="197"/>
      <c r="AN2562" s="197"/>
      <c r="AO2562" s="197"/>
      <c r="AP2562" s="197"/>
      <c r="AQ2562" s="197"/>
      <c r="AR2562" s="197"/>
      <c r="AS2562" s="197"/>
      <c r="AT2562" s="197"/>
      <c r="AU2562" s="197"/>
      <c r="AV2562" s="197"/>
      <c r="AW2562" s="197"/>
    </row>
    <row r="2563" spans="28:49" s="196" customFormat="1">
      <c r="AB2563" s="201"/>
      <c r="AC2563" s="201"/>
      <c r="AD2563" s="197"/>
      <c r="AE2563" s="197"/>
      <c r="AF2563" s="197"/>
      <c r="AG2563" s="197"/>
      <c r="AH2563" s="197"/>
      <c r="AI2563" s="197"/>
      <c r="AJ2563" s="197"/>
      <c r="AK2563" s="197"/>
      <c r="AL2563" s="197"/>
      <c r="AM2563" s="197"/>
      <c r="AN2563" s="197"/>
      <c r="AO2563" s="197"/>
      <c r="AP2563" s="197"/>
      <c r="AQ2563" s="197"/>
      <c r="AR2563" s="197"/>
      <c r="AS2563" s="197"/>
      <c r="AT2563" s="197"/>
      <c r="AU2563" s="197"/>
      <c r="AV2563" s="197"/>
      <c r="AW2563" s="197"/>
    </row>
    <row r="2564" spans="28:49" s="196" customFormat="1">
      <c r="AB2564" s="201"/>
      <c r="AC2564" s="201"/>
      <c r="AD2564" s="197"/>
      <c r="AE2564" s="197"/>
      <c r="AF2564" s="197"/>
      <c r="AG2564" s="197"/>
      <c r="AH2564" s="197"/>
      <c r="AI2564" s="197"/>
      <c r="AJ2564" s="197"/>
      <c r="AK2564" s="197"/>
      <c r="AL2564" s="197"/>
      <c r="AM2564" s="197"/>
      <c r="AN2564" s="197"/>
      <c r="AO2564" s="197"/>
      <c r="AP2564" s="197"/>
      <c r="AQ2564" s="197"/>
      <c r="AR2564" s="197"/>
      <c r="AS2564" s="197"/>
      <c r="AT2564" s="197"/>
      <c r="AU2564" s="197"/>
      <c r="AV2564" s="197"/>
      <c r="AW2564" s="197"/>
    </row>
    <row r="2565" spans="28:49" s="196" customFormat="1">
      <c r="AB2565" s="201"/>
      <c r="AC2565" s="201"/>
      <c r="AD2565" s="197"/>
      <c r="AE2565" s="197"/>
      <c r="AF2565" s="197"/>
      <c r="AG2565" s="197"/>
      <c r="AH2565" s="197"/>
      <c r="AI2565" s="197"/>
      <c r="AJ2565" s="197"/>
      <c r="AK2565" s="197"/>
      <c r="AL2565" s="197"/>
      <c r="AM2565" s="197"/>
      <c r="AN2565" s="197"/>
      <c r="AO2565" s="197"/>
      <c r="AP2565" s="197"/>
      <c r="AQ2565" s="197"/>
      <c r="AR2565" s="197"/>
      <c r="AS2565" s="197"/>
      <c r="AT2565" s="197"/>
      <c r="AU2565" s="197"/>
      <c r="AV2565" s="197"/>
      <c r="AW2565" s="197"/>
    </row>
    <row r="2566" spans="28:49" s="196" customFormat="1">
      <c r="AB2566" s="201"/>
      <c r="AC2566" s="201"/>
      <c r="AD2566" s="197"/>
      <c r="AE2566" s="197"/>
      <c r="AF2566" s="197"/>
      <c r="AG2566" s="197"/>
      <c r="AH2566" s="197"/>
      <c r="AI2566" s="197"/>
      <c r="AJ2566" s="197"/>
      <c r="AK2566" s="197"/>
      <c r="AL2566" s="197"/>
      <c r="AM2566" s="197"/>
      <c r="AN2566" s="197"/>
      <c r="AO2566" s="197"/>
      <c r="AP2566" s="197"/>
      <c r="AQ2566" s="197"/>
      <c r="AR2566" s="197"/>
      <c r="AS2566" s="197"/>
      <c r="AT2566" s="197"/>
      <c r="AU2566" s="197"/>
      <c r="AV2566" s="197"/>
      <c r="AW2566" s="197"/>
    </row>
    <row r="2567" spans="28:49" s="196" customFormat="1">
      <c r="AB2567" s="201"/>
      <c r="AC2567" s="201"/>
      <c r="AD2567" s="197"/>
      <c r="AE2567" s="197"/>
      <c r="AF2567" s="197"/>
      <c r="AG2567" s="197"/>
      <c r="AH2567" s="197"/>
      <c r="AI2567" s="197"/>
      <c r="AJ2567" s="197"/>
      <c r="AK2567" s="197"/>
      <c r="AL2567" s="197"/>
      <c r="AM2567" s="197"/>
      <c r="AN2567" s="197"/>
      <c r="AO2567" s="197"/>
      <c r="AP2567" s="197"/>
      <c r="AQ2567" s="197"/>
      <c r="AR2567" s="197"/>
      <c r="AS2567" s="197"/>
      <c r="AT2567" s="197"/>
      <c r="AU2567" s="197"/>
      <c r="AV2567" s="197"/>
      <c r="AW2567" s="197"/>
    </row>
    <row r="2568" spans="28:49" s="196" customFormat="1">
      <c r="AB2568" s="201"/>
      <c r="AC2568" s="201"/>
      <c r="AD2568" s="197"/>
      <c r="AE2568" s="197"/>
      <c r="AF2568" s="197"/>
      <c r="AG2568" s="197"/>
      <c r="AH2568" s="197"/>
      <c r="AI2568" s="197"/>
      <c r="AJ2568" s="197"/>
      <c r="AK2568" s="197"/>
      <c r="AL2568" s="197"/>
      <c r="AM2568" s="197"/>
      <c r="AN2568" s="197"/>
      <c r="AO2568" s="197"/>
      <c r="AP2568" s="197"/>
      <c r="AQ2568" s="197"/>
      <c r="AR2568" s="197"/>
      <c r="AS2568" s="197"/>
      <c r="AT2568" s="197"/>
      <c r="AU2568" s="197"/>
      <c r="AV2568" s="197"/>
      <c r="AW2568" s="197"/>
    </row>
    <row r="2569" spans="28:49" s="196" customFormat="1">
      <c r="AB2569" s="201"/>
      <c r="AC2569" s="201"/>
      <c r="AD2569" s="197"/>
      <c r="AE2569" s="197"/>
      <c r="AF2569" s="197"/>
      <c r="AG2569" s="197"/>
      <c r="AH2569" s="197"/>
      <c r="AI2569" s="197"/>
      <c r="AJ2569" s="197"/>
      <c r="AK2569" s="197"/>
      <c r="AL2569" s="197"/>
      <c r="AM2569" s="197"/>
      <c r="AN2569" s="197"/>
      <c r="AO2569" s="197"/>
      <c r="AP2569" s="197"/>
      <c r="AQ2569" s="197"/>
      <c r="AR2569" s="197"/>
      <c r="AS2569" s="197"/>
      <c r="AT2569" s="197"/>
      <c r="AU2569" s="197"/>
      <c r="AV2569" s="197"/>
      <c r="AW2569" s="197"/>
    </row>
    <row r="2570" spans="28:49" s="196" customFormat="1">
      <c r="AB2570" s="201"/>
      <c r="AC2570" s="201"/>
      <c r="AD2570" s="197"/>
      <c r="AE2570" s="197"/>
      <c r="AF2570" s="197"/>
      <c r="AG2570" s="197"/>
      <c r="AH2570" s="197"/>
      <c r="AI2570" s="197"/>
      <c r="AJ2570" s="197"/>
      <c r="AK2570" s="197"/>
      <c r="AL2570" s="197"/>
      <c r="AM2570" s="197"/>
      <c r="AN2570" s="197"/>
      <c r="AO2570" s="197"/>
      <c r="AP2570" s="197"/>
      <c r="AQ2570" s="197"/>
      <c r="AR2570" s="197"/>
      <c r="AS2570" s="197"/>
      <c r="AT2570" s="197"/>
      <c r="AU2570" s="197"/>
      <c r="AV2570" s="197"/>
      <c r="AW2570" s="197"/>
    </row>
    <row r="2571" spans="28:49" s="196" customFormat="1">
      <c r="AB2571" s="201"/>
      <c r="AC2571" s="201"/>
      <c r="AD2571" s="197"/>
      <c r="AE2571" s="197"/>
      <c r="AF2571" s="197"/>
      <c r="AG2571" s="197"/>
      <c r="AH2571" s="197"/>
      <c r="AI2571" s="197"/>
      <c r="AJ2571" s="197"/>
      <c r="AK2571" s="197"/>
      <c r="AL2571" s="197"/>
      <c r="AM2571" s="197"/>
      <c r="AN2571" s="197"/>
      <c r="AO2571" s="197"/>
      <c r="AP2571" s="197"/>
      <c r="AQ2571" s="197"/>
      <c r="AR2571" s="197"/>
      <c r="AS2571" s="197"/>
      <c r="AT2571" s="197"/>
      <c r="AU2571" s="197"/>
      <c r="AV2571" s="197"/>
      <c r="AW2571" s="197"/>
    </row>
    <row r="2572" spans="28:49" s="196" customFormat="1">
      <c r="AB2572" s="201"/>
      <c r="AC2572" s="201"/>
      <c r="AD2572" s="197"/>
      <c r="AE2572" s="197"/>
      <c r="AF2572" s="197"/>
      <c r="AG2572" s="197"/>
      <c r="AH2572" s="197"/>
      <c r="AI2572" s="197"/>
      <c r="AJ2572" s="197"/>
      <c r="AK2572" s="197"/>
      <c r="AL2572" s="197"/>
      <c r="AM2572" s="197"/>
      <c r="AN2572" s="197"/>
      <c r="AO2572" s="197"/>
      <c r="AP2572" s="197"/>
      <c r="AQ2572" s="197"/>
      <c r="AR2572" s="197"/>
      <c r="AS2572" s="197"/>
      <c r="AT2572" s="197"/>
      <c r="AU2572" s="197"/>
      <c r="AV2572" s="197"/>
      <c r="AW2572" s="197"/>
    </row>
    <row r="2573" spans="28:49" s="196" customFormat="1">
      <c r="AB2573" s="201"/>
      <c r="AC2573" s="201"/>
      <c r="AD2573" s="197"/>
      <c r="AE2573" s="197"/>
      <c r="AF2573" s="197"/>
      <c r="AG2573" s="197"/>
      <c r="AH2573" s="197"/>
      <c r="AI2573" s="197"/>
      <c r="AJ2573" s="197"/>
      <c r="AK2573" s="197"/>
      <c r="AL2573" s="197"/>
      <c r="AM2573" s="197"/>
      <c r="AN2573" s="197"/>
      <c r="AO2573" s="197"/>
      <c r="AP2573" s="197"/>
      <c r="AQ2573" s="197"/>
      <c r="AR2573" s="197"/>
      <c r="AS2573" s="197"/>
      <c r="AT2573" s="197"/>
      <c r="AU2573" s="197"/>
      <c r="AV2573" s="197"/>
      <c r="AW2573" s="197"/>
    </row>
    <row r="2574" spans="28:49" s="196" customFormat="1">
      <c r="AB2574" s="201"/>
      <c r="AC2574" s="201"/>
      <c r="AD2574" s="197"/>
      <c r="AE2574" s="197"/>
      <c r="AF2574" s="197"/>
      <c r="AG2574" s="197"/>
      <c r="AH2574" s="197"/>
      <c r="AI2574" s="197"/>
      <c r="AJ2574" s="197"/>
      <c r="AK2574" s="197"/>
      <c r="AL2574" s="197"/>
      <c r="AM2574" s="197"/>
      <c r="AN2574" s="197"/>
      <c r="AO2574" s="197"/>
      <c r="AP2574" s="197"/>
      <c r="AQ2574" s="197"/>
      <c r="AR2574" s="197"/>
      <c r="AS2574" s="197"/>
      <c r="AT2574" s="197"/>
      <c r="AU2574" s="197"/>
      <c r="AV2574" s="197"/>
      <c r="AW2574" s="197"/>
    </row>
    <row r="2575" spans="28:49" s="196" customFormat="1">
      <c r="AB2575" s="201"/>
      <c r="AC2575" s="201"/>
      <c r="AD2575" s="197"/>
      <c r="AE2575" s="197"/>
      <c r="AF2575" s="197"/>
      <c r="AG2575" s="197"/>
      <c r="AH2575" s="197"/>
      <c r="AI2575" s="197"/>
      <c r="AJ2575" s="197"/>
      <c r="AK2575" s="197"/>
      <c r="AL2575" s="197"/>
      <c r="AM2575" s="197"/>
      <c r="AN2575" s="197"/>
      <c r="AO2575" s="197"/>
      <c r="AP2575" s="197"/>
      <c r="AQ2575" s="197"/>
      <c r="AR2575" s="197"/>
      <c r="AS2575" s="197"/>
      <c r="AT2575" s="197"/>
      <c r="AU2575" s="197"/>
      <c r="AV2575" s="197"/>
      <c r="AW2575" s="197"/>
    </row>
    <row r="2576" spans="28:49" s="196" customFormat="1">
      <c r="AB2576" s="201"/>
      <c r="AC2576" s="201"/>
      <c r="AD2576" s="197"/>
      <c r="AE2576" s="197"/>
      <c r="AF2576" s="197"/>
      <c r="AG2576" s="197"/>
      <c r="AH2576" s="197"/>
      <c r="AI2576" s="197"/>
      <c r="AJ2576" s="197"/>
      <c r="AK2576" s="197"/>
      <c r="AL2576" s="197"/>
      <c r="AM2576" s="197"/>
      <c r="AN2576" s="197"/>
      <c r="AO2576" s="197"/>
      <c r="AP2576" s="197"/>
      <c r="AQ2576" s="197"/>
      <c r="AR2576" s="197"/>
      <c r="AS2576" s="197"/>
      <c r="AT2576" s="197"/>
      <c r="AU2576" s="197"/>
      <c r="AV2576" s="197"/>
      <c r="AW2576" s="197"/>
    </row>
    <row r="2577" spans="28:49" s="196" customFormat="1">
      <c r="AB2577" s="201"/>
      <c r="AC2577" s="201"/>
      <c r="AD2577" s="197"/>
      <c r="AE2577" s="197"/>
      <c r="AF2577" s="197"/>
      <c r="AG2577" s="197"/>
      <c r="AH2577" s="197"/>
      <c r="AI2577" s="197"/>
      <c r="AJ2577" s="197"/>
      <c r="AK2577" s="197"/>
      <c r="AL2577" s="197"/>
      <c r="AM2577" s="197"/>
      <c r="AN2577" s="197"/>
      <c r="AO2577" s="197"/>
      <c r="AP2577" s="197"/>
      <c r="AQ2577" s="197"/>
      <c r="AR2577" s="197"/>
      <c r="AS2577" s="197"/>
      <c r="AT2577" s="197"/>
      <c r="AU2577" s="197"/>
      <c r="AV2577" s="197"/>
      <c r="AW2577" s="197"/>
    </row>
    <row r="2578" spans="28:49" s="196" customFormat="1">
      <c r="AB2578" s="201"/>
      <c r="AC2578" s="201"/>
      <c r="AD2578" s="197"/>
      <c r="AE2578" s="197"/>
      <c r="AF2578" s="197"/>
      <c r="AG2578" s="197"/>
      <c r="AH2578" s="197"/>
      <c r="AI2578" s="197"/>
      <c r="AJ2578" s="197"/>
      <c r="AK2578" s="197"/>
      <c r="AL2578" s="197"/>
      <c r="AM2578" s="197"/>
      <c r="AN2578" s="197"/>
      <c r="AO2578" s="197"/>
      <c r="AP2578" s="197"/>
      <c r="AQ2578" s="197"/>
      <c r="AR2578" s="197"/>
      <c r="AS2578" s="197"/>
      <c r="AT2578" s="197"/>
      <c r="AU2578" s="197"/>
      <c r="AV2578" s="197"/>
      <c r="AW2578" s="197"/>
    </row>
    <row r="2579" spans="28:49" s="196" customFormat="1">
      <c r="AB2579" s="201"/>
      <c r="AC2579" s="201"/>
      <c r="AD2579" s="197"/>
      <c r="AE2579" s="197"/>
      <c r="AF2579" s="197"/>
      <c r="AG2579" s="197"/>
      <c r="AH2579" s="197"/>
      <c r="AI2579" s="197"/>
      <c r="AJ2579" s="197"/>
      <c r="AK2579" s="197"/>
      <c r="AL2579" s="197"/>
      <c r="AM2579" s="197"/>
      <c r="AN2579" s="197"/>
      <c r="AO2579" s="197"/>
      <c r="AP2579" s="197"/>
      <c r="AQ2579" s="197"/>
      <c r="AR2579" s="197"/>
      <c r="AS2579" s="197"/>
      <c r="AT2579" s="197"/>
      <c r="AU2579" s="197"/>
      <c r="AV2579" s="197"/>
      <c r="AW2579" s="197"/>
    </row>
    <row r="2580" spans="28:49" s="196" customFormat="1">
      <c r="AB2580" s="201"/>
      <c r="AC2580" s="201"/>
      <c r="AD2580" s="197"/>
      <c r="AE2580" s="197"/>
      <c r="AF2580" s="197"/>
      <c r="AG2580" s="197"/>
      <c r="AH2580" s="197"/>
      <c r="AI2580" s="197"/>
      <c r="AJ2580" s="197"/>
      <c r="AK2580" s="197"/>
      <c r="AL2580" s="197"/>
      <c r="AM2580" s="197"/>
      <c r="AN2580" s="197"/>
      <c r="AO2580" s="197"/>
      <c r="AP2580" s="197"/>
      <c r="AQ2580" s="197"/>
      <c r="AR2580" s="197"/>
      <c r="AS2580" s="197"/>
      <c r="AT2580" s="197"/>
      <c r="AU2580" s="197"/>
      <c r="AV2580" s="197"/>
      <c r="AW2580" s="197"/>
    </row>
    <row r="2581" spans="28:49" s="196" customFormat="1">
      <c r="AB2581" s="201"/>
      <c r="AC2581" s="201"/>
      <c r="AD2581" s="197"/>
      <c r="AE2581" s="197"/>
      <c r="AF2581" s="197"/>
      <c r="AG2581" s="197"/>
      <c r="AH2581" s="197"/>
      <c r="AI2581" s="197"/>
      <c r="AJ2581" s="197"/>
      <c r="AK2581" s="197"/>
      <c r="AL2581" s="197"/>
      <c r="AM2581" s="197"/>
      <c r="AN2581" s="197"/>
      <c r="AO2581" s="197"/>
      <c r="AP2581" s="197"/>
      <c r="AQ2581" s="197"/>
      <c r="AR2581" s="197"/>
      <c r="AS2581" s="197"/>
      <c r="AT2581" s="197"/>
      <c r="AU2581" s="197"/>
      <c r="AV2581" s="197"/>
      <c r="AW2581" s="197"/>
    </row>
    <row r="2582" spans="28:49" s="196" customFormat="1">
      <c r="AB2582" s="201"/>
      <c r="AC2582" s="201"/>
      <c r="AD2582" s="197"/>
      <c r="AE2582" s="197"/>
      <c r="AF2582" s="197"/>
      <c r="AG2582" s="197"/>
      <c r="AH2582" s="197"/>
      <c r="AI2582" s="197"/>
      <c r="AJ2582" s="197"/>
      <c r="AK2582" s="197"/>
      <c r="AL2582" s="197"/>
      <c r="AM2582" s="197"/>
      <c r="AN2582" s="197"/>
      <c r="AO2582" s="197"/>
      <c r="AP2582" s="197"/>
      <c r="AQ2582" s="197"/>
      <c r="AR2582" s="197"/>
      <c r="AS2582" s="197"/>
      <c r="AT2582" s="197"/>
      <c r="AU2582" s="197"/>
      <c r="AV2582" s="197"/>
      <c r="AW2582" s="197"/>
    </row>
    <row r="2583" spans="28:49" s="196" customFormat="1">
      <c r="AB2583" s="201"/>
      <c r="AC2583" s="201"/>
      <c r="AD2583" s="197"/>
      <c r="AE2583" s="197"/>
      <c r="AF2583" s="197"/>
      <c r="AG2583" s="197"/>
      <c r="AH2583" s="197"/>
      <c r="AI2583" s="197"/>
      <c r="AJ2583" s="197"/>
      <c r="AK2583" s="197"/>
      <c r="AL2583" s="197"/>
      <c r="AM2583" s="197"/>
      <c r="AN2583" s="197"/>
      <c r="AO2583" s="197"/>
      <c r="AP2583" s="197"/>
      <c r="AQ2583" s="197"/>
      <c r="AR2583" s="197"/>
      <c r="AS2583" s="197"/>
      <c r="AT2583" s="197"/>
      <c r="AU2583" s="197"/>
      <c r="AV2583" s="197"/>
      <c r="AW2583" s="197"/>
    </row>
    <row r="2584" spans="28:49" s="196" customFormat="1">
      <c r="AB2584" s="201"/>
      <c r="AC2584" s="201"/>
      <c r="AD2584" s="197"/>
      <c r="AE2584" s="197"/>
      <c r="AF2584" s="197"/>
      <c r="AG2584" s="197"/>
      <c r="AH2584" s="197"/>
      <c r="AI2584" s="197"/>
      <c r="AJ2584" s="197"/>
      <c r="AK2584" s="197"/>
      <c r="AL2584" s="197"/>
      <c r="AM2584" s="197"/>
      <c r="AN2584" s="197"/>
      <c r="AO2584" s="197"/>
      <c r="AP2584" s="197"/>
      <c r="AQ2584" s="197"/>
      <c r="AR2584" s="197"/>
      <c r="AS2584" s="197"/>
      <c r="AT2584" s="197"/>
      <c r="AU2584" s="197"/>
      <c r="AV2584" s="197"/>
      <c r="AW2584" s="197"/>
    </row>
    <row r="2585" spans="28:49" s="196" customFormat="1">
      <c r="AB2585" s="201"/>
      <c r="AC2585" s="201"/>
      <c r="AD2585" s="197"/>
      <c r="AE2585" s="197"/>
      <c r="AF2585" s="197"/>
      <c r="AG2585" s="197"/>
      <c r="AH2585" s="197"/>
      <c r="AI2585" s="197"/>
      <c r="AJ2585" s="197"/>
      <c r="AK2585" s="197"/>
      <c r="AL2585" s="197"/>
      <c r="AM2585" s="197"/>
      <c r="AN2585" s="197"/>
      <c r="AO2585" s="197"/>
      <c r="AP2585" s="197"/>
      <c r="AQ2585" s="197"/>
      <c r="AR2585" s="197"/>
      <c r="AS2585" s="197"/>
      <c r="AT2585" s="197"/>
      <c r="AU2585" s="197"/>
      <c r="AV2585" s="197"/>
      <c r="AW2585" s="197"/>
    </row>
    <row r="2586" spans="28:49" s="196" customFormat="1">
      <c r="AB2586" s="201"/>
      <c r="AC2586" s="201"/>
      <c r="AD2586" s="197"/>
      <c r="AE2586" s="197"/>
      <c r="AF2586" s="197"/>
      <c r="AG2586" s="197"/>
      <c r="AH2586" s="197"/>
      <c r="AI2586" s="197"/>
      <c r="AJ2586" s="197"/>
      <c r="AK2586" s="197"/>
      <c r="AL2586" s="197"/>
      <c r="AM2586" s="197"/>
      <c r="AN2586" s="197"/>
      <c r="AO2586" s="197"/>
      <c r="AP2586" s="197"/>
      <c r="AQ2586" s="197"/>
      <c r="AR2586" s="197"/>
      <c r="AS2586" s="197"/>
      <c r="AT2586" s="197"/>
      <c r="AU2586" s="197"/>
      <c r="AV2586" s="197"/>
      <c r="AW2586" s="197"/>
    </row>
    <row r="2587" spans="28:49" s="196" customFormat="1">
      <c r="AB2587" s="201"/>
      <c r="AC2587" s="201"/>
      <c r="AD2587" s="197"/>
      <c r="AE2587" s="197"/>
      <c r="AF2587" s="197"/>
      <c r="AG2587" s="197"/>
      <c r="AH2587" s="197"/>
      <c r="AI2587" s="197"/>
      <c r="AJ2587" s="197"/>
      <c r="AK2587" s="197"/>
      <c r="AL2587" s="197"/>
      <c r="AM2587" s="197"/>
      <c r="AN2587" s="197"/>
      <c r="AO2587" s="197"/>
      <c r="AP2587" s="197"/>
      <c r="AQ2587" s="197"/>
      <c r="AR2587" s="197"/>
      <c r="AS2587" s="197"/>
      <c r="AT2587" s="197"/>
      <c r="AU2587" s="197"/>
      <c r="AV2587" s="197"/>
      <c r="AW2587" s="197"/>
    </row>
    <row r="2588" spans="28:49" s="196" customFormat="1">
      <c r="AB2588" s="201"/>
      <c r="AC2588" s="201"/>
      <c r="AD2588" s="197"/>
      <c r="AE2588" s="197"/>
      <c r="AF2588" s="197"/>
      <c r="AG2588" s="197"/>
      <c r="AH2588" s="197"/>
      <c r="AI2588" s="197"/>
      <c r="AJ2588" s="197"/>
      <c r="AK2588" s="197"/>
      <c r="AL2588" s="197"/>
      <c r="AM2588" s="197"/>
      <c r="AN2588" s="197"/>
      <c r="AO2588" s="197"/>
      <c r="AP2588" s="197"/>
      <c r="AQ2588" s="197"/>
      <c r="AR2588" s="197"/>
      <c r="AS2588" s="197"/>
      <c r="AT2588" s="197"/>
      <c r="AU2588" s="197"/>
      <c r="AV2588" s="197"/>
      <c r="AW2588" s="197"/>
    </row>
    <row r="2589" spans="28:49" s="196" customFormat="1">
      <c r="AB2589" s="201"/>
      <c r="AC2589" s="201"/>
      <c r="AD2589" s="197"/>
      <c r="AE2589" s="197"/>
      <c r="AF2589" s="197"/>
      <c r="AG2589" s="197"/>
      <c r="AH2589" s="197"/>
      <c r="AI2589" s="197"/>
      <c r="AJ2589" s="197"/>
      <c r="AK2589" s="197"/>
      <c r="AL2589" s="197"/>
      <c r="AM2589" s="197"/>
      <c r="AN2589" s="197"/>
      <c r="AO2589" s="197"/>
      <c r="AP2589" s="197"/>
      <c r="AQ2589" s="197"/>
      <c r="AR2589" s="197"/>
      <c r="AS2589" s="197"/>
      <c r="AT2589" s="197"/>
      <c r="AU2589" s="197"/>
      <c r="AV2589" s="197"/>
      <c r="AW2589" s="197"/>
    </row>
    <row r="2590" spans="28:49" s="196" customFormat="1">
      <c r="AB2590" s="201"/>
      <c r="AC2590" s="201"/>
      <c r="AD2590" s="197"/>
      <c r="AE2590" s="197"/>
      <c r="AF2590" s="197"/>
      <c r="AG2590" s="197"/>
      <c r="AH2590" s="197"/>
      <c r="AI2590" s="197"/>
      <c r="AJ2590" s="197"/>
      <c r="AK2590" s="197"/>
      <c r="AL2590" s="197"/>
      <c r="AM2590" s="197"/>
      <c r="AN2590" s="197"/>
      <c r="AO2590" s="197"/>
      <c r="AP2590" s="197"/>
      <c r="AQ2590" s="197"/>
      <c r="AR2590" s="197"/>
      <c r="AS2590" s="197"/>
      <c r="AT2590" s="197"/>
      <c r="AU2590" s="197"/>
      <c r="AV2590" s="197"/>
      <c r="AW2590" s="197"/>
    </row>
    <row r="2591" spans="28:49" s="196" customFormat="1">
      <c r="AB2591" s="201"/>
      <c r="AC2591" s="201"/>
      <c r="AD2591" s="197"/>
      <c r="AE2591" s="197"/>
      <c r="AF2591" s="197"/>
      <c r="AG2591" s="197"/>
      <c r="AH2591" s="197"/>
      <c r="AI2591" s="197"/>
      <c r="AJ2591" s="197"/>
      <c r="AK2591" s="197"/>
      <c r="AL2591" s="197"/>
      <c r="AM2591" s="197"/>
      <c r="AN2591" s="197"/>
      <c r="AO2591" s="197"/>
      <c r="AP2591" s="197"/>
      <c r="AQ2591" s="197"/>
      <c r="AR2591" s="197"/>
      <c r="AS2591" s="197"/>
      <c r="AT2591" s="197"/>
      <c r="AU2591" s="197"/>
      <c r="AV2591" s="197"/>
      <c r="AW2591" s="197"/>
    </row>
    <row r="2592" spans="28:49" s="196" customFormat="1">
      <c r="AB2592" s="201"/>
      <c r="AC2592" s="201"/>
      <c r="AD2592" s="197"/>
      <c r="AE2592" s="197"/>
      <c r="AF2592" s="197"/>
      <c r="AG2592" s="197"/>
      <c r="AH2592" s="197"/>
      <c r="AI2592" s="197"/>
      <c r="AJ2592" s="197"/>
      <c r="AK2592" s="197"/>
      <c r="AL2592" s="197"/>
      <c r="AM2592" s="197"/>
      <c r="AN2592" s="197"/>
      <c r="AO2592" s="197"/>
      <c r="AP2592" s="197"/>
      <c r="AQ2592" s="197"/>
      <c r="AR2592" s="197"/>
      <c r="AS2592" s="197"/>
      <c r="AT2592" s="197"/>
      <c r="AU2592" s="197"/>
      <c r="AV2592" s="197"/>
      <c r="AW2592" s="197"/>
    </row>
    <row r="2593" spans="28:49" s="196" customFormat="1">
      <c r="AB2593" s="201"/>
      <c r="AC2593" s="201"/>
      <c r="AD2593" s="197"/>
      <c r="AE2593" s="197"/>
      <c r="AF2593" s="197"/>
      <c r="AG2593" s="197"/>
      <c r="AH2593" s="197"/>
      <c r="AI2593" s="197"/>
      <c r="AJ2593" s="197"/>
      <c r="AK2593" s="197"/>
      <c r="AL2593" s="197"/>
      <c r="AM2593" s="197"/>
      <c r="AN2593" s="197"/>
      <c r="AO2593" s="197"/>
      <c r="AP2593" s="197"/>
      <c r="AQ2593" s="197"/>
      <c r="AR2593" s="197"/>
      <c r="AS2593" s="197"/>
      <c r="AT2593" s="197"/>
      <c r="AU2593" s="197"/>
      <c r="AV2593" s="197"/>
      <c r="AW2593" s="197"/>
    </row>
    <row r="2594" spans="28:49" s="196" customFormat="1">
      <c r="AB2594" s="201"/>
      <c r="AC2594" s="201"/>
      <c r="AD2594" s="197"/>
      <c r="AE2594" s="197"/>
      <c r="AF2594" s="197"/>
      <c r="AG2594" s="197"/>
      <c r="AH2594" s="197"/>
      <c r="AI2594" s="197"/>
      <c r="AJ2594" s="197"/>
      <c r="AK2594" s="197"/>
      <c r="AL2594" s="197"/>
      <c r="AM2594" s="197"/>
      <c r="AN2594" s="197"/>
      <c r="AO2594" s="197"/>
      <c r="AP2594" s="197"/>
      <c r="AQ2594" s="197"/>
      <c r="AR2594" s="197"/>
      <c r="AS2594" s="197"/>
      <c r="AT2594" s="197"/>
      <c r="AU2594" s="197"/>
      <c r="AV2594" s="197"/>
      <c r="AW2594" s="197"/>
    </row>
    <row r="2595" spans="28:49" s="196" customFormat="1">
      <c r="AB2595" s="201"/>
      <c r="AC2595" s="201"/>
      <c r="AD2595" s="197"/>
      <c r="AE2595" s="197"/>
      <c r="AF2595" s="197"/>
      <c r="AG2595" s="197"/>
      <c r="AH2595" s="197"/>
      <c r="AI2595" s="197"/>
      <c r="AJ2595" s="197"/>
      <c r="AK2595" s="197"/>
      <c r="AL2595" s="197"/>
      <c r="AM2595" s="197"/>
      <c r="AN2595" s="197"/>
      <c r="AO2595" s="197"/>
      <c r="AP2595" s="197"/>
      <c r="AQ2595" s="197"/>
      <c r="AR2595" s="197"/>
      <c r="AS2595" s="197"/>
      <c r="AT2595" s="197"/>
      <c r="AU2595" s="197"/>
      <c r="AV2595" s="197"/>
      <c r="AW2595" s="197"/>
    </row>
    <row r="2596" spans="28:49" s="196" customFormat="1">
      <c r="AB2596" s="201"/>
      <c r="AC2596" s="201"/>
      <c r="AD2596" s="197"/>
      <c r="AE2596" s="197"/>
      <c r="AF2596" s="197"/>
      <c r="AG2596" s="197"/>
      <c r="AH2596" s="197"/>
      <c r="AI2596" s="197"/>
      <c r="AJ2596" s="197"/>
      <c r="AK2596" s="197"/>
      <c r="AL2596" s="197"/>
      <c r="AM2596" s="197"/>
      <c r="AN2596" s="197"/>
      <c r="AO2596" s="197"/>
      <c r="AP2596" s="197"/>
      <c r="AQ2596" s="197"/>
      <c r="AR2596" s="197"/>
      <c r="AS2596" s="197"/>
      <c r="AT2596" s="197"/>
      <c r="AU2596" s="197"/>
      <c r="AV2596" s="197"/>
      <c r="AW2596" s="197"/>
    </row>
    <row r="2597" spans="28:49" s="196" customFormat="1">
      <c r="AB2597" s="201"/>
      <c r="AC2597" s="201"/>
      <c r="AD2597" s="197"/>
      <c r="AE2597" s="197"/>
      <c r="AF2597" s="197"/>
      <c r="AG2597" s="197"/>
      <c r="AH2597" s="197"/>
      <c r="AI2597" s="197"/>
      <c r="AJ2597" s="197"/>
      <c r="AK2597" s="197"/>
      <c r="AL2597" s="197"/>
      <c r="AM2597" s="197"/>
      <c r="AN2597" s="197"/>
      <c r="AO2597" s="197"/>
      <c r="AP2597" s="197"/>
      <c r="AQ2597" s="197"/>
      <c r="AR2597" s="197"/>
      <c r="AS2597" s="197"/>
      <c r="AT2597" s="197"/>
      <c r="AU2597" s="197"/>
      <c r="AV2597" s="197"/>
      <c r="AW2597" s="197"/>
    </row>
    <row r="2598" spans="28:49" s="196" customFormat="1">
      <c r="AB2598" s="201"/>
      <c r="AC2598" s="201"/>
      <c r="AD2598" s="197"/>
      <c r="AE2598" s="197"/>
      <c r="AF2598" s="197"/>
      <c r="AG2598" s="197"/>
      <c r="AH2598" s="197"/>
      <c r="AI2598" s="197"/>
      <c r="AJ2598" s="197"/>
      <c r="AK2598" s="197"/>
      <c r="AL2598" s="197"/>
      <c r="AM2598" s="197"/>
      <c r="AN2598" s="197"/>
      <c r="AO2598" s="197"/>
      <c r="AP2598" s="197"/>
      <c r="AQ2598" s="197"/>
      <c r="AR2598" s="197"/>
      <c r="AS2598" s="197"/>
      <c r="AT2598" s="197"/>
      <c r="AU2598" s="197"/>
      <c r="AV2598" s="197"/>
      <c r="AW2598" s="197"/>
    </row>
    <row r="2599" spans="28:49" s="196" customFormat="1">
      <c r="AB2599" s="201"/>
      <c r="AC2599" s="201"/>
      <c r="AD2599" s="197"/>
      <c r="AE2599" s="197"/>
      <c r="AF2599" s="197"/>
      <c r="AG2599" s="197"/>
      <c r="AH2599" s="197"/>
      <c r="AI2599" s="197"/>
      <c r="AJ2599" s="197"/>
      <c r="AK2599" s="197"/>
      <c r="AL2599" s="197"/>
      <c r="AM2599" s="197"/>
      <c r="AN2599" s="197"/>
      <c r="AO2599" s="197"/>
      <c r="AP2599" s="197"/>
      <c r="AQ2599" s="197"/>
      <c r="AR2599" s="197"/>
      <c r="AS2599" s="197"/>
      <c r="AT2599" s="197"/>
      <c r="AU2599" s="197"/>
      <c r="AV2599" s="197"/>
      <c r="AW2599" s="197"/>
    </row>
    <row r="2600" spans="28:49" s="196" customFormat="1">
      <c r="AB2600" s="201"/>
      <c r="AC2600" s="201"/>
      <c r="AD2600" s="197"/>
      <c r="AE2600" s="197"/>
      <c r="AF2600" s="197"/>
      <c r="AG2600" s="197"/>
      <c r="AH2600" s="197"/>
      <c r="AI2600" s="197"/>
      <c r="AJ2600" s="197"/>
      <c r="AK2600" s="197"/>
      <c r="AL2600" s="197"/>
      <c r="AM2600" s="197"/>
      <c r="AN2600" s="197"/>
      <c r="AO2600" s="197"/>
      <c r="AP2600" s="197"/>
      <c r="AQ2600" s="197"/>
      <c r="AR2600" s="197"/>
      <c r="AS2600" s="197"/>
      <c r="AT2600" s="197"/>
      <c r="AU2600" s="197"/>
      <c r="AV2600" s="197"/>
      <c r="AW2600" s="197"/>
    </row>
    <row r="2601" spans="28:49" s="196" customFormat="1">
      <c r="AB2601" s="201"/>
      <c r="AC2601" s="201"/>
      <c r="AD2601" s="197"/>
      <c r="AE2601" s="197"/>
      <c r="AF2601" s="197"/>
      <c r="AG2601" s="197"/>
      <c r="AH2601" s="197"/>
      <c r="AI2601" s="197"/>
      <c r="AJ2601" s="197"/>
      <c r="AK2601" s="197"/>
      <c r="AL2601" s="197"/>
      <c r="AM2601" s="197"/>
      <c r="AN2601" s="197"/>
      <c r="AO2601" s="197"/>
      <c r="AP2601" s="197"/>
      <c r="AQ2601" s="197"/>
      <c r="AR2601" s="197"/>
      <c r="AS2601" s="197"/>
      <c r="AT2601" s="197"/>
      <c r="AU2601" s="197"/>
      <c r="AV2601" s="197"/>
      <c r="AW2601" s="197"/>
    </row>
    <row r="2602" spans="28:49" s="196" customFormat="1">
      <c r="AB2602" s="201"/>
      <c r="AC2602" s="201"/>
      <c r="AD2602" s="197"/>
      <c r="AE2602" s="197"/>
      <c r="AF2602" s="197"/>
      <c r="AG2602" s="197"/>
      <c r="AH2602" s="197"/>
      <c r="AI2602" s="197"/>
      <c r="AJ2602" s="197"/>
      <c r="AK2602" s="197"/>
      <c r="AL2602" s="197"/>
      <c r="AM2602" s="197"/>
      <c r="AN2602" s="197"/>
      <c r="AO2602" s="197"/>
      <c r="AP2602" s="197"/>
      <c r="AQ2602" s="197"/>
      <c r="AR2602" s="197"/>
      <c r="AS2602" s="197"/>
      <c r="AT2602" s="197"/>
      <c r="AU2602" s="197"/>
      <c r="AV2602" s="197"/>
      <c r="AW2602" s="197"/>
    </row>
    <row r="2603" spans="28:49" s="196" customFormat="1">
      <c r="AB2603" s="201"/>
      <c r="AC2603" s="201"/>
      <c r="AD2603" s="197"/>
      <c r="AE2603" s="197"/>
      <c r="AF2603" s="197"/>
      <c r="AG2603" s="197"/>
      <c r="AH2603" s="197"/>
      <c r="AI2603" s="197"/>
      <c r="AJ2603" s="197"/>
      <c r="AK2603" s="197"/>
      <c r="AL2603" s="197"/>
      <c r="AM2603" s="197"/>
      <c r="AN2603" s="197"/>
      <c r="AO2603" s="197"/>
      <c r="AP2603" s="197"/>
      <c r="AQ2603" s="197"/>
      <c r="AR2603" s="197"/>
      <c r="AS2603" s="197"/>
      <c r="AT2603" s="197"/>
      <c r="AU2603" s="197"/>
      <c r="AV2603" s="197"/>
      <c r="AW2603" s="197"/>
    </row>
    <row r="2604" spans="28:49" s="196" customFormat="1">
      <c r="AB2604" s="201"/>
      <c r="AC2604" s="201"/>
      <c r="AD2604" s="197"/>
      <c r="AE2604" s="197"/>
      <c r="AF2604" s="197"/>
      <c r="AG2604" s="197"/>
      <c r="AH2604" s="197"/>
      <c r="AI2604" s="197"/>
      <c r="AJ2604" s="197"/>
      <c r="AK2604" s="197"/>
      <c r="AL2604" s="197"/>
      <c r="AM2604" s="197"/>
      <c r="AN2604" s="197"/>
      <c r="AO2604" s="197"/>
      <c r="AP2604" s="197"/>
      <c r="AQ2604" s="197"/>
      <c r="AR2604" s="197"/>
      <c r="AS2604" s="197"/>
      <c r="AT2604" s="197"/>
      <c r="AU2604" s="197"/>
      <c r="AV2604" s="197"/>
      <c r="AW2604" s="197"/>
    </row>
    <row r="2605" spans="28:49" s="196" customFormat="1">
      <c r="AB2605" s="201"/>
      <c r="AC2605" s="201"/>
      <c r="AD2605" s="197"/>
      <c r="AE2605" s="197"/>
      <c r="AF2605" s="197"/>
      <c r="AG2605" s="197"/>
      <c r="AH2605" s="197"/>
      <c r="AI2605" s="197"/>
      <c r="AJ2605" s="197"/>
      <c r="AK2605" s="197"/>
      <c r="AL2605" s="197"/>
      <c r="AM2605" s="197"/>
      <c r="AN2605" s="197"/>
      <c r="AO2605" s="197"/>
      <c r="AP2605" s="197"/>
      <c r="AQ2605" s="197"/>
      <c r="AR2605" s="197"/>
      <c r="AS2605" s="197"/>
      <c r="AT2605" s="197"/>
      <c r="AU2605" s="197"/>
      <c r="AV2605" s="197"/>
      <c r="AW2605" s="197"/>
    </row>
    <row r="2606" spans="28:49" s="196" customFormat="1">
      <c r="AB2606" s="201"/>
      <c r="AC2606" s="201"/>
      <c r="AD2606" s="197"/>
      <c r="AE2606" s="197"/>
      <c r="AF2606" s="197"/>
      <c r="AG2606" s="197"/>
      <c r="AH2606" s="197"/>
      <c r="AI2606" s="197"/>
      <c r="AJ2606" s="197"/>
      <c r="AK2606" s="197"/>
      <c r="AL2606" s="197"/>
      <c r="AM2606" s="197"/>
      <c r="AN2606" s="197"/>
      <c r="AO2606" s="197"/>
      <c r="AP2606" s="197"/>
      <c r="AQ2606" s="197"/>
      <c r="AR2606" s="197"/>
      <c r="AS2606" s="197"/>
      <c r="AT2606" s="197"/>
      <c r="AU2606" s="197"/>
      <c r="AV2606" s="197"/>
      <c r="AW2606" s="197"/>
    </row>
    <row r="2607" spans="28:49" s="196" customFormat="1">
      <c r="AB2607" s="201"/>
      <c r="AC2607" s="201"/>
      <c r="AD2607" s="197"/>
      <c r="AE2607" s="197"/>
      <c r="AF2607" s="197"/>
      <c r="AG2607" s="197"/>
      <c r="AH2607" s="197"/>
      <c r="AI2607" s="197"/>
      <c r="AJ2607" s="197"/>
      <c r="AK2607" s="197"/>
      <c r="AL2607" s="197"/>
      <c r="AM2607" s="197"/>
      <c r="AN2607" s="197"/>
      <c r="AO2607" s="197"/>
      <c r="AP2607" s="197"/>
      <c r="AQ2607" s="197"/>
      <c r="AR2607" s="197"/>
      <c r="AS2607" s="197"/>
      <c r="AT2607" s="197"/>
      <c r="AU2607" s="197"/>
      <c r="AV2607" s="197"/>
      <c r="AW2607" s="197"/>
    </row>
    <row r="2608" spans="28:49" s="196" customFormat="1">
      <c r="AB2608" s="201"/>
      <c r="AC2608" s="201"/>
      <c r="AD2608" s="197"/>
      <c r="AE2608" s="197"/>
      <c r="AF2608" s="197"/>
      <c r="AG2608" s="197"/>
      <c r="AH2608" s="197"/>
      <c r="AI2608" s="197"/>
      <c r="AJ2608" s="197"/>
      <c r="AK2608" s="197"/>
      <c r="AL2608" s="197"/>
      <c r="AM2608" s="197"/>
      <c r="AN2608" s="197"/>
      <c r="AO2608" s="197"/>
      <c r="AP2608" s="197"/>
      <c r="AQ2608" s="197"/>
      <c r="AR2608" s="197"/>
      <c r="AS2608" s="197"/>
      <c r="AT2608" s="197"/>
      <c r="AU2608" s="197"/>
      <c r="AV2608" s="197"/>
      <c r="AW2608" s="197"/>
    </row>
    <row r="2609" spans="28:49" s="196" customFormat="1">
      <c r="AB2609" s="201"/>
      <c r="AC2609" s="201"/>
      <c r="AD2609" s="197"/>
      <c r="AE2609" s="197"/>
      <c r="AF2609" s="197"/>
      <c r="AG2609" s="197"/>
      <c r="AH2609" s="197"/>
      <c r="AI2609" s="197"/>
      <c r="AJ2609" s="197"/>
      <c r="AK2609" s="197"/>
      <c r="AL2609" s="197"/>
      <c r="AM2609" s="197"/>
      <c r="AN2609" s="197"/>
      <c r="AO2609" s="197"/>
      <c r="AP2609" s="197"/>
      <c r="AQ2609" s="197"/>
      <c r="AR2609" s="197"/>
      <c r="AS2609" s="197"/>
      <c r="AT2609" s="197"/>
      <c r="AU2609" s="197"/>
      <c r="AV2609" s="197"/>
      <c r="AW2609" s="197"/>
    </row>
    <row r="2610" spans="28:49" s="196" customFormat="1">
      <c r="AB2610" s="201"/>
      <c r="AC2610" s="201"/>
      <c r="AD2610" s="197"/>
      <c r="AE2610" s="197"/>
      <c r="AF2610" s="197"/>
      <c r="AG2610" s="197"/>
      <c r="AH2610" s="197"/>
      <c r="AI2610" s="197"/>
      <c r="AJ2610" s="197"/>
      <c r="AK2610" s="197"/>
      <c r="AL2610" s="197"/>
      <c r="AM2610" s="197"/>
      <c r="AN2610" s="197"/>
      <c r="AO2610" s="197"/>
      <c r="AP2610" s="197"/>
      <c r="AQ2610" s="197"/>
      <c r="AR2610" s="197"/>
      <c r="AS2610" s="197"/>
      <c r="AT2610" s="197"/>
      <c r="AU2610" s="197"/>
      <c r="AV2610" s="197"/>
      <c r="AW2610" s="197"/>
    </row>
    <row r="2611" spans="28:49" s="196" customFormat="1">
      <c r="AB2611" s="201"/>
      <c r="AC2611" s="201"/>
      <c r="AD2611" s="197"/>
      <c r="AE2611" s="197"/>
      <c r="AF2611" s="197"/>
      <c r="AG2611" s="197"/>
      <c r="AH2611" s="197"/>
      <c r="AI2611" s="197"/>
      <c r="AJ2611" s="197"/>
      <c r="AK2611" s="197"/>
      <c r="AL2611" s="197"/>
      <c r="AM2611" s="197"/>
      <c r="AN2611" s="197"/>
      <c r="AO2611" s="197"/>
      <c r="AP2611" s="197"/>
      <c r="AQ2611" s="197"/>
      <c r="AR2611" s="197"/>
      <c r="AS2611" s="197"/>
      <c r="AT2611" s="197"/>
      <c r="AU2611" s="197"/>
      <c r="AV2611" s="197"/>
      <c r="AW2611" s="197"/>
    </row>
    <row r="2612" spans="28:49" s="196" customFormat="1">
      <c r="AB2612" s="201"/>
      <c r="AC2612" s="201"/>
      <c r="AD2612" s="197"/>
      <c r="AE2612" s="197"/>
      <c r="AF2612" s="197"/>
      <c r="AG2612" s="197"/>
      <c r="AH2612" s="197"/>
      <c r="AI2612" s="197"/>
      <c r="AJ2612" s="197"/>
      <c r="AK2612" s="197"/>
      <c r="AL2612" s="197"/>
      <c r="AM2612" s="197"/>
      <c r="AN2612" s="197"/>
      <c r="AO2612" s="197"/>
      <c r="AP2612" s="197"/>
      <c r="AQ2612" s="197"/>
      <c r="AR2612" s="197"/>
      <c r="AS2612" s="197"/>
      <c r="AT2612" s="197"/>
      <c r="AU2612" s="197"/>
      <c r="AV2612" s="197"/>
      <c r="AW2612" s="197"/>
    </row>
    <row r="2613" spans="28:49" s="196" customFormat="1">
      <c r="AB2613" s="201"/>
      <c r="AC2613" s="201"/>
      <c r="AD2613" s="197"/>
      <c r="AE2613" s="197"/>
      <c r="AF2613" s="197"/>
      <c r="AG2613" s="197"/>
      <c r="AH2613" s="197"/>
      <c r="AI2613" s="197"/>
      <c r="AJ2613" s="197"/>
      <c r="AK2613" s="197"/>
      <c r="AL2613" s="197"/>
      <c r="AM2613" s="197"/>
      <c r="AN2613" s="197"/>
      <c r="AO2613" s="197"/>
      <c r="AP2613" s="197"/>
      <c r="AQ2613" s="197"/>
      <c r="AR2613" s="197"/>
      <c r="AS2613" s="197"/>
      <c r="AT2613" s="197"/>
      <c r="AU2613" s="197"/>
      <c r="AV2613" s="197"/>
      <c r="AW2613" s="197"/>
    </row>
    <row r="2614" spans="28:49" s="196" customFormat="1">
      <c r="AB2614" s="201"/>
      <c r="AC2614" s="201"/>
      <c r="AD2614" s="197"/>
      <c r="AE2614" s="197"/>
      <c r="AF2614" s="197"/>
      <c r="AG2614" s="197"/>
      <c r="AH2614" s="197"/>
      <c r="AI2614" s="197"/>
      <c r="AJ2614" s="197"/>
      <c r="AK2614" s="197"/>
      <c r="AL2614" s="197"/>
      <c r="AM2614" s="197"/>
      <c r="AN2614" s="197"/>
      <c r="AO2614" s="197"/>
      <c r="AP2614" s="197"/>
      <c r="AQ2614" s="197"/>
      <c r="AR2614" s="197"/>
      <c r="AS2614" s="197"/>
      <c r="AT2614" s="197"/>
      <c r="AU2614" s="197"/>
      <c r="AV2614" s="197"/>
      <c r="AW2614" s="197"/>
    </row>
    <row r="2615" spans="28:49" s="196" customFormat="1">
      <c r="AB2615" s="201"/>
      <c r="AC2615" s="201"/>
      <c r="AD2615" s="197"/>
      <c r="AE2615" s="197"/>
      <c r="AF2615" s="197"/>
      <c r="AG2615" s="197"/>
      <c r="AH2615" s="197"/>
      <c r="AI2615" s="197"/>
      <c r="AJ2615" s="197"/>
      <c r="AK2615" s="197"/>
      <c r="AL2615" s="197"/>
      <c r="AM2615" s="197"/>
      <c r="AN2615" s="197"/>
      <c r="AO2615" s="197"/>
      <c r="AP2615" s="197"/>
      <c r="AQ2615" s="197"/>
      <c r="AR2615" s="197"/>
      <c r="AS2615" s="197"/>
      <c r="AT2615" s="197"/>
      <c r="AU2615" s="197"/>
      <c r="AV2615" s="197"/>
      <c r="AW2615" s="197"/>
    </row>
    <row r="2616" spans="28:49" s="196" customFormat="1">
      <c r="AB2616" s="201"/>
      <c r="AC2616" s="201"/>
      <c r="AD2616" s="197"/>
      <c r="AE2616" s="197"/>
      <c r="AF2616" s="197"/>
      <c r="AG2616" s="197"/>
      <c r="AH2616" s="197"/>
      <c r="AI2616" s="197"/>
      <c r="AJ2616" s="197"/>
      <c r="AK2616" s="197"/>
      <c r="AL2616" s="197"/>
      <c r="AM2616" s="197"/>
      <c r="AN2616" s="197"/>
      <c r="AO2616" s="197"/>
      <c r="AP2616" s="197"/>
      <c r="AQ2616" s="197"/>
      <c r="AR2616" s="197"/>
      <c r="AS2616" s="197"/>
      <c r="AT2616" s="197"/>
      <c r="AU2616" s="197"/>
      <c r="AV2616" s="197"/>
      <c r="AW2616" s="197"/>
    </row>
    <row r="2617" spans="28:49" s="196" customFormat="1">
      <c r="AB2617" s="201"/>
      <c r="AC2617" s="201"/>
      <c r="AD2617" s="197"/>
      <c r="AE2617" s="197"/>
      <c r="AF2617" s="197"/>
      <c r="AG2617" s="197"/>
      <c r="AH2617" s="197"/>
      <c r="AI2617" s="197"/>
      <c r="AJ2617" s="197"/>
      <c r="AK2617" s="197"/>
      <c r="AL2617" s="197"/>
      <c r="AM2617" s="197"/>
      <c r="AN2617" s="197"/>
      <c r="AO2617" s="197"/>
      <c r="AP2617" s="197"/>
      <c r="AQ2617" s="197"/>
      <c r="AR2617" s="197"/>
      <c r="AS2617" s="197"/>
      <c r="AT2617" s="197"/>
      <c r="AU2617" s="197"/>
      <c r="AV2617" s="197"/>
      <c r="AW2617" s="197"/>
    </row>
    <row r="2618" spans="28:49" s="196" customFormat="1">
      <c r="AB2618" s="201"/>
      <c r="AC2618" s="201"/>
      <c r="AD2618" s="197"/>
      <c r="AE2618" s="197"/>
      <c r="AF2618" s="197"/>
      <c r="AG2618" s="197"/>
      <c r="AH2618" s="197"/>
      <c r="AI2618" s="197"/>
      <c r="AJ2618" s="197"/>
      <c r="AK2618" s="197"/>
      <c r="AL2618" s="197"/>
      <c r="AM2618" s="197"/>
      <c r="AN2618" s="197"/>
      <c r="AO2618" s="197"/>
      <c r="AP2618" s="197"/>
      <c r="AQ2618" s="197"/>
      <c r="AR2618" s="197"/>
      <c r="AS2618" s="197"/>
      <c r="AT2618" s="197"/>
      <c r="AU2618" s="197"/>
      <c r="AV2618" s="197"/>
      <c r="AW2618" s="197"/>
    </row>
    <row r="2619" spans="28:49" s="196" customFormat="1">
      <c r="AB2619" s="201"/>
      <c r="AC2619" s="201"/>
      <c r="AD2619" s="197"/>
      <c r="AE2619" s="197"/>
      <c r="AF2619" s="197"/>
      <c r="AG2619" s="197"/>
      <c r="AH2619" s="197"/>
      <c r="AI2619" s="197"/>
      <c r="AJ2619" s="197"/>
      <c r="AK2619" s="197"/>
      <c r="AL2619" s="197"/>
      <c r="AM2619" s="197"/>
      <c r="AN2619" s="197"/>
      <c r="AO2619" s="197"/>
      <c r="AP2619" s="197"/>
      <c r="AQ2619" s="197"/>
      <c r="AR2619" s="197"/>
      <c r="AS2619" s="197"/>
      <c r="AT2619" s="197"/>
      <c r="AU2619" s="197"/>
      <c r="AV2619" s="197"/>
      <c r="AW2619" s="197"/>
    </row>
    <row r="2620" spans="28:49" s="196" customFormat="1">
      <c r="AB2620" s="201"/>
      <c r="AC2620" s="201"/>
      <c r="AD2620" s="197"/>
      <c r="AE2620" s="197"/>
      <c r="AF2620" s="197"/>
      <c r="AG2620" s="197"/>
      <c r="AH2620" s="197"/>
      <c r="AI2620" s="197"/>
      <c r="AJ2620" s="197"/>
      <c r="AK2620" s="197"/>
      <c r="AL2620" s="197"/>
      <c r="AM2620" s="197"/>
      <c r="AN2620" s="197"/>
      <c r="AO2620" s="197"/>
      <c r="AP2620" s="197"/>
      <c r="AQ2620" s="197"/>
      <c r="AR2620" s="197"/>
      <c r="AS2620" s="197"/>
      <c r="AT2620" s="197"/>
      <c r="AU2620" s="197"/>
      <c r="AV2620" s="197"/>
      <c r="AW2620" s="197"/>
    </row>
    <row r="2621" spans="28:49" s="196" customFormat="1">
      <c r="AB2621" s="201"/>
      <c r="AC2621" s="201"/>
      <c r="AD2621" s="197"/>
      <c r="AE2621" s="197"/>
      <c r="AF2621" s="197"/>
      <c r="AG2621" s="197"/>
      <c r="AH2621" s="197"/>
      <c r="AI2621" s="197"/>
      <c r="AJ2621" s="197"/>
      <c r="AK2621" s="197"/>
      <c r="AL2621" s="197"/>
      <c r="AM2621" s="197"/>
      <c r="AN2621" s="197"/>
      <c r="AO2621" s="197"/>
      <c r="AP2621" s="197"/>
      <c r="AQ2621" s="197"/>
      <c r="AR2621" s="197"/>
      <c r="AS2621" s="197"/>
      <c r="AT2621" s="197"/>
      <c r="AU2621" s="197"/>
      <c r="AV2621" s="197"/>
      <c r="AW2621" s="197"/>
    </row>
    <row r="2622" spans="28:49" s="196" customFormat="1">
      <c r="AB2622" s="201"/>
      <c r="AC2622" s="201"/>
      <c r="AD2622" s="197"/>
      <c r="AE2622" s="197"/>
      <c r="AF2622" s="197"/>
      <c r="AG2622" s="197"/>
      <c r="AH2622" s="197"/>
      <c r="AI2622" s="197"/>
      <c r="AJ2622" s="197"/>
      <c r="AK2622" s="197"/>
      <c r="AL2622" s="197"/>
      <c r="AM2622" s="197"/>
      <c r="AN2622" s="197"/>
      <c r="AO2622" s="197"/>
      <c r="AP2622" s="197"/>
      <c r="AQ2622" s="197"/>
      <c r="AR2622" s="197"/>
      <c r="AS2622" s="197"/>
      <c r="AT2622" s="197"/>
      <c r="AU2622" s="197"/>
      <c r="AV2622" s="197"/>
      <c r="AW2622" s="197"/>
    </row>
    <row r="2623" spans="28:49" s="196" customFormat="1">
      <c r="AB2623" s="201"/>
      <c r="AC2623" s="201"/>
      <c r="AD2623" s="197"/>
      <c r="AE2623" s="197"/>
      <c r="AF2623" s="197"/>
      <c r="AG2623" s="197"/>
      <c r="AH2623" s="197"/>
      <c r="AI2623" s="197"/>
      <c r="AJ2623" s="197"/>
      <c r="AK2623" s="197"/>
      <c r="AL2623" s="197"/>
      <c r="AM2623" s="197"/>
      <c r="AN2623" s="197"/>
      <c r="AO2623" s="197"/>
      <c r="AP2623" s="197"/>
      <c r="AQ2623" s="197"/>
      <c r="AR2623" s="197"/>
      <c r="AS2623" s="197"/>
      <c r="AT2623" s="197"/>
      <c r="AU2623" s="197"/>
      <c r="AV2623" s="197"/>
      <c r="AW2623" s="197"/>
    </row>
    <row r="2624" spans="28:49" s="196" customFormat="1">
      <c r="AB2624" s="201"/>
      <c r="AC2624" s="201"/>
      <c r="AD2624" s="197"/>
      <c r="AE2624" s="197"/>
      <c r="AF2624" s="197"/>
      <c r="AG2624" s="197"/>
      <c r="AH2624" s="197"/>
      <c r="AI2624" s="197"/>
      <c r="AJ2624" s="197"/>
      <c r="AK2624" s="197"/>
      <c r="AL2624" s="197"/>
      <c r="AM2624" s="197"/>
      <c r="AN2624" s="197"/>
      <c r="AO2624" s="197"/>
      <c r="AP2624" s="197"/>
      <c r="AQ2624" s="197"/>
      <c r="AR2624" s="197"/>
      <c r="AS2624" s="197"/>
      <c r="AT2624" s="197"/>
      <c r="AU2624" s="197"/>
      <c r="AV2624" s="197"/>
      <c r="AW2624" s="197"/>
    </row>
    <row r="2625" spans="28:49" s="196" customFormat="1">
      <c r="AB2625" s="201"/>
      <c r="AC2625" s="201"/>
      <c r="AD2625" s="197"/>
      <c r="AE2625" s="197"/>
      <c r="AF2625" s="197"/>
      <c r="AG2625" s="197"/>
      <c r="AH2625" s="197"/>
      <c r="AI2625" s="197"/>
      <c r="AJ2625" s="197"/>
      <c r="AK2625" s="197"/>
      <c r="AL2625" s="197"/>
      <c r="AM2625" s="197"/>
      <c r="AN2625" s="197"/>
      <c r="AO2625" s="197"/>
      <c r="AP2625" s="197"/>
      <c r="AQ2625" s="197"/>
      <c r="AR2625" s="197"/>
      <c r="AS2625" s="197"/>
      <c r="AT2625" s="197"/>
      <c r="AU2625" s="197"/>
      <c r="AV2625" s="197"/>
      <c r="AW2625" s="197"/>
    </row>
    <row r="2626" spans="28:49" s="196" customFormat="1">
      <c r="AB2626" s="201"/>
      <c r="AC2626" s="201"/>
      <c r="AD2626" s="197"/>
      <c r="AE2626" s="197"/>
      <c r="AF2626" s="197"/>
      <c r="AG2626" s="197"/>
      <c r="AH2626" s="197"/>
      <c r="AI2626" s="197"/>
      <c r="AJ2626" s="197"/>
      <c r="AK2626" s="197"/>
      <c r="AL2626" s="197"/>
      <c r="AM2626" s="197"/>
      <c r="AN2626" s="197"/>
      <c r="AO2626" s="197"/>
      <c r="AP2626" s="197"/>
      <c r="AQ2626" s="197"/>
      <c r="AR2626" s="197"/>
      <c r="AS2626" s="197"/>
      <c r="AT2626" s="197"/>
      <c r="AU2626" s="197"/>
      <c r="AV2626" s="197"/>
      <c r="AW2626" s="197"/>
    </row>
    <row r="2627" spans="28:49" s="196" customFormat="1">
      <c r="AB2627" s="201"/>
      <c r="AC2627" s="201"/>
      <c r="AD2627" s="197"/>
      <c r="AE2627" s="197"/>
      <c r="AF2627" s="197"/>
      <c r="AG2627" s="197"/>
      <c r="AH2627" s="197"/>
      <c r="AI2627" s="197"/>
      <c r="AJ2627" s="197"/>
      <c r="AK2627" s="197"/>
      <c r="AL2627" s="197"/>
      <c r="AM2627" s="197"/>
      <c r="AN2627" s="197"/>
      <c r="AO2627" s="197"/>
      <c r="AP2627" s="197"/>
      <c r="AQ2627" s="197"/>
      <c r="AR2627" s="197"/>
      <c r="AS2627" s="197"/>
      <c r="AT2627" s="197"/>
      <c r="AU2627" s="197"/>
      <c r="AV2627" s="197"/>
      <c r="AW2627" s="197"/>
    </row>
    <row r="2628" spans="28:49" s="196" customFormat="1">
      <c r="AB2628" s="201"/>
      <c r="AC2628" s="201"/>
      <c r="AD2628" s="197"/>
      <c r="AE2628" s="197"/>
      <c r="AF2628" s="197"/>
      <c r="AG2628" s="197"/>
      <c r="AH2628" s="197"/>
      <c r="AI2628" s="197"/>
      <c r="AJ2628" s="197"/>
      <c r="AK2628" s="197"/>
      <c r="AL2628" s="197"/>
      <c r="AM2628" s="197"/>
      <c r="AN2628" s="197"/>
      <c r="AO2628" s="197"/>
      <c r="AP2628" s="197"/>
      <c r="AQ2628" s="197"/>
      <c r="AR2628" s="197"/>
      <c r="AS2628" s="197"/>
      <c r="AT2628" s="197"/>
      <c r="AU2628" s="197"/>
      <c r="AV2628" s="197"/>
      <c r="AW2628" s="197"/>
    </row>
    <row r="2629" spans="28:49" s="196" customFormat="1">
      <c r="AB2629" s="201"/>
      <c r="AC2629" s="201"/>
      <c r="AD2629" s="197"/>
      <c r="AE2629" s="197"/>
      <c r="AF2629" s="197"/>
      <c r="AG2629" s="197"/>
      <c r="AH2629" s="197"/>
      <c r="AI2629" s="197"/>
      <c r="AJ2629" s="197"/>
      <c r="AK2629" s="197"/>
      <c r="AL2629" s="197"/>
      <c r="AM2629" s="197"/>
      <c r="AN2629" s="197"/>
      <c r="AO2629" s="197"/>
      <c r="AP2629" s="197"/>
      <c r="AQ2629" s="197"/>
      <c r="AR2629" s="197"/>
      <c r="AS2629" s="197"/>
      <c r="AT2629" s="197"/>
      <c r="AU2629" s="197"/>
      <c r="AV2629" s="197"/>
      <c r="AW2629" s="197"/>
    </row>
    <row r="2630" spans="28:49" s="196" customFormat="1">
      <c r="AB2630" s="201"/>
      <c r="AC2630" s="201"/>
      <c r="AD2630" s="197"/>
      <c r="AE2630" s="197"/>
      <c r="AF2630" s="197"/>
      <c r="AG2630" s="197"/>
      <c r="AH2630" s="197"/>
      <c r="AI2630" s="197"/>
      <c r="AJ2630" s="197"/>
      <c r="AK2630" s="197"/>
      <c r="AL2630" s="197"/>
      <c r="AM2630" s="197"/>
      <c r="AN2630" s="197"/>
      <c r="AO2630" s="197"/>
      <c r="AP2630" s="197"/>
      <c r="AQ2630" s="197"/>
      <c r="AR2630" s="197"/>
      <c r="AS2630" s="197"/>
      <c r="AT2630" s="197"/>
      <c r="AU2630" s="197"/>
      <c r="AV2630" s="197"/>
      <c r="AW2630" s="197"/>
    </row>
    <row r="2631" spans="28:49" s="196" customFormat="1">
      <c r="AB2631" s="201"/>
      <c r="AC2631" s="201"/>
      <c r="AD2631" s="197"/>
      <c r="AE2631" s="197"/>
      <c r="AF2631" s="197"/>
      <c r="AG2631" s="197"/>
      <c r="AH2631" s="197"/>
      <c r="AI2631" s="197"/>
      <c r="AJ2631" s="197"/>
      <c r="AK2631" s="197"/>
      <c r="AL2631" s="197"/>
      <c r="AM2631" s="197"/>
      <c r="AN2631" s="197"/>
      <c r="AO2631" s="197"/>
      <c r="AP2631" s="197"/>
      <c r="AQ2631" s="197"/>
      <c r="AR2631" s="197"/>
      <c r="AS2631" s="197"/>
      <c r="AT2631" s="197"/>
      <c r="AU2631" s="197"/>
      <c r="AV2631" s="197"/>
      <c r="AW2631" s="197"/>
    </row>
    <row r="2632" spans="28:49" s="196" customFormat="1">
      <c r="AB2632" s="201"/>
      <c r="AC2632" s="201"/>
      <c r="AD2632" s="197"/>
      <c r="AE2632" s="197"/>
      <c r="AF2632" s="197"/>
      <c r="AG2632" s="197"/>
      <c r="AH2632" s="197"/>
      <c r="AI2632" s="197"/>
      <c r="AJ2632" s="197"/>
      <c r="AK2632" s="197"/>
      <c r="AL2632" s="197"/>
      <c r="AM2632" s="197"/>
      <c r="AN2632" s="197"/>
      <c r="AO2632" s="197"/>
      <c r="AP2632" s="197"/>
      <c r="AQ2632" s="197"/>
      <c r="AR2632" s="197"/>
      <c r="AS2632" s="197"/>
      <c r="AT2632" s="197"/>
      <c r="AU2632" s="197"/>
      <c r="AV2632" s="197"/>
      <c r="AW2632" s="197"/>
    </row>
    <row r="2633" spans="28:49" s="196" customFormat="1">
      <c r="AB2633" s="201"/>
      <c r="AC2633" s="201"/>
      <c r="AD2633" s="197"/>
      <c r="AE2633" s="197"/>
      <c r="AF2633" s="197"/>
      <c r="AG2633" s="197"/>
      <c r="AH2633" s="197"/>
      <c r="AI2633" s="197"/>
      <c r="AJ2633" s="197"/>
      <c r="AK2633" s="197"/>
      <c r="AL2633" s="197"/>
      <c r="AM2633" s="197"/>
      <c r="AN2633" s="197"/>
      <c r="AO2633" s="197"/>
      <c r="AP2633" s="197"/>
      <c r="AQ2633" s="197"/>
      <c r="AR2633" s="197"/>
      <c r="AS2633" s="197"/>
      <c r="AT2633" s="197"/>
      <c r="AU2633" s="197"/>
      <c r="AV2633" s="197"/>
      <c r="AW2633" s="197"/>
    </row>
    <row r="2634" spans="28:49" s="196" customFormat="1">
      <c r="AB2634" s="201"/>
      <c r="AC2634" s="201"/>
      <c r="AD2634" s="197"/>
      <c r="AE2634" s="197"/>
      <c r="AF2634" s="197"/>
      <c r="AG2634" s="197"/>
      <c r="AH2634" s="197"/>
      <c r="AI2634" s="197"/>
      <c r="AJ2634" s="197"/>
      <c r="AK2634" s="197"/>
      <c r="AL2634" s="197"/>
      <c r="AM2634" s="197"/>
      <c r="AN2634" s="197"/>
      <c r="AO2634" s="197"/>
      <c r="AP2634" s="197"/>
      <c r="AQ2634" s="197"/>
      <c r="AR2634" s="197"/>
      <c r="AS2634" s="197"/>
      <c r="AT2634" s="197"/>
      <c r="AU2634" s="197"/>
      <c r="AV2634" s="197"/>
      <c r="AW2634" s="197"/>
    </row>
    <row r="2635" spans="28:49" s="196" customFormat="1">
      <c r="AB2635" s="201"/>
      <c r="AC2635" s="201"/>
      <c r="AD2635" s="197"/>
      <c r="AE2635" s="197"/>
      <c r="AF2635" s="197"/>
      <c r="AG2635" s="197"/>
      <c r="AH2635" s="197"/>
      <c r="AI2635" s="197"/>
      <c r="AJ2635" s="197"/>
      <c r="AK2635" s="197"/>
      <c r="AL2635" s="197"/>
      <c r="AM2635" s="197"/>
      <c r="AN2635" s="197"/>
      <c r="AO2635" s="197"/>
      <c r="AP2635" s="197"/>
      <c r="AQ2635" s="197"/>
      <c r="AR2635" s="197"/>
      <c r="AS2635" s="197"/>
      <c r="AT2635" s="197"/>
      <c r="AU2635" s="197"/>
      <c r="AV2635" s="197"/>
      <c r="AW2635" s="197"/>
    </row>
    <row r="2636" spans="28:49" s="196" customFormat="1">
      <c r="AB2636" s="201"/>
      <c r="AC2636" s="201"/>
      <c r="AD2636" s="197"/>
      <c r="AE2636" s="197"/>
      <c r="AF2636" s="197"/>
      <c r="AG2636" s="197"/>
      <c r="AH2636" s="197"/>
      <c r="AI2636" s="197"/>
      <c r="AJ2636" s="197"/>
      <c r="AK2636" s="197"/>
      <c r="AL2636" s="197"/>
      <c r="AM2636" s="197"/>
      <c r="AN2636" s="197"/>
      <c r="AO2636" s="197"/>
      <c r="AP2636" s="197"/>
      <c r="AQ2636" s="197"/>
      <c r="AR2636" s="197"/>
      <c r="AS2636" s="197"/>
      <c r="AT2636" s="197"/>
      <c r="AU2636" s="197"/>
      <c r="AV2636" s="197"/>
      <c r="AW2636" s="197"/>
    </row>
    <row r="2637" spans="28:49" s="196" customFormat="1">
      <c r="AB2637" s="201"/>
      <c r="AC2637" s="201"/>
      <c r="AD2637" s="197"/>
      <c r="AE2637" s="197"/>
      <c r="AF2637" s="197"/>
      <c r="AG2637" s="197"/>
      <c r="AH2637" s="197"/>
      <c r="AI2637" s="197"/>
      <c r="AJ2637" s="197"/>
      <c r="AK2637" s="197"/>
      <c r="AL2637" s="197"/>
      <c r="AM2637" s="197"/>
      <c r="AN2637" s="197"/>
      <c r="AO2637" s="197"/>
      <c r="AP2637" s="197"/>
      <c r="AQ2637" s="197"/>
      <c r="AR2637" s="197"/>
      <c r="AS2637" s="197"/>
      <c r="AT2637" s="197"/>
      <c r="AU2637" s="197"/>
      <c r="AV2637" s="197"/>
      <c r="AW2637" s="197"/>
    </row>
    <row r="2638" spans="28:49" s="196" customFormat="1">
      <c r="AB2638" s="201"/>
      <c r="AC2638" s="201"/>
      <c r="AD2638" s="197"/>
      <c r="AE2638" s="197"/>
      <c r="AF2638" s="197"/>
      <c r="AG2638" s="197"/>
      <c r="AH2638" s="197"/>
      <c r="AI2638" s="197"/>
      <c r="AJ2638" s="197"/>
      <c r="AK2638" s="197"/>
      <c r="AL2638" s="197"/>
      <c r="AM2638" s="197"/>
      <c r="AN2638" s="197"/>
      <c r="AO2638" s="197"/>
      <c r="AP2638" s="197"/>
      <c r="AQ2638" s="197"/>
      <c r="AR2638" s="197"/>
      <c r="AS2638" s="197"/>
      <c r="AT2638" s="197"/>
      <c r="AU2638" s="197"/>
      <c r="AV2638" s="197"/>
      <c r="AW2638" s="197"/>
    </row>
    <row r="2639" spans="28:49" s="196" customFormat="1">
      <c r="AB2639" s="201"/>
      <c r="AC2639" s="201"/>
      <c r="AD2639" s="197"/>
      <c r="AE2639" s="197"/>
      <c r="AF2639" s="197"/>
      <c r="AG2639" s="197"/>
      <c r="AH2639" s="197"/>
      <c r="AI2639" s="197"/>
      <c r="AJ2639" s="197"/>
      <c r="AK2639" s="197"/>
      <c r="AL2639" s="197"/>
      <c r="AM2639" s="197"/>
      <c r="AN2639" s="197"/>
      <c r="AO2639" s="197"/>
      <c r="AP2639" s="197"/>
      <c r="AQ2639" s="197"/>
      <c r="AR2639" s="197"/>
      <c r="AS2639" s="197"/>
      <c r="AT2639" s="197"/>
      <c r="AU2639" s="197"/>
      <c r="AV2639" s="197"/>
      <c r="AW2639" s="197"/>
    </row>
    <row r="2640" spans="28:49" s="196" customFormat="1">
      <c r="AB2640" s="201"/>
      <c r="AC2640" s="201"/>
      <c r="AD2640" s="197"/>
      <c r="AE2640" s="197"/>
      <c r="AF2640" s="197"/>
      <c r="AG2640" s="197"/>
      <c r="AH2640" s="197"/>
      <c r="AI2640" s="197"/>
      <c r="AJ2640" s="197"/>
      <c r="AK2640" s="197"/>
      <c r="AL2640" s="197"/>
      <c r="AM2640" s="197"/>
      <c r="AN2640" s="197"/>
      <c r="AO2640" s="197"/>
      <c r="AP2640" s="197"/>
      <c r="AQ2640" s="197"/>
      <c r="AR2640" s="197"/>
      <c r="AS2640" s="197"/>
      <c r="AT2640" s="197"/>
      <c r="AU2640" s="197"/>
      <c r="AV2640" s="197"/>
      <c r="AW2640" s="197"/>
    </row>
    <row r="2641" spans="28:49" s="196" customFormat="1">
      <c r="AB2641" s="201"/>
      <c r="AC2641" s="201"/>
      <c r="AD2641" s="197"/>
      <c r="AE2641" s="197"/>
      <c r="AF2641" s="197"/>
      <c r="AG2641" s="197"/>
      <c r="AH2641" s="197"/>
      <c r="AI2641" s="197"/>
      <c r="AJ2641" s="197"/>
      <c r="AK2641" s="197"/>
      <c r="AL2641" s="197"/>
      <c r="AM2641" s="197"/>
      <c r="AN2641" s="197"/>
      <c r="AO2641" s="197"/>
      <c r="AP2641" s="197"/>
      <c r="AQ2641" s="197"/>
      <c r="AR2641" s="197"/>
      <c r="AS2641" s="197"/>
      <c r="AT2641" s="197"/>
      <c r="AU2641" s="197"/>
      <c r="AV2641" s="197"/>
      <c r="AW2641" s="197"/>
    </row>
    <row r="2642" spans="28:49" s="196" customFormat="1">
      <c r="AB2642" s="201"/>
      <c r="AC2642" s="201"/>
      <c r="AD2642" s="197"/>
      <c r="AE2642" s="197"/>
      <c r="AF2642" s="197"/>
      <c r="AG2642" s="197"/>
      <c r="AH2642" s="197"/>
      <c r="AI2642" s="197"/>
      <c r="AJ2642" s="197"/>
      <c r="AK2642" s="197"/>
      <c r="AL2642" s="197"/>
      <c r="AM2642" s="197"/>
      <c r="AN2642" s="197"/>
      <c r="AO2642" s="197"/>
      <c r="AP2642" s="197"/>
      <c r="AQ2642" s="197"/>
      <c r="AR2642" s="197"/>
      <c r="AS2642" s="197"/>
      <c r="AT2642" s="197"/>
      <c r="AU2642" s="197"/>
      <c r="AV2642" s="197"/>
      <c r="AW2642" s="197"/>
    </row>
    <row r="2643" spans="28:49" s="196" customFormat="1">
      <c r="AB2643" s="201"/>
      <c r="AC2643" s="201"/>
      <c r="AD2643" s="197"/>
      <c r="AE2643" s="197"/>
      <c r="AF2643" s="197"/>
      <c r="AG2643" s="197"/>
      <c r="AH2643" s="197"/>
      <c r="AI2643" s="197"/>
      <c r="AJ2643" s="197"/>
      <c r="AK2643" s="197"/>
      <c r="AL2643" s="197"/>
      <c r="AM2643" s="197"/>
      <c r="AN2643" s="197"/>
      <c r="AO2643" s="197"/>
      <c r="AP2643" s="197"/>
      <c r="AQ2643" s="197"/>
      <c r="AR2643" s="197"/>
      <c r="AS2643" s="197"/>
      <c r="AT2643" s="197"/>
      <c r="AU2643" s="197"/>
      <c r="AV2643" s="197"/>
      <c r="AW2643" s="197"/>
    </row>
    <row r="2644" spans="28:49" s="196" customFormat="1">
      <c r="AB2644" s="201"/>
      <c r="AC2644" s="201"/>
      <c r="AD2644" s="197"/>
      <c r="AE2644" s="197"/>
      <c r="AF2644" s="197"/>
      <c r="AG2644" s="197"/>
      <c r="AH2644" s="197"/>
      <c r="AI2644" s="197"/>
      <c r="AJ2644" s="197"/>
      <c r="AK2644" s="197"/>
      <c r="AL2644" s="197"/>
      <c r="AM2644" s="197"/>
      <c r="AN2644" s="197"/>
      <c r="AO2644" s="197"/>
      <c r="AP2644" s="197"/>
      <c r="AQ2644" s="197"/>
      <c r="AR2644" s="197"/>
      <c r="AS2644" s="197"/>
      <c r="AT2644" s="197"/>
      <c r="AU2644" s="197"/>
      <c r="AV2644" s="197"/>
      <c r="AW2644" s="197"/>
    </row>
    <row r="2645" spans="28:49" s="196" customFormat="1">
      <c r="AB2645" s="201"/>
      <c r="AC2645" s="201"/>
      <c r="AD2645" s="197"/>
      <c r="AE2645" s="197"/>
      <c r="AF2645" s="197"/>
      <c r="AG2645" s="197"/>
      <c r="AH2645" s="197"/>
      <c r="AI2645" s="197"/>
      <c r="AJ2645" s="197"/>
      <c r="AK2645" s="197"/>
      <c r="AL2645" s="197"/>
      <c r="AM2645" s="197"/>
      <c r="AN2645" s="197"/>
      <c r="AO2645" s="197"/>
      <c r="AP2645" s="197"/>
      <c r="AQ2645" s="197"/>
      <c r="AR2645" s="197"/>
      <c r="AS2645" s="197"/>
      <c r="AT2645" s="197"/>
      <c r="AU2645" s="197"/>
      <c r="AV2645" s="197"/>
      <c r="AW2645" s="197"/>
    </row>
    <row r="2646" spans="28:49" s="196" customFormat="1">
      <c r="AB2646" s="201"/>
      <c r="AC2646" s="201"/>
      <c r="AD2646" s="197"/>
      <c r="AE2646" s="197"/>
      <c r="AF2646" s="197"/>
      <c r="AG2646" s="197"/>
      <c r="AH2646" s="197"/>
      <c r="AI2646" s="197"/>
      <c r="AJ2646" s="197"/>
      <c r="AK2646" s="197"/>
      <c r="AL2646" s="197"/>
      <c r="AM2646" s="197"/>
      <c r="AN2646" s="197"/>
      <c r="AO2646" s="197"/>
      <c r="AP2646" s="197"/>
      <c r="AQ2646" s="197"/>
      <c r="AR2646" s="197"/>
      <c r="AS2646" s="197"/>
      <c r="AT2646" s="197"/>
      <c r="AU2646" s="197"/>
      <c r="AV2646" s="197"/>
      <c r="AW2646" s="197"/>
    </row>
    <row r="2647" spans="28:49" s="196" customFormat="1">
      <c r="AB2647" s="201"/>
      <c r="AC2647" s="201"/>
      <c r="AD2647" s="197"/>
      <c r="AE2647" s="197"/>
      <c r="AF2647" s="197"/>
      <c r="AG2647" s="197"/>
      <c r="AH2647" s="197"/>
      <c r="AI2647" s="197"/>
      <c r="AJ2647" s="197"/>
      <c r="AK2647" s="197"/>
      <c r="AL2647" s="197"/>
      <c r="AM2647" s="197"/>
      <c r="AN2647" s="197"/>
      <c r="AO2647" s="197"/>
      <c r="AP2647" s="197"/>
      <c r="AQ2647" s="197"/>
      <c r="AR2647" s="197"/>
      <c r="AS2647" s="197"/>
      <c r="AT2647" s="197"/>
      <c r="AU2647" s="197"/>
      <c r="AV2647" s="197"/>
      <c r="AW2647" s="197"/>
    </row>
    <row r="2648" spans="28:49" s="196" customFormat="1">
      <c r="AB2648" s="201"/>
      <c r="AC2648" s="201"/>
      <c r="AD2648" s="197"/>
      <c r="AE2648" s="197"/>
      <c r="AF2648" s="197"/>
      <c r="AG2648" s="197"/>
      <c r="AH2648" s="197"/>
      <c r="AI2648" s="197"/>
      <c r="AJ2648" s="197"/>
      <c r="AK2648" s="197"/>
      <c r="AL2648" s="197"/>
      <c r="AM2648" s="197"/>
      <c r="AN2648" s="197"/>
      <c r="AO2648" s="197"/>
      <c r="AP2648" s="197"/>
      <c r="AQ2648" s="197"/>
      <c r="AR2648" s="197"/>
      <c r="AS2648" s="197"/>
      <c r="AT2648" s="197"/>
      <c r="AU2648" s="197"/>
      <c r="AV2648" s="197"/>
      <c r="AW2648" s="197"/>
    </row>
    <row r="2649" spans="28:49" s="196" customFormat="1">
      <c r="AB2649" s="201"/>
      <c r="AC2649" s="201"/>
      <c r="AD2649" s="197"/>
      <c r="AE2649" s="197"/>
      <c r="AF2649" s="197"/>
      <c r="AG2649" s="197"/>
      <c r="AH2649" s="197"/>
      <c r="AI2649" s="197"/>
      <c r="AJ2649" s="197"/>
      <c r="AK2649" s="197"/>
      <c r="AL2649" s="197"/>
      <c r="AM2649" s="197"/>
      <c r="AN2649" s="197"/>
      <c r="AO2649" s="197"/>
      <c r="AP2649" s="197"/>
      <c r="AQ2649" s="197"/>
      <c r="AR2649" s="197"/>
      <c r="AS2649" s="197"/>
      <c r="AT2649" s="197"/>
      <c r="AU2649" s="197"/>
      <c r="AV2649" s="197"/>
      <c r="AW2649" s="197"/>
    </row>
    <row r="2650" spans="28:49" s="196" customFormat="1">
      <c r="AB2650" s="201"/>
      <c r="AC2650" s="201"/>
      <c r="AD2650" s="197"/>
      <c r="AE2650" s="197"/>
      <c r="AF2650" s="197"/>
      <c r="AG2650" s="197"/>
      <c r="AH2650" s="197"/>
      <c r="AI2650" s="197"/>
      <c r="AJ2650" s="197"/>
      <c r="AK2650" s="197"/>
      <c r="AL2650" s="197"/>
      <c r="AM2650" s="197"/>
      <c r="AN2650" s="197"/>
      <c r="AO2650" s="197"/>
      <c r="AP2650" s="197"/>
      <c r="AQ2650" s="197"/>
      <c r="AR2650" s="197"/>
      <c r="AS2650" s="197"/>
      <c r="AT2650" s="197"/>
      <c r="AU2650" s="197"/>
      <c r="AV2650" s="197"/>
      <c r="AW2650" s="197"/>
    </row>
    <row r="2651" spans="28:49" s="196" customFormat="1">
      <c r="AB2651" s="201"/>
      <c r="AC2651" s="201"/>
      <c r="AD2651" s="197"/>
      <c r="AE2651" s="197"/>
      <c r="AF2651" s="197"/>
      <c r="AG2651" s="197"/>
      <c r="AH2651" s="197"/>
      <c r="AI2651" s="197"/>
      <c r="AJ2651" s="197"/>
      <c r="AK2651" s="197"/>
      <c r="AL2651" s="197"/>
      <c r="AM2651" s="197"/>
      <c r="AN2651" s="197"/>
      <c r="AO2651" s="197"/>
      <c r="AP2651" s="197"/>
      <c r="AQ2651" s="197"/>
      <c r="AR2651" s="197"/>
      <c r="AS2651" s="197"/>
      <c r="AT2651" s="197"/>
      <c r="AU2651" s="197"/>
      <c r="AV2651" s="197"/>
      <c r="AW2651" s="197"/>
    </row>
    <row r="2652" spans="28:49" s="196" customFormat="1">
      <c r="AB2652" s="201"/>
      <c r="AC2652" s="201"/>
      <c r="AD2652" s="197"/>
      <c r="AE2652" s="197"/>
      <c r="AF2652" s="197"/>
      <c r="AG2652" s="197"/>
      <c r="AH2652" s="197"/>
      <c r="AI2652" s="197"/>
      <c r="AJ2652" s="197"/>
      <c r="AK2652" s="197"/>
      <c r="AL2652" s="197"/>
      <c r="AM2652" s="197"/>
      <c r="AN2652" s="197"/>
      <c r="AO2652" s="197"/>
      <c r="AP2652" s="197"/>
      <c r="AQ2652" s="197"/>
      <c r="AR2652" s="197"/>
      <c r="AS2652" s="197"/>
      <c r="AT2652" s="197"/>
      <c r="AU2652" s="197"/>
      <c r="AV2652" s="197"/>
      <c r="AW2652" s="197"/>
    </row>
    <row r="2653" spans="28:49" s="196" customFormat="1">
      <c r="AB2653" s="201"/>
      <c r="AC2653" s="201"/>
      <c r="AD2653" s="197"/>
      <c r="AE2653" s="197"/>
      <c r="AF2653" s="197"/>
      <c r="AG2653" s="197"/>
      <c r="AH2653" s="197"/>
      <c r="AI2653" s="197"/>
      <c r="AJ2653" s="197"/>
      <c r="AK2653" s="197"/>
      <c r="AL2653" s="197"/>
      <c r="AM2653" s="197"/>
      <c r="AN2653" s="197"/>
      <c r="AO2653" s="197"/>
      <c r="AP2653" s="197"/>
      <c r="AQ2653" s="197"/>
      <c r="AR2653" s="197"/>
      <c r="AS2653" s="197"/>
      <c r="AT2653" s="197"/>
      <c r="AU2653" s="197"/>
      <c r="AV2653" s="197"/>
      <c r="AW2653" s="197"/>
    </row>
    <row r="2654" spans="28:49" s="196" customFormat="1">
      <c r="AB2654" s="201"/>
      <c r="AC2654" s="201"/>
      <c r="AD2654" s="197"/>
      <c r="AE2654" s="197"/>
      <c r="AF2654" s="197"/>
      <c r="AG2654" s="197"/>
      <c r="AH2654" s="197"/>
      <c r="AI2654" s="197"/>
      <c r="AJ2654" s="197"/>
      <c r="AK2654" s="197"/>
      <c r="AL2654" s="197"/>
      <c r="AM2654" s="197"/>
      <c r="AN2654" s="197"/>
      <c r="AO2654" s="197"/>
      <c r="AP2654" s="197"/>
      <c r="AQ2654" s="197"/>
      <c r="AR2654" s="197"/>
      <c r="AS2654" s="197"/>
      <c r="AT2654" s="197"/>
      <c r="AU2654" s="197"/>
      <c r="AV2654" s="197"/>
      <c r="AW2654" s="197"/>
    </row>
    <row r="2655" spans="28:49" s="196" customFormat="1">
      <c r="AB2655" s="201"/>
      <c r="AC2655" s="201"/>
      <c r="AD2655" s="197"/>
      <c r="AE2655" s="197"/>
      <c r="AF2655" s="197"/>
      <c r="AG2655" s="197"/>
      <c r="AH2655" s="197"/>
      <c r="AI2655" s="197"/>
      <c r="AJ2655" s="197"/>
      <c r="AK2655" s="197"/>
      <c r="AL2655" s="197"/>
      <c r="AM2655" s="197"/>
      <c r="AN2655" s="197"/>
      <c r="AO2655" s="197"/>
      <c r="AP2655" s="197"/>
      <c r="AQ2655" s="197"/>
      <c r="AR2655" s="197"/>
      <c r="AS2655" s="197"/>
      <c r="AT2655" s="197"/>
      <c r="AU2655" s="197"/>
      <c r="AV2655" s="197"/>
      <c r="AW2655" s="197"/>
    </row>
    <row r="2656" spans="28:49" s="196" customFormat="1">
      <c r="AB2656" s="201"/>
      <c r="AC2656" s="201"/>
      <c r="AD2656" s="197"/>
      <c r="AE2656" s="197"/>
      <c r="AF2656" s="197"/>
      <c r="AG2656" s="197"/>
      <c r="AH2656" s="197"/>
      <c r="AI2656" s="197"/>
      <c r="AJ2656" s="197"/>
      <c r="AK2656" s="197"/>
      <c r="AL2656" s="197"/>
      <c r="AM2656" s="197"/>
      <c r="AN2656" s="197"/>
      <c r="AO2656" s="197"/>
      <c r="AP2656" s="197"/>
      <c r="AQ2656" s="197"/>
      <c r="AR2656" s="197"/>
      <c r="AS2656" s="197"/>
      <c r="AT2656" s="197"/>
      <c r="AU2656" s="197"/>
      <c r="AV2656" s="197"/>
      <c r="AW2656" s="197"/>
    </row>
    <row r="2657" spans="28:49" s="196" customFormat="1">
      <c r="AB2657" s="201"/>
      <c r="AC2657" s="201"/>
      <c r="AD2657" s="197"/>
      <c r="AE2657" s="197"/>
      <c r="AF2657" s="197"/>
      <c r="AG2657" s="197"/>
      <c r="AH2657" s="197"/>
      <c r="AI2657" s="197"/>
      <c r="AJ2657" s="197"/>
      <c r="AK2657" s="197"/>
      <c r="AL2657" s="197"/>
      <c r="AM2657" s="197"/>
      <c r="AN2657" s="197"/>
      <c r="AO2657" s="197"/>
      <c r="AP2657" s="197"/>
      <c r="AQ2657" s="197"/>
      <c r="AR2657" s="197"/>
      <c r="AS2657" s="197"/>
      <c r="AT2657" s="197"/>
      <c r="AU2657" s="197"/>
      <c r="AV2657" s="197"/>
      <c r="AW2657" s="197"/>
    </row>
    <row r="2658" spans="28:49" s="196" customFormat="1">
      <c r="AB2658" s="201"/>
      <c r="AC2658" s="201"/>
      <c r="AD2658" s="197"/>
      <c r="AE2658" s="197"/>
      <c r="AF2658" s="197"/>
      <c r="AG2658" s="197"/>
      <c r="AH2658" s="197"/>
      <c r="AI2658" s="197"/>
      <c r="AJ2658" s="197"/>
      <c r="AK2658" s="197"/>
      <c r="AL2658" s="197"/>
      <c r="AM2658" s="197"/>
      <c r="AN2658" s="197"/>
      <c r="AO2658" s="197"/>
      <c r="AP2658" s="197"/>
      <c r="AQ2658" s="197"/>
      <c r="AR2658" s="197"/>
      <c r="AS2658" s="197"/>
      <c r="AT2658" s="197"/>
      <c r="AU2658" s="197"/>
      <c r="AV2658" s="197"/>
      <c r="AW2658" s="197"/>
    </row>
    <row r="2659" spans="28:49" s="196" customFormat="1">
      <c r="AB2659" s="201"/>
      <c r="AC2659" s="201"/>
      <c r="AD2659" s="197"/>
      <c r="AE2659" s="197"/>
      <c r="AF2659" s="197"/>
      <c r="AG2659" s="197"/>
      <c r="AH2659" s="197"/>
      <c r="AI2659" s="197"/>
      <c r="AJ2659" s="197"/>
      <c r="AK2659" s="197"/>
      <c r="AL2659" s="197"/>
      <c r="AM2659" s="197"/>
      <c r="AN2659" s="197"/>
      <c r="AO2659" s="197"/>
      <c r="AP2659" s="197"/>
      <c r="AQ2659" s="197"/>
      <c r="AR2659" s="197"/>
      <c r="AS2659" s="197"/>
      <c r="AT2659" s="197"/>
      <c r="AU2659" s="197"/>
      <c r="AV2659" s="197"/>
      <c r="AW2659" s="197"/>
    </row>
    <row r="2660" spans="28:49" s="196" customFormat="1">
      <c r="AB2660" s="201"/>
      <c r="AC2660" s="201"/>
      <c r="AD2660" s="197"/>
      <c r="AE2660" s="197"/>
      <c r="AF2660" s="197"/>
      <c r="AG2660" s="197"/>
      <c r="AH2660" s="197"/>
      <c r="AI2660" s="197"/>
      <c r="AJ2660" s="197"/>
      <c r="AK2660" s="197"/>
      <c r="AL2660" s="197"/>
      <c r="AM2660" s="197"/>
      <c r="AN2660" s="197"/>
      <c r="AO2660" s="197"/>
      <c r="AP2660" s="197"/>
      <c r="AQ2660" s="197"/>
      <c r="AR2660" s="197"/>
      <c r="AS2660" s="197"/>
      <c r="AT2660" s="197"/>
      <c r="AU2660" s="197"/>
      <c r="AV2660" s="197"/>
      <c r="AW2660" s="197"/>
    </row>
    <row r="2661" spans="28:49" s="196" customFormat="1">
      <c r="AB2661" s="201"/>
      <c r="AC2661" s="201"/>
      <c r="AD2661" s="197"/>
      <c r="AE2661" s="197"/>
      <c r="AF2661" s="197"/>
      <c r="AG2661" s="197"/>
      <c r="AH2661" s="197"/>
      <c r="AI2661" s="197"/>
      <c r="AJ2661" s="197"/>
      <c r="AK2661" s="197"/>
      <c r="AL2661" s="197"/>
      <c r="AM2661" s="197"/>
      <c r="AN2661" s="197"/>
      <c r="AO2661" s="197"/>
      <c r="AP2661" s="197"/>
      <c r="AQ2661" s="197"/>
      <c r="AR2661" s="197"/>
      <c r="AS2661" s="197"/>
      <c r="AT2661" s="197"/>
      <c r="AU2661" s="197"/>
      <c r="AV2661" s="197"/>
      <c r="AW2661" s="197"/>
    </row>
    <row r="2662" spans="28:49" s="196" customFormat="1">
      <c r="AB2662" s="201"/>
      <c r="AC2662" s="201"/>
      <c r="AD2662" s="197"/>
      <c r="AE2662" s="197"/>
      <c r="AF2662" s="197"/>
      <c r="AG2662" s="197"/>
      <c r="AH2662" s="197"/>
      <c r="AI2662" s="197"/>
      <c r="AJ2662" s="197"/>
      <c r="AK2662" s="197"/>
      <c r="AL2662" s="197"/>
      <c r="AM2662" s="197"/>
      <c r="AN2662" s="197"/>
      <c r="AO2662" s="197"/>
      <c r="AP2662" s="197"/>
      <c r="AQ2662" s="197"/>
      <c r="AR2662" s="197"/>
      <c r="AS2662" s="197"/>
      <c r="AT2662" s="197"/>
      <c r="AU2662" s="197"/>
      <c r="AV2662" s="197"/>
      <c r="AW2662" s="197"/>
    </row>
    <row r="2663" spans="28:49" s="196" customFormat="1">
      <c r="AB2663" s="201"/>
      <c r="AC2663" s="201"/>
      <c r="AD2663" s="197"/>
      <c r="AE2663" s="197"/>
      <c r="AF2663" s="197"/>
      <c r="AG2663" s="197"/>
      <c r="AH2663" s="197"/>
      <c r="AI2663" s="197"/>
      <c r="AJ2663" s="197"/>
      <c r="AK2663" s="197"/>
      <c r="AL2663" s="197"/>
      <c r="AM2663" s="197"/>
      <c r="AN2663" s="197"/>
      <c r="AO2663" s="197"/>
      <c r="AP2663" s="197"/>
      <c r="AQ2663" s="197"/>
      <c r="AR2663" s="197"/>
      <c r="AS2663" s="197"/>
      <c r="AT2663" s="197"/>
      <c r="AU2663" s="197"/>
      <c r="AV2663" s="197"/>
      <c r="AW2663" s="197"/>
    </row>
    <row r="2664" spans="28:49" s="196" customFormat="1">
      <c r="AB2664" s="201"/>
      <c r="AC2664" s="201"/>
      <c r="AD2664" s="197"/>
      <c r="AE2664" s="197"/>
      <c r="AF2664" s="197"/>
      <c r="AG2664" s="197"/>
      <c r="AH2664" s="197"/>
      <c r="AI2664" s="197"/>
      <c r="AJ2664" s="197"/>
      <c r="AK2664" s="197"/>
      <c r="AL2664" s="197"/>
      <c r="AM2664" s="197"/>
      <c r="AN2664" s="197"/>
      <c r="AO2664" s="197"/>
      <c r="AP2664" s="197"/>
      <c r="AQ2664" s="197"/>
      <c r="AR2664" s="197"/>
      <c r="AS2664" s="197"/>
      <c r="AT2664" s="197"/>
      <c r="AU2664" s="197"/>
      <c r="AV2664" s="197"/>
      <c r="AW2664" s="197"/>
    </row>
    <row r="2665" spans="28:49" s="196" customFormat="1">
      <c r="AB2665" s="201"/>
      <c r="AC2665" s="201"/>
      <c r="AD2665" s="197"/>
      <c r="AE2665" s="197"/>
      <c r="AF2665" s="197"/>
      <c r="AG2665" s="197"/>
      <c r="AH2665" s="197"/>
      <c r="AI2665" s="197"/>
      <c r="AJ2665" s="197"/>
      <c r="AK2665" s="197"/>
      <c r="AL2665" s="197"/>
      <c r="AM2665" s="197"/>
      <c r="AN2665" s="197"/>
      <c r="AO2665" s="197"/>
      <c r="AP2665" s="197"/>
      <c r="AQ2665" s="197"/>
      <c r="AR2665" s="197"/>
      <c r="AS2665" s="197"/>
      <c r="AT2665" s="197"/>
      <c r="AU2665" s="197"/>
      <c r="AV2665" s="197"/>
      <c r="AW2665" s="197"/>
    </row>
    <row r="2666" spans="28:49" s="196" customFormat="1">
      <c r="AB2666" s="201"/>
      <c r="AC2666" s="201"/>
      <c r="AD2666" s="197"/>
      <c r="AE2666" s="197"/>
      <c r="AF2666" s="197"/>
      <c r="AG2666" s="197"/>
      <c r="AH2666" s="197"/>
      <c r="AI2666" s="197"/>
      <c r="AJ2666" s="197"/>
      <c r="AK2666" s="197"/>
      <c r="AL2666" s="197"/>
      <c r="AM2666" s="197"/>
      <c r="AN2666" s="197"/>
      <c r="AO2666" s="197"/>
      <c r="AP2666" s="197"/>
      <c r="AQ2666" s="197"/>
      <c r="AR2666" s="197"/>
      <c r="AS2666" s="197"/>
      <c r="AT2666" s="197"/>
      <c r="AU2666" s="197"/>
      <c r="AV2666" s="197"/>
      <c r="AW2666" s="197"/>
    </row>
    <row r="2667" spans="28:49" s="196" customFormat="1">
      <c r="AB2667" s="201"/>
      <c r="AC2667" s="201"/>
      <c r="AD2667" s="197"/>
      <c r="AE2667" s="197"/>
      <c r="AF2667" s="197"/>
      <c r="AG2667" s="197"/>
      <c r="AH2667" s="197"/>
      <c r="AI2667" s="197"/>
      <c r="AJ2667" s="197"/>
      <c r="AK2667" s="197"/>
      <c r="AL2667" s="197"/>
      <c r="AM2667" s="197"/>
      <c r="AN2667" s="197"/>
      <c r="AO2667" s="197"/>
      <c r="AP2667" s="197"/>
      <c r="AQ2667" s="197"/>
      <c r="AR2667" s="197"/>
      <c r="AS2667" s="197"/>
      <c r="AT2667" s="197"/>
      <c r="AU2667" s="197"/>
      <c r="AV2667" s="197"/>
      <c r="AW2667" s="197"/>
    </row>
    <row r="2668" spans="28:49" s="196" customFormat="1">
      <c r="AB2668" s="201"/>
      <c r="AC2668" s="201"/>
      <c r="AD2668" s="197"/>
      <c r="AE2668" s="197"/>
      <c r="AF2668" s="197"/>
      <c r="AG2668" s="197"/>
      <c r="AH2668" s="197"/>
      <c r="AI2668" s="197"/>
      <c r="AJ2668" s="197"/>
      <c r="AK2668" s="197"/>
      <c r="AL2668" s="197"/>
      <c r="AM2668" s="197"/>
      <c r="AN2668" s="197"/>
      <c r="AO2668" s="197"/>
      <c r="AP2668" s="197"/>
      <c r="AQ2668" s="197"/>
      <c r="AR2668" s="197"/>
      <c r="AS2668" s="197"/>
      <c r="AT2668" s="197"/>
      <c r="AU2668" s="197"/>
      <c r="AV2668" s="197"/>
      <c r="AW2668" s="197"/>
    </row>
    <row r="2669" spans="28:49" s="196" customFormat="1">
      <c r="AB2669" s="201"/>
      <c r="AC2669" s="201"/>
      <c r="AD2669" s="197"/>
      <c r="AE2669" s="197"/>
      <c r="AF2669" s="197"/>
      <c r="AG2669" s="197"/>
      <c r="AH2669" s="197"/>
      <c r="AI2669" s="197"/>
      <c r="AJ2669" s="197"/>
      <c r="AK2669" s="197"/>
      <c r="AL2669" s="197"/>
      <c r="AM2669" s="197"/>
      <c r="AN2669" s="197"/>
      <c r="AO2669" s="197"/>
      <c r="AP2669" s="197"/>
      <c r="AQ2669" s="197"/>
      <c r="AR2669" s="197"/>
      <c r="AS2669" s="197"/>
      <c r="AT2669" s="197"/>
      <c r="AU2669" s="197"/>
      <c r="AV2669" s="197"/>
      <c r="AW2669" s="197"/>
    </row>
    <row r="2670" spans="28:49" s="196" customFormat="1">
      <c r="AB2670" s="201"/>
      <c r="AC2670" s="201"/>
      <c r="AD2670" s="197"/>
      <c r="AE2670" s="197"/>
      <c r="AF2670" s="197"/>
      <c r="AG2670" s="197"/>
      <c r="AH2670" s="197"/>
      <c r="AI2670" s="197"/>
      <c r="AJ2670" s="197"/>
      <c r="AK2670" s="197"/>
      <c r="AL2670" s="197"/>
      <c r="AM2670" s="197"/>
      <c r="AN2670" s="197"/>
      <c r="AO2670" s="197"/>
      <c r="AP2670" s="197"/>
      <c r="AQ2670" s="197"/>
      <c r="AR2670" s="197"/>
      <c r="AS2670" s="197"/>
      <c r="AT2670" s="197"/>
      <c r="AU2670" s="197"/>
      <c r="AV2670" s="197"/>
      <c r="AW2670" s="197"/>
    </row>
    <row r="2671" spans="28:49" s="196" customFormat="1">
      <c r="AB2671" s="201"/>
      <c r="AC2671" s="201"/>
      <c r="AD2671" s="197"/>
      <c r="AE2671" s="197"/>
      <c r="AF2671" s="197"/>
      <c r="AG2671" s="197"/>
      <c r="AH2671" s="197"/>
      <c r="AI2671" s="197"/>
      <c r="AJ2671" s="197"/>
      <c r="AK2671" s="197"/>
      <c r="AL2671" s="197"/>
      <c r="AM2671" s="197"/>
      <c r="AN2671" s="197"/>
      <c r="AO2671" s="197"/>
      <c r="AP2671" s="197"/>
      <c r="AQ2671" s="197"/>
      <c r="AR2671" s="197"/>
      <c r="AS2671" s="197"/>
      <c r="AT2671" s="197"/>
      <c r="AU2671" s="197"/>
      <c r="AV2671" s="197"/>
      <c r="AW2671" s="197"/>
    </row>
    <row r="2672" spans="28:49" s="196" customFormat="1">
      <c r="AB2672" s="201"/>
      <c r="AC2672" s="201"/>
      <c r="AD2672" s="197"/>
      <c r="AE2672" s="197"/>
      <c r="AF2672" s="197"/>
      <c r="AG2672" s="197"/>
      <c r="AH2672" s="197"/>
      <c r="AI2672" s="197"/>
      <c r="AJ2672" s="197"/>
      <c r="AK2672" s="197"/>
      <c r="AL2672" s="197"/>
      <c r="AM2672" s="197"/>
      <c r="AN2672" s="197"/>
      <c r="AO2672" s="197"/>
      <c r="AP2672" s="197"/>
      <c r="AQ2672" s="197"/>
      <c r="AR2672" s="197"/>
      <c r="AS2672" s="197"/>
      <c r="AT2672" s="197"/>
      <c r="AU2672" s="197"/>
      <c r="AV2672" s="197"/>
      <c r="AW2672" s="197"/>
    </row>
    <row r="2673" spans="28:49" s="196" customFormat="1">
      <c r="AB2673" s="201"/>
      <c r="AC2673" s="201"/>
      <c r="AD2673" s="197"/>
      <c r="AE2673" s="197"/>
      <c r="AF2673" s="197"/>
      <c r="AG2673" s="197"/>
      <c r="AH2673" s="197"/>
      <c r="AI2673" s="197"/>
      <c r="AJ2673" s="197"/>
      <c r="AK2673" s="197"/>
      <c r="AL2673" s="197"/>
      <c r="AM2673" s="197"/>
      <c r="AN2673" s="197"/>
      <c r="AO2673" s="197"/>
      <c r="AP2673" s="197"/>
      <c r="AQ2673" s="197"/>
      <c r="AR2673" s="197"/>
      <c r="AS2673" s="197"/>
      <c r="AT2673" s="197"/>
      <c r="AU2673" s="197"/>
      <c r="AV2673" s="197"/>
      <c r="AW2673" s="197"/>
    </row>
    <row r="2674" spans="28:49" s="196" customFormat="1">
      <c r="AB2674" s="201"/>
      <c r="AC2674" s="201"/>
      <c r="AD2674" s="197"/>
      <c r="AE2674" s="197"/>
      <c r="AF2674" s="197"/>
      <c r="AG2674" s="197"/>
      <c r="AH2674" s="197"/>
      <c r="AI2674" s="197"/>
      <c r="AJ2674" s="197"/>
      <c r="AK2674" s="197"/>
      <c r="AL2674" s="197"/>
      <c r="AM2674" s="197"/>
      <c r="AN2674" s="197"/>
      <c r="AO2674" s="197"/>
      <c r="AP2674" s="197"/>
      <c r="AQ2674" s="197"/>
      <c r="AR2674" s="197"/>
      <c r="AS2674" s="197"/>
      <c r="AT2674" s="197"/>
      <c r="AU2674" s="197"/>
      <c r="AV2674" s="197"/>
      <c r="AW2674" s="197"/>
    </row>
    <row r="2675" spans="28:49" s="196" customFormat="1">
      <c r="AB2675" s="201"/>
      <c r="AC2675" s="201"/>
      <c r="AD2675" s="197"/>
      <c r="AE2675" s="197"/>
      <c r="AF2675" s="197"/>
      <c r="AG2675" s="197"/>
      <c r="AH2675" s="197"/>
      <c r="AI2675" s="197"/>
      <c r="AJ2675" s="197"/>
      <c r="AK2675" s="197"/>
      <c r="AL2675" s="197"/>
      <c r="AM2675" s="197"/>
      <c r="AN2675" s="197"/>
      <c r="AO2675" s="197"/>
      <c r="AP2675" s="197"/>
      <c r="AQ2675" s="197"/>
      <c r="AR2675" s="197"/>
      <c r="AS2675" s="197"/>
      <c r="AT2675" s="197"/>
      <c r="AU2675" s="197"/>
      <c r="AV2675" s="197"/>
      <c r="AW2675" s="197"/>
    </row>
    <row r="2676" spans="28:49" s="196" customFormat="1">
      <c r="AB2676" s="201"/>
      <c r="AC2676" s="201"/>
      <c r="AD2676" s="197"/>
      <c r="AE2676" s="197"/>
      <c r="AF2676" s="197"/>
      <c r="AG2676" s="197"/>
      <c r="AH2676" s="197"/>
      <c r="AI2676" s="197"/>
      <c r="AJ2676" s="197"/>
      <c r="AK2676" s="197"/>
      <c r="AL2676" s="197"/>
      <c r="AM2676" s="197"/>
      <c r="AN2676" s="197"/>
      <c r="AO2676" s="197"/>
      <c r="AP2676" s="197"/>
      <c r="AQ2676" s="197"/>
      <c r="AR2676" s="197"/>
      <c r="AS2676" s="197"/>
      <c r="AT2676" s="197"/>
      <c r="AU2676" s="197"/>
      <c r="AV2676" s="197"/>
      <c r="AW2676" s="197"/>
    </row>
    <row r="2677" spans="28:49" s="196" customFormat="1">
      <c r="AB2677" s="201"/>
      <c r="AC2677" s="201"/>
      <c r="AD2677" s="197"/>
      <c r="AE2677" s="197"/>
      <c r="AF2677" s="197"/>
      <c r="AG2677" s="197"/>
      <c r="AH2677" s="197"/>
      <c r="AI2677" s="197"/>
      <c r="AJ2677" s="197"/>
      <c r="AK2677" s="197"/>
      <c r="AL2677" s="197"/>
      <c r="AM2677" s="197"/>
      <c r="AN2677" s="197"/>
      <c r="AO2677" s="197"/>
      <c r="AP2677" s="197"/>
      <c r="AQ2677" s="197"/>
      <c r="AR2677" s="197"/>
      <c r="AS2677" s="197"/>
      <c r="AT2677" s="197"/>
      <c r="AU2677" s="197"/>
      <c r="AV2677" s="197"/>
      <c r="AW2677" s="197"/>
    </row>
    <row r="2678" spans="28:49" s="196" customFormat="1">
      <c r="AB2678" s="201"/>
      <c r="AC2678" s="201"/>
      <c r="AD2678" s="197"/>
      <c r="AE2678" s="197"/>
      <c r="AF2678" s="197"/>
      <c r="AG2678" s="197"/>
      <c r="AH2678" s="197"/>
      <c r="AI2678" s="197"/>
      <c r="AJ2678" s="197"/>
      <c r="AK2678" s="197"/>
      <c r="AL2678" s="197"/>
      <c r="AM2678" s="197"/>
      <c r="AN2678" s="197"/>
      <c r="AO2678" s="197"/>
      <c r="AP2678" s="197"/>
      <c r="AQ2678" s="197"/>
      <c r="AR2678" s="197"/>
      <c r="AS2678" s="197"/>
      <c r="AT2678" s="197"/>
      <c r="AU2678" s="197"/>
      <c r="AV2678" s="197"/>
      <c r="AW2678" s="197"/>
    </row>
    <row r="2679" spans="28:49" s="196" customFormat="1">
      <c r="AB2679" s="201"/>
      <c r="AC2679" s="201"/>
      <c r="AD2679" s="197"/>
      <c r="AE2679" s="197"/>
      <c r="AF2679" s="197"/>
      <c r="AG2679" s="197"/>
      <c r="AH2679" s="197"/>
      <c r="AI2679" s="197"/>
      <c r="AJ2679" s="197"/>
      <c r="AK2679" s="197"/>
      <c r="AL2679" s="197"/>
      <c r="AM2679" s="197"/>
      <c r="AN2679" s="197"/>
      <c r="AO2679" s="197"/>
      <c r="AP2679" s="197"/>
      <c r="AQ2679" s="197"/>
      <c r="AR2679" s="197"/>
      <c r="AS2679" s="197"/>
      <c r="AT2679" s="197"/>
      <c r="AU2679" s="197"/>
      <c r="AV2679" s="197"/>
      <c r="AW2679" s="197"/>
    </row>
    <row r="2680" spans="28:49" s="196" customFormat="1">
      <c r="AB2680" s="201"/>
      <c r="AC2680" s="201"/>
      <c r="AD2680" s="197"/>
      <c r="AE2680" s="197"/>
      <c r="AF2680" s="197"/>
      <c r="AG2680" s="197"/>
      <c r="AH2680" s="197"/>
      <c r="AI2680" s="197"/>
      <c r="AJ2680" s="197"/>
      <c r="AK2680" s="197"/>
      <c r="AL2680" s="197"/>
      <c r="AM2680" s="197"/>
      <c r="AN2680" s="197"/>
      <c r="AO2680" s="197"/>
      <c r="AP2680" s="197"/>
      <c r="AQ2680" s="197"/>
      <c r="AR2680" s="197"/>
      <c r="AS2680" s="197"/>
      <c r="AT2680" s="197"/>
      <c r="AU2680" s="197"/>
      <c r="AV2680" s="197"/>
      <c r="AW2680" s="197"/>
    </row>
    <row r="2681" spans="28:49" s="196" customFormat="1">
      <c r="AB2681" s="201"/>
      <c r="AC2681" s="201"/>
      <c r="AD2681" s="197"/>
      <c r="AE2681" s="197"/>
      <c r="AF2681" s="197"/>
      <c r="AG2681" s="197"/>
      <c r="AH2681" s="197"/>
      <c r="AI2681" s="197"/>
      <c r="AJ2681" s="197"/>
      <c r="AK2681" s="197"/>
      <c r="AL2681" s="197"/>
      <c r="AM2681" s="197"/>
      <c r="AN2681" s="197"/>
      <c r="AO2681" s="197"/>
      <c r="AP2681" s="197"/>
      <c r="AQ2681" s="197"/>
      <c r="AR2681" s="197"/>
      <c r="AS2681" s="197"/>
      <c r="AT2681" s="197"/>
      <c r="AU2681" s="197"/>
      <c r="AV2681" s="197"/>
      <c r="AW2681" s="197"/>
    </row>
    <row r="2682" spans="28:49" s="196" customFormat="1">
      <c r="AB2682" s="201"/>
      <c r="AC2682" s="201"/>
      <c r="AD2682" s="197"/>
      <c r="AE2682" s="197"/>
      <c r="AF2682" s="197"/>
      <c r="AG2682" s="197"/>
      <c r="AH2682" s="197"/>
      <c r="AI2682" s="197"/>
      <c r="AJ2682" s="197"/>
      <c r="AK2682" s="197"/>
      <c r="AL2682" s="197"/>
      <c r="AM2682" s="197"/>
      <c r="AN2682" s="197"/>
      <c r="AO2682" s="197"/>
      <c r="AP2682" s="197"/>
      <c r="AQ2682" s="197"/>
      <c r="AR2682" s="197"/>
      <c r="AS2682" s="197"/>
      <c r="AT2682" s="197"/>
      <c r="AU2682" s="197"/>
      <c r="AV2682" s="197"/>
      <c r="AW2682" s="197"/>
    </row>
    <row r="2683" spans="28:49" s="196" customFormat="1">
      <c r="AB2683" s="201"/>
      <c r="AC2683" s="201"/>
      <c r="AD2683" s="197"/>
      <c r="AE2683" s="197"/>
      <c r="AF2683" s="197"/>
      <c r="AG2683" s="197"/>
      <c r="AH2683" s="197"/>
      <c r="AI2683" s="197"/>
      <c r="AJ2683" s="197"/>
      <c r="AK2683" s="197"/>
      <c r="AL2683" s="197"/>
      <c r="AM2683" s="197"/>
      <c r="AN2683" s="197"/>
      <c r="AO2683" s="197"/>
      <c r="AP2683" s="197"/>
      <c r="AQ2683" s="197"/>
      <c r="AR2683" s="197"/>
      <c r="AS2683" s="197"/>
      <c r="AT2683" s="197"/>
      <c r="AU2683" s="197"/>
      <c r="AV2683" s="197"/>
      <c r="AW2683" s="197"/>
    </row>
    <row r="2684" spans="28:49" s="196" customFormat="1">
      <c r="AB2684" s="201"/>
      <c r="AC2684" s="201"/>
      <c r="AD2684" s="197"/>
      <c r="AE2684" s="197"/>
      <c r="AF2684" s="197"/>
      <c r="AG2684" s="197"/>
      <c r="AH2684" s="197"/>
      <c r="AI2684" s="197"/>
      <c r="AJ2684" s="197"/>
      <c r="AK2684" s="197"/>
      <c r="AL2684" s="197"/>
      <c r="AM2684" s="197"/>
      <c r="AN2684" s="197"/>
      <c r="AO2684" s="197"/>
      <c r="AP2684" s="197"/>
      <c r="AQ2684" s="197"/>
      <c r="AR2684" s="197"/>
      <c r="AS2684" s="197"/>
      <c r="AT2684" s="197"/>
      <c r="AU2684" s="197"/>
      <c r="AV2684" s="197"/>
      <c r="AW2684" s="197"/>
    </row>
    <row r="2685" spans="28:49" s="196" customFormat="1">
      <c r="AB2685" s="201"/>
      <c r="AC2685" s="201"/>
      <c r="AD2685" s="197"/>
      <c r="AE2685" s="197"/>
      <c r="AF2685" s="197"/>
      <c r="AG2685" s="197"/>
      <c r="AH2685" s="197"/>
      <c r="AI2685" s="197"/>
      <c r="AJ2685" s="197"/>
      <c r="AK2685" s="197"/>
      <c r="AL2685" s="197"/>
      <c r="AM2685" s="197"/>
      <c r="AN2685" s="197"/>
      <c r="AO2685" s="197"/>
      <c r="AP2685" s="197"/>
      <c r="AQ2685" s="197"/>
      <c r="AR2685" s="197"/>
      <c r="AS2685" s="197"/>
      <c r="AT2685" s="197"/>
      <c r="AU2685" s="197"/>
      <c r="AV2685" s="197"/>
      <c r="AW2685" s="197"/>
    </row>
    <row r="2686" spans="28:49" s="196" customFormat="1">
      <c r="AB2686" s="201"/>
      <c r="AC2686" s="201"/>
      <c r="AD2686" s="197"/>
      <c r="AE2686" s="197"/>
      <c r="AF2686" s="197"/>
      <c r="AG2686" s="197"/>
      <c r="AH2686" s="197"/>
      <c r="AI2686" s="197"/>
      <c r="AJ2686" s="197"/>
      <c r="AK2686" s="197"/>
      <c r="AL2686" s="197"/>
      <c r="AM2686" s="197"/>
      <c r="AN2686" s="197"/>
      <c r="AO2686" s="197"/>
      <c r="AP2686" s="197"/>
      <c r="AQ2686" s="197"/>
      <c r="AR2686" s="197"/>
      <c r="AS2686" s="197"/>
      <c r="AT2686" s="197"/>
      <c r="AU2686" s="197"/>
      <c r="AV2686" s="197"/>
      <c r="AW2686" s="197"/>
    </row>
    <row r="2687" spans="28:49" s="196" customFormat="1">
      <c r="AB2687" s="201"/>
      <c r="AC2687" s="201"/>
      <c r="AD2687" s="197"/>
      <c r="AE2687" s="197"/>
      <c r="AF2687" s="197"/>
      <c r="AG2687" s="197"/>
      <c r="AH2687" s="197"/>
      <c r="AI2687" s="197"/>
      <c r="AJ2687" s="197"/>
      <c r="AK2687" s="197"/>
      <c r="AL2687" s="197"/>
      <c r="AM2687" s="197"/>
      <c r="AN2687" s="197"/>
      <c r="AO2687" s="197"/>
      <c r="AP2687" s="197"/>
      <c r="AQ2687" s="197"/>
      <c r="AR2687" s="197"/>
      <c r="AS2687" s="197"/>
      <c r="AT2687" s="197"/>
      <c r="AU2687" s="197"/>
      <c r="AV2687" s="197"/>
      <c r="AW2687" s="197"/>
    </row>
    <row r="2688" spans="28:49" s="196" customFormat="1">
      <c r="AB2688" s="201"/>
      <c r="AC2688" s="201"/>
      <c r="AD2688" s="197"/>
      <c r="AE2688" s="197"/>
      <c r="AF2688" s="197"/>
      <c r="AG2688" s="197"/>
      <c r="AH2688" s="197"/>
      <c r="AI2688" s="197"/>
      <c r="AJ2688" s="197"/>
      <c r="AK2688" s="197"/>
      <c r="AL2688" s="197"/>
      <c r="AM2688" s="197"/>
      <c r="AN2688" s="197"/>
      <c r="AO2688" s="197"/>
      <c r="AP2688" s="197"/>
      <c r="AQ2688" s="197"/>
      <c r="AR2688" s="197"/>
      <c r="AS2688" s="197"/>
      <c r="AT2688" s="197"/>
      <c r="AU2688" s="197"/>
      <c r="AV2688" s="197"/>
      <c r="AW2688" s="197"/>
    </row>
    <row r="2689" spans="28:49" s="196" customFormat="1">
      <c r="AB2689" s="201"/>
      <c r="AC2689" s="201"/>
      <c r="AD2689" s="197"/>
      <c r="AE2689" s="197"/>
      <c r="AF2689" s="197"/>
      <c r="AG2689" s="197"/>
      <c r="AH2689" s="197"/>
      <c r="AI2689" s="197"/>
      <c r="AJ2689" s="197"/>
      <c r="AK2689" s="197"/>
      <c r="AL2689" s="197"/>
      <c r="AM2689" s="197"/>
      <c r="AN2689" s="197"/>
      <c r="AO2689" s="197"/>
      <c r="AP2689" s="197"/>
      <c r="AQ2689" s="197"/>
      <c r="AR2689" s="197"/>
      <c r="AS2689" s="197"/>
      <c r="AT2689" s="197"/>
      <c r="AU2689" s="197"/>
      <c r="AV2689" s="197"/>
      <c r="AW2689" s="197"/>
    </row>
    <row r="2690" spans="28:49" s="196" customFormat="1">
      <c r="AB2690" s="201"/>
      <c r="AC2690" s="201"/>
      <c r="AD2690" s="197"/>
      <c r="AE2690" s="197"/>
      <c r="AF2690" s="197"/>
      <c r="AG2690" s="197"/>
      <c r="AH2690" s="197"/>
      <c r="AI2690" s="197"/>
      <c r="AJ2690" s="197"/>
      <c r="AK2690" s="197"/>
      <c r="AL2690" s="197"/>
      <c r="AM2690" s="197"/>
      <c r="AN2690" s="197"/>
      <c r="AO2690" s="197"/>
      <c r="AP2690" s="197"/>
      <c r="AQ2690" s="197"/>
      <c r="AR2690" s="197"/>
      <c r="AS2690" s="197"/>
      <c r="AT2690" s="197"/>
      <c r="AU2690" s="197"/>
      <c r="AV2690" s="197"/>
      <c r="AW2690" s="197"/>
    </row>
    <row r="2691" spans="28:49" s="196" customFormat="1">
      <c r="AB2691" s="201"/>
      <c r="AC2691" s="201"/>
      <c r="AD2691" s="197"/>
      <c r="AE2691" s="197"/>
      <c r="AF2691" s="197"/>
      <c r="AG2691" s="197"/>
      <c r="AH2691" s="197"/>
      <c r="AI2691" s="197"/>
      <c r="AJ2691" s="197"/>
      <c r="AK2691" s="197"/>
      <c r="AL2691" s="197"/>
      <c r="AM2691" s="197"/>
      <c r="AN2691" s="197"/>
      <c r="AO2691" s="197"/>
      <c r="AP2691" s="197"/>
      <c r="AQ2691" s="197"/>
      <c r="AR2691" s="197"/>
      <c r="AS2691" s="197"/>
      <c r="AT2691" s="197"/>
      <c r="AU2691" s="197"/>
      <c r="AV2691" s="197"/>
      <c r="AW2691" s="197"/>
    </row>
    <row r="2692" spans="28:49" s="196" customFormat="1">
      <c r="AB2692" s="201"/>
      <c r="AC2692" s="201"/>
      <c r="AD2692" s="197"/>
      <c r="AE2692" s="197"/>
      <c r="AF2692" s="197"/>
      <c r="AG2692" s="197"/>
      <c r="AH2692" s="197"/>
      <c r="AI2692" s="197"/>
      <c r="AJ2692" s="197"/>
      <c r="AK2692" s="197"/>
      <c r="AL2692" s="197"/>
      <c r="AM2692" s="197"/>
      <c r="AN2692" s="197"/>
      <c r="AO2692" s="197"/>
      <c r="AP2692" s="197"/>
      <c r="AQ2692" s="197"/>
      <c r="AR2692" s="197"/>
      <c r="AS2692" s="197"/>
      <c r="AT2692" s="197"/>
      <c r="AU2692" s="197"/>
      <c r="AV2692" s="197"/>
      <c r="AW2692" s="197"/>
    </row>
    <row r="2693" spans="28:49" s="196" customFormat="1">
      <c r="AB2693" s="201"/>
      <c r="AC2693" s="201"/>
      <c r="AD2693" s="197"/>
      <c r="AE2693" s="197"/>
      <c r="AF2693" s="197"/>
      <c r="AG2693" s="197"/>
      <c r="AH2693" s="197"/>
      <c r="AI2693" s="197"/>
      <c r="AJ2693" s="197"/>
      <c r="AK2693" s="197"/>
      <c r="AL2693" s="197"/>
      <c r="AM2693" s="197"/>
      <c r="AN2693" s="197"/>
      <c r="AO2693" s="197"/>
      <c r="AP2693" s="197"/>
      <c r="AQ2693" s="197"/>
      <c r="AR2693" s="197"/>
      <c r="AS2693" s="197"/>
      <c r="AT2693" s="197"/>
      <c r="AU2693" s="197"/>
      <c r="AV2693" s="197"/>
      <c r="AW2693" s="197"/>
    </row>
    <row r="2694" spans="28:49" s="196" customFormat="1">
      <c r="AB2694" s="201"/>
      <c r="AC2694" s="201"/>
      <c r="AD2694" s="197"/>
      <c r="AE2694" s="197"/>
      <c r="AF2694" s="197"/>
      <c r="AG2694" s="197"/>
      <c r="AH2694" s="197"/>
      <c r="AI2694" s="197"/>
      <c r="AJ2694" s="197"/>
      <c r="AK2694" s="197"/>
      <c r="AL2694" s="197"/>
      <c r="AM2694" s="197"/>
      <c r="AN2694" s="197"/>
      <c r="AO2694" s="197"/>
      <c r="AP2694" s="197"/>
      <c r="AQ2694" s="197"/>
      <c r="AR2694" s="197"/>
      <c r="AS2694" s="197"/>
      <c r="AT2694" s="197"/>
      <c r="AU2694" s="197"/>
      <c r="AV2694" s="197"/>
      <c r="AW2694" s="197"/>
    </row>
    <row r="2695" spans="28:49" s="196" customFormat="1">
      <c r="AB2695" s="201"/>
      <c r="AC2695" s="201"/>
      <c r="AD2695" s="197"/>
      <c r="AE2695" s="197"/>
      <c r="AF2695" s="197"/>
      <c r="AG2695" s="197"/>
      <c r="AH2695" s="197"/>
      <c r="AI2695" s="197"/>
      <c r="AJ2695" s="197"/>
      <c r="AK2695" s="197"/>
      <c r="AL2695" s="197"/>
      <c r="AM2695" s="197"/>
      <c r="AN2695" s="197"/>
      <c r="AO2695" s="197"/>
      <c r="AP2695" s="197"/>
      <c r="AQ2695" s="197"/>
      <c r="AR2695" s="197"/>
      <c r="AS2695" s="197"/>
      <c r="AT2695" s="197"/>
      <c r="AU2695" s="197"/>
      <c r="AV2695" s="197"/>
      <c r="AW2695" s="197"/>
    </row>
    <row r="2696" spans="28:49" s="196" customFormat="1">
      <c r="AB2696" s="201"/>
      <c r="AC2696" s="201"/>
      <c r="AD2696" s="197"/>
      <c r="AE2696" s="197"/>
      <c r="AF2696" s="197"/>
      <c r="AG2696" s="197"/>
      <c r="AH2696" s="197"/>
      <c r="AI2696" s="197"/>
      <c r="AJ2696" s="197"/>
      <c r="AK2696" s="197"/>
      <c r="AL2696" s="197"/>
      <c r="AM2696" s="197"/>
      <c r="AN2696" s="197"/>
      <c r="AO2696" s="197"/>
      <c r="AP2696" s="197"/>
      <c r="AQ2696" s="197"/>
      <c r="AR2696" s="197"/>
      <c r="AS2696" s="197"/>
      <c r="AT2696" s="197"/>
      <c r="AU2696" s="197"/>
      <c r="AV2696" s="197"/>
      <c r="AW2696" s="197"/>
    </row>
    <row r="2697" spans="28:49" s="196" customFormat="1">
      <c r="AB2697" s="201"/>
      <c r="AC2697" s="201"/>
      <c r="AD2697" s="197"/>
      <c r="AE2697" s="197"/>
      <c r="AF2697" s="197"/>
      <c r="AG2697" s="197"/>
      <c r="AH2697" s="197"/>
      <c r="AI2697" s="197"/>
      <c r="AJ2697" s="197"/>
      <c r="AK2697" s="197"/>
      <c r="AL2697" s="197"/>
      <c r="AM2697" s="197"/>
      <c r="AN2697" s="197"/>
      <c r="AO2697" s="197"/>
      <c r="AP2697" s="197"/>
      <c r="AQ2697" s="197"/>
      <c r="AR2697" s="197"/>
      <c r="AS2697" s="197"/>
      <c r="AT2697" s="197"/>
      <c r="AU2697" s="197"/>
      <c r="AV2697" s="197"/>
      <c r="AW2697" s="197"/>
    </row>
    <row r="2698" spans="28:49" s="196" customFormat="1">
      <c r="AB2698" s="201"/>
      <c r="AC2698" s="201"/>
      <c r="AD2698" s="197"/>
      <c r="AE2698" s="197"/>
      <c r="AF2698" s="197"/>
      <c r="AG2698" s="197"/>
      <c r="AH2698" s="197"/>
      <c r="AI2698" s="197"/>
      <c r="AJ2698" s="197"/>
      <c r="AK2698" s="197"/>
      <c r="AL2698" s="197"/>
      <c r="AM2698" s="197"/>
      <c r="AN2698" s="197"/>
      <c r="AO2698" s="197"/>
      <c r="AP2698" s="197"/>
      <c r="AQ2698" s="197"/>
      <c r="AR2698" s="197"/>
      <c r="AS2698" s="197"/>
      <c r="AT2698" s="197"/>
      <c r="AU2698" s="197"/>
      <c r="AV2698" s="197"/>
      <c r="AW2698" s="197"/>
    </row>
    <row r="2699" spans="28:49" s="196" customFormat="1">
      <c r="AB2699" s="201"/>
      <c r="AC2699" s="201"/>
      <c r="AD2699" s="197"/>
      <c r="AE2699" s="197"/>
      <c r="AF2699" s="197"/>
      <c r="AG2699" s="197"/>
      <c r="AH2699" s="197"/>
      <c r="AI2699" s="197"/>
      <c r="AJ2699" s="197"/>
      <c r="AK2699" s="197"/>
      <c r="AL2699" s="197"/>
      <c r="AM2699" s="197"/>
      <c r="AN2699" s="197"/>
      <c r="AO2699" s="197"/>
      <c r="AP2699" s="197"/>
      <c r="AQ2699" s="197"/>
      <c r="AR2699" s="197"/>
      <c r="AS2699" s="197"/>
      <c r="AT2699" s="197"/>
      <c r="AU2699" s="197"/>
      <c r="AV2699" s="197"/>
      <c r="AW2699" s="197"/>
    </row>
    <row r="2700" spans="28:49" s="196" customFormat="1">
      <c r="AB2700" s="201"/>
      <c r="AC2700" s="201"/>
      <c r="AD2700" s="197"/>
      <c r="AE2700" s="197"/>
      <c r="AF2700" s="197"/>
      <c r="AG2700" s="197"/>
      <c r="AH2700" s="197"/>
      <c r="AI2700" s="197"/>
      <c r="AJ2700" s="197"/>
      <c r="AK2700" s="197"/>
      <c r="AL2700" s="197"/>
      <c r="AM2700" s="197"/>
      <c r="AN2700" s="197"/>
      <c r="AO2700" s="197"/>
      <c r="AP2700" s="197"/>
      <c r="AQ2700" s="197"/>
      <c r="AR2700" s="197"/>
      <c r="AS2700" s="197"/>
      <c r="AT2700" s="197"/>
      <c r="AU2700" s="197"/>
      <c r="AV2700" s="197"/>
      <c r="AW2700" s="197"/>
    </row>
    <row r="2701" spans="28:49" s="196" customFormat="1">
      <c r="AB2701" s="201"/>
      <c r="AC2701" s="201"/>
      <c r="AD2701" s="197"/>
      <c r="AE2701" s="197"/>
      <c r="AF2701" s="197"/>
      <c r="AG2701" s="197"/>
      <c r="AH2701" s="197"/>
      <c r="AI2701" s="197"/>
      <c r="AJ2701" s="197"/>
      <c r="AK2701" s="197"/>
      <c r="AL2701" s="197"/>
      <c r="AM2701" s="197"/>
      <c r="AN2701" s="197"/>
      <c r="AO2701" s="197"/>
      <c r="AP2701" s="197"/>
      <c r="AQ2701" s="197"/>
      <c r="AR2701" s="197"/>
      <c r="AS2701" s="197"/>
      <c r="AT2701" s="197"/>
      <c r="AU2701" s="197"/>
      <c r="AV2701" s="197"/>
      <c r="AW2701" s="197"/>
    </row>
    <row r="2702" spans="28:49" s="196" customFormat="1">
      <c r="AB2702" s="201"/>
      <c r="AC2702" s="201"/>
      <c r="AD2702" s="197"/>
      <c r="AE2702" s="197"/>
      <c r="AF2702" s="197"/>
      <c r="AG2702" s="197"/>
      <c r="AH2702" s="197"/>
      <c r="AI2702" s="197"/>
      <c r="AJ2702" s="197"/>
      <c r="AK2702" s="197"/>
      <c r="AL2702" s="197"/>
      <c r="AM2702" s="197"/>
      <c r="AN2702" s="197"/>
      <c r="AO2702" s="197"/>
      <c r="AP2702" s="197"/>
      <c r="AQ2702" s="197"/>
      <c r="AR2702" s="197"/>
      <c r="AS2702" s="197"/>
      <c r="AT2702" s="197"/>
      <c r="AU2702" s="197"/>
      <c r="AV2702" s="197"/>
      <c r="AW2702" s="197"/>
    </row>
    <row r="2703" spans="28:49" s="196" customFormat="1">
      <c r="AB2703" s="201"/>
      <c r="AC2703" s="201"/>
      <c r="AD2703" s="197"/>
      <c r="AE2703" s="197"/>
      <c r="AF2703" s="197"/>
      <c r="AG2703" s="197"/>
      <c r="AH2703" s="197"/>
      <c r="AI2703" s="197"/>
      <c r="AJ2703" s="197"/>
      <c r="AK2703" s="197"/>
      <c r="AL2703" s="197"/>
      <c r="AM2703" s="197"/>
      <c r="AN2703" s="197"/>
      <c r="AO2703" s="197"/>
      <c r="AP2703" s="197"/>
      <c r="AQ2703" s="197"/>
      <c r="AR2703" s="197"/>
      <c r="AS2703" s="197"/>
      <c r="AT2703" s="197"/>
      <c r="AU2703" s="197"/>
      <c r="AV2703" s="197"/>
      <c r="AW2703" s="197"/>
    </row>
    <row r="2704" spans="28:49" s="196" customFormat="1">
      <c r="AB2704" s="201"/>
      <c r="AC2704" s="201"/>
      <c r="AD2704" s="197"/>
      <c r="AE2704" s="197"/>
      <c r="AF2704" s="197"/>
      <c r="AG2704" s="197"/>
      <c r="AH2704" s="197"/>
      <c r="AI2704" s="197"/>
      <c r="AJ2704" s="197"/>
      <c r="AK2704" s="197"/>
      <c r="AL2704" s="197"/>
      <c r="AM2704" s="197"/>
      <c r="AN2704" s="197"/>
      <c r="AO2704" s="197"/>
      <c r="AP2704" s="197"/>
      <c r="AQ2704" s="197"/>
      <c r="AR2704" s="197"/>
      <c r="AS2704" s="197"/>
      <c r="AT2704" s="197"/>
      <c r="AU2704" s="197"/>
      <c r="AV2704" s="197"/>
      <c r="AW2704" s="197"/>
    </row>
    <row r="2705" spans="28:49" s="196" customFormat="1">
      <c r="AB2705" s="201"/>
      <c r="AC2705" s="201"/>
      <c r="AD2705" s="197"/>
      <c r="AE2705" s="197"/>
      <c r="AF2705" s="197"/>
      <c r="AG2705" s="197"/>
      <c r="AH2705" s="197"/>
      <c r="AI2705" s="197"/>
      <c r="AJ2705" s="197"/>
      <c r="AK2705" s="197"/>
      <c r="AL2705" s="197"/>
      <c r="AM2705" s="197"/>
      <c r="AN2705" s="197"/>
      <c r="AO2705" s="197"/>
      <c r="AP2705" s="197"/>
      <c r="AQ2705" s="197"/>
      <c r="AR2705" s="197"/>
      <c r="AS2705" s="197"/>
      <c r="AT2705" s="197"/>
      <c r="AU2705" s="197"/>
      <c r="AV2705" s="197"/>
      <c r="AW2705" s="197"/>
    </row>
    <row r="2706" spans="28:49" s="196" customFormat="1">
      <c r="AB2706" s="201"/>
      <c r="AC2706" s="201"/>
      <c r="AD2706" s="197"/>
      <c r="AE2706" s="197"/>
      <c r="AF2706" s="197"/>
      <c r="AG2706" s="197"/>
      <c r="AH2706" s="197"/>
      <c r="AI2706" s="197"/>
      <c r="AJ2706" s="197"/>
      <c r="AK2706" s="197"/>
      <c r="AL2706" s="197"/>
      <c r="AM2706" s="197"/>
      <c r="AN2706" s="197"/>
      <c r="AO2706" s="197"/>
      <c r="AP2706" s="197"/>
      <c r="AQ2706" s="197"/>
      <c r="AR2706" s="197"/>
      <c r="AS2706" s="197"/>
      <c r="AT2706" s="197"/>
      <c r="AU2706" s="197"/>
      <c r="AV2706" s="197"/>
      <c r="AW2706" s="197"/>
    </row>
    <row r="2707" spans="28:49" s="196" customFormat="1">
      <c r="AB2707" s="201"/>
      <c r="AC2707" s="201"/>
      <c r="AD2707" s="197"/>
      <c r="AE2707" s="197"/>
      <c r="AF2707" s="197"/>
      <c r="AG2707" s="197"/>
      <c r="AH2707" s="197"/>
      <c r="AI2707" s="197"/>
      <c r="AJ2707" s="197"/>
      <c r="AK2707" s="197"/>
      <c r="AL2707" s="197"/>
      <c r="AM2707" s="197"/>
      <c r="AN2707" s="197"/>
      <c r="AO2707" s="197"/>
      <c r="AP2707" s="197"/>
      <c r="AQ2707" s="197"/>
      <c r="AR2707" s="197"/>
      <c r="AS2707" s="197"/>
      <c r="AT2707" s="197"/>
      <c r="AU2707" s="197"/>
      <c r="AV2707" s="197"/>
      <c r="AW2707" s="197"/>
    </row>
    <row r="2708" spans="28:49" s="196" customFormat="1">
      <c r="AB2708" s="201"/>
      <c r="AC2708" s="201"/>
      <c r="AD2708" s="197"/>
      <c r="AE2708" s="197"/>
      <c r="AF2708" s="197"/>
      <c r="AG2708" s="197"/>
      <c r="AH2708" s="197"/>
      <c r="AI2708" s="197"/>
      <c r="AJ2708" s="197"/>
      <c r="AK2708" s="197"/>
      <c r="AL2708" s="197"/>
      <c r="AM2708" s="197"/>
      <c r="AN2708" s="197"/>
      <c r="AO2708" s="197"/>
      <c r="AP2708" s="197"/>
      <c r="AQ2708" s="197"/>
      <c r="AR2708" s="197"/>
      <c r="AS2708" s="197"/>
      <c r="AT2708" s="197"/>
      <c r="AU2708" s="197"/>
      <c r="AV2708" s="197"/>
      <c r="AW2708" s="197"/>
    </row>
    <row r="2709" spans="28:49" s="196" customFormat="1">
      <c r="AB2709" s="201"/>
      <c r="AC2709" s="201"/>
      <c r="AD2709" s="197"/>
      <c r="AE2709" s="197"/>
      <c r="AF2709" s="197"/>
      <c r="AG2709" s="197"/>
      <c r="AH2709" s="197"/>
      <c r="AI2709" s="197"/>
      <c r="AJ2709" s="197"/>
      <c r="AK2709" s="197"/>
      <c r="AL2709" s="197"/>
      <c r="AM2709" s="197"/>
      <c r="AN2709" s="197"/>
      <c r="AO2709" s="197"/>
      <c r="AP2709" s="197"/>
      <c r="AQ2709" s="197"/>
      <c r="AR2709" s="197"/>
      <c r="AS2709" s="197"/>
      <c r="AT2709" s="197"/>
      <c r="AU2709" s="197"/>
      <c r="AV2709" s="197"/>
      <c r="AW2709" s="197"/>
    </row>
    <row r="2710" spans="28:49" s="196" customFormat="1">
      <c r="AB2710" s="201"/>
      <c r="AC2710" s="201"/>
      <c r="AD2710" s="197"/>
      <c r="AE2710" s="197"/>
      <c r="AF2710" s="197"/>
      <c r="AG2710" s="197"/>
      <c r="AH2710" s="197"/>
      <c r="AI2710" s="197"/>
      <c r="AJ2710" s="197"/>
      <c r="AK2710" s="197"/>
      <c r="AL2710" s="197"/>
      <c r="AM2710" s="197"/>
      <c r="AN2710" s="197"/>
      <c r="AO2710" s="197"/>
      <c r="AP2710" s="197"/>
      <c r="AQ2710" s="197"/>
      <c r="AR2710" s="197"/>
      <c r="AS2710" s="197"/>
      <c r="AT2710" s="197"/>
      <c r="AU2710" s="197"/>
      <c r="AV2710" s="197"/>
      <c r="AW2710" s="197"/>
    </row>
    <row r="2711" spans="28:49" s="196" customFormat="1">
      <c r="AB2711" s="201"/>
      <c r="AC2711" s="201"/>
      <c r="AD2711" s="197"/>
      <c r="AE2711" s="197"/>
      <c r="AF2711" s="197"/>
      <c r="AG2711" s="197"/>
      <c r="AH2711" s="197"/>
      <c r="AI2711" s="197"/>
      <c r="AJ2711" s="197"/>
      <c r="AK2711" s="197"/>
      <c r="AL2711" s="197"/>
      <c r="AM2711" s="197"/>
      <c r="AN2711" s="197"/>
      <c r="AO2711" s="197"/>
      <c r="AP2711" s="197"/>
      <c r="AQ2711" s="197"/>
      <c r="AR2711" s="197"/>
      <c r="AS2711" s="197"/>
      <c r="AT2711" s="197"/>
      <c r="AU2711" s="197"/>
      <c r="AV2711" s="197"/>
      <c r="AW2711" s="197"/>
    </row>
    <row r="2712" spans="28:49" s="196" customFormat="1">
      <c r="AB2712" s="201"/>
      <c r="AC2712" s="201"/>
      <c r="AD2712" s="197"/>
      <c r="AE2712" s="197"/>
      <c r="AF2712" s="197"/>
      <c r="AG2712" s="197"/>
      <c r="AH2712" s="197"/>
      <c r="AI2712" s="197"/>
      <c r="AJ2712" s="197"/>
      <c r="AK2712" s="197"/>
      <c r="AL2712" s="197"/>
      <c r="AM2712" s="197"/>
      <c r="AN2712" s="197"/>
      <c r="AO2712" s="197"/>
      <c r="AP2712" s="197"/>
      <c r="AQ2712" s="197"/>
      <c r="AR2712" s="197"/>
      <c r="AS2712" s="197"/>
      <c r="AT2712" s="197"/>
      <c r="AU2712" s="197"/>
      <c r="AV2712" s="197"/>
      <c r="AW2712" s="197"/>
    </row>
    <row r="2713" spans="28:49" s="196" customFormat="1">
      <c r="AB2713" s="201"/>
      <c r="AC2713" s="201"/>
      <c r="AD2713" s="197"/>
      <c r="AE2713" s="197"/>
      <c r="AF2713" s="197"/>
      <c r="AG2713" s="197"/>
      <c r="AH2713" s="197"/>
      <c r="AI2713" s="197"/>
      <c r="AJ2713" s="197"/>
      <c r="AK2713" s="197"/>
      <c r="AL2713" s="197"/>
      <c r="AM2713" s="197"/>
      <c r="AN2713" s="197"/>
      <c r="AO2713" s="197"/>
      <c r="AP2713" s="197"/>
      <c r="AQ2713" s="197"/>
      <c r="AR2713" s="197"/>
      <c r="AS2713" s="197"/>
      <c r="AT2713" s="197"/>
      <c r="AU2713" s="197"/>
      <c r="AV2713" s="197"/>
      <c r="AW2713" s="197"/>
    </row>
    <row r="2714" spans="28:49" s="196" customFormat="1">
      <c r="AB2714" s="201"/>
      <c r="AC2714" s="201"/>
      <c r="AD2714" s="197"/>
      <c r="AE2714" s="197"/>
      <c r="AF2714" s="197"/>
      <c r="AG2714" s="197"/>
      <c r="AH2714" s="197"/>
      <c r="AI2714" s="197"/>
      <c r="AJ2714" s="197"/>
      <c r="AK2714" s="197"/>
      <c r="AL2714" s="197"/>
      <c r="AM2714" s="197"/>
      <c r="AN2714" s="197"/>
      <c r="AO2714" s="197"/>
      <c r="AP2714" s="197"/>
      <c r="AQ2714" s="197"/>
      <c r="AR2714" s="197"/>
      <c r="AS2714" s="197"/>
      <c r="AT2714" s="197"/>
      <c r="AU2714" s="197"/>
      <c r="AV2714" s="197"/>
      <c r="AW2714" s="197"/>
    </row>
    <row r="2715" spans="28:49" s="196" customFormat="1">
      <c r="AB2715" s="201"/>
      <c r="AC2715" s="201"/>
      <c r="AD2715" s="197"/>
      <c r="AE2715" s="197"/>
      <c r="AF2715" s="197"/>
      <c r="AG2715" s="197"/>
      <c r="AH2715" s="197"/>
      <c r="AI2715" s="197"/>
      <c r="AJ2715" s="197"/>
      <c r="AK2715" s="197"/>
      <c r="AL2715" s="197"/>
      <c r="AM2715" s="197"/>
      <c r="AN2715" s="197"/>
      <c r="AO2715" s="197"/>
      <c r="AP2715" s="197"/>
      <c r="AQ2715" s="197"/>
      <c r="AR2715" s="197"/>
      <c r="AS2715" s="197"/>
      <c r="AT2715" s="197"/>
      <c r="AU2715" s="197"/>
      <c r="AV2715" s="197"/>
      <c r="AW2715" s="197"/>
    </row>
    <row r="2716" spans="28:49" s="196" customFormat="1">
      <c r="AB2716" s="201"/>
      <c r="AC2716" s="201"/>
      <c r="AD2716" s="197"/>
      <c r="AE2716" s="197"/>
      <c r="AF2716" s="197"/>
      <c r="AG2716" s="197"/>
      <c r="AH2716" s="197"/>
      <c r="AI2716" s="197"/>
      <c r="AJ2716" s="197"/>
      <c r="AK2716" s="197"/>
      <c r="AL2716" s="197"/>
      <c r="AM2716" s="197"/>
      <c r="AN2716" s="197"/>
      <c r="AO2716" s="197"/>
      <c r="AP2716" s="197"/>
      <c r="AQ2716" s="197"/>
      <c r="AR2716" s="197"/>
      <c r="AS2716" s="197"/>
      <c r="AT2716" s="197"/>
      <c r="AU2716" s="197"/>
      <c r="AV2716" s="197"/>
      <c r="AW2716" s="197"/>
    </row>
    <row r="2717" spans="28:49" s="196" customFormat="1">
      <c r="AB2717" s="201"/>
      <c r="AC2717" s="201"/>
      <c r="AD2717" s="197"/>
      <c r="AE2717" s="197"/>
      <c r="AF2717" s="197"/>
      <c r="AG2717" s="197"/>
      <c r="AH2717" s="197"/>
      <c r="AI2717" s="197"/>
      <c r="AJ2717" s="197"/>
      <c r="AK2717" s="197"/>
      <c r="AL2717" s="197"/>
      <c r="AM2717" s="197"/>
      <c r="AN2717" s="197"/>
      <c r="AO2717" s="197"/>
      <c r="AP2717" s="197"/>
      <c r="AQ2717" s="197"/>
      <c r="AR2717" s="197"/>
      <c r="AS2717" s="197"/>
      <c r="AT2717" s="197"/>
      <c r="AU2717" s="197"/>
      <c r="AV2717" s="197"/>
      <c r="AW2717" s="197"/>
    </row>
    <row r="2718" spans="28:49" s="196" customFormat="1">
      <c r="AB2718" s="201"/>
      <c r="AC2718" s="201"/>
      <c r="AD2718" s="197"/>
      <c r="AE2718" s="197"/>
      <c r="AF2718" s="197"/>
      <c r="AG2718" s="197"/>
      <c r="AH2718" s="197"/>
      <c r="AI2718" s="197"/>
      <c r="AJ2718" s="197"/>
      <c r="AK2718" s="197"/>
      <c r="AL2718" s="197"/>
      <c r="AM2718" s="197"/>
      <c r="AN2718" s="197"/>
      <c r="AO2718" s="197"/>
      <c r="AP2718" s="197"/>
      <c r="AQ2718" s="197"/>
      <c r="AR2718" s="197"/>
      <c r="AS2718" s="197"/>
      <c r="AT2718" s="197"/>
      <c r="AU2718" s="197"/>
      <c r="AV2718" s="197"/>
      <c r="AW2718" s="197"/>
    </row>
    <row r="2719" spans="28:49" s="196" customFormat="1">
      <c r="AB2719" s="201"/>
      <c r="AC2719" s="201"/>
      <c r="AD2719" s="197"/>
      <c r="AE2719" s="197"/>
      <c r="AF2719" s="197"/>
      <c r="AG2719" s="197"/>
      <c r="AH2719" s="197"/>
      <c r="AI2719" s="197"/>
      <c r="AJ2719" s="197"/>
      <c r="AK2719" s="197"/>
      <c r="AL2719" s="197"/>
      <c r="AM2719" s="197"/>
      <c r="AN2719" s="197"/>
      <c r="AO2719" s="197"/>
      <c r="AP2719" s="197"/>
      <c r="AQ2719" s="197"/>
      <c r="AR2719" s="197"/>
      <c r="AS2719" s="197"/>
      <c r="AT2719" s="197"/>
      <c r="AU2719" s="197"/>
      <c r="AV2719" s="197"/>
      <c r="AW2719" s="197"/>
    </row>
    <row r="2720" spans="28:49" s="196" customFormat="1">
      <c r="AB2720" s="201"/>
      <c r="AC2720" s="201"/>
      <c r="AD2720" s="197"/>
      <c r="AE2720" s="197"/>
      <c r="AF2720" s="197"/>
      <c r="AG2720" s="197"/>
      <c r="AH2720" s="197"/>
      <c r="AI2720" s="197"/>
      <c r="AJ2720" s="197"/>
      <c r="AK2720" s="197"/>
      <c r="AL2720" s="197"/>
      <c r="AM2720" s="197"/>
      <c r="AN2720" s="197"/>
      <c r="AO2720" s="197"/>
      <c r="AP2720" s="197"/>
      <c r="AQ2720" s="197"/>
      <c r="AR2720" s="197"/>
      <c r="AS2720" s="197"/>
      <c r="AT2720" s="197"/>
      <c r="AU2720" s="197"/>
      <c r="AV2720" s="197"/>
      <c r="AW2720" s="197"/>
    </row>
    <row r="2721" spans="28:49" s="196" customFormat="1">
      <c r="AB2721" s="201"/>
      <c r="AC2721" s="201"/>
      <c r="AD2721" s="197"/>
      <c r="AE2721" s="197"/>
      <c r="AF2721" s="197"/>
      <c r="AG2721" s="197"/>
      <c r="AH2721" s="197"/>
      <c r="AI2721" s="197"/>
      <c r="AJ2721" s="197"/>
      <c r="AK2721" s="197"/>
      <c r="AL2721" s="197"/>
      <c r="AM2721" s="197"/>
      <c r="AN2721" s="197"/>
      <c r="AO2721" s="197"/>
      <c r="AP2721" s="197"/>
      <c r="AQ2721" s="197"/>
      <c r="AR2721" s="197"/>
      <c r="AS2721" s="197"/>
      <c r="AT2721" s="197"/>
      <c r="AU2721" s="197"/>
      <c r="AV2721" s="197"/>
      <c r="AW2721" s="197"/>
    </row>
    <row r="2722" spans="28:49" s="196" customFormat="1">
      <c r="AB2722" s="201"/>
      <c r="AC2722" s="201"/>
      <c r="AD2722" s="197"/>
      <c r="AE2722" s="197"/>
      <c r="AF2722" s="197"/>
      <c r="AG2722" s="197"/>
      <c r="AH2722" s="197"/>
      <c r="AI2722" s="197"/>
      <c r="AJ2722" s="197"/>
      <c r="AK2722" s="197"/>
      <c r="AL2722" s="197"/>
      <c r="AM2722" s="197"/>
      <c r="AN2722" s="197"/>
      <c r="AO2722" s="197"/>
      <c r="AP2722" s="197"/>
      <c r="AQ2722" s="197"/>
      <c r="AR2722" s="197"/>
      <c r="AS2722" s="197"/>
      <c r="AT2722" s="197"/>
      <c r="AU2722" s="197"/>
      <c r="AV2722" s="197"/>
      <c r="AW2722" s="197"/>
    </row>
    <row r="2723" spans="28:49" s="196" customFormat="1">
      <c r="AB2723" s="201"/>
      <c r="AC2723" s="201"/>
      <c r="AD2723" s="197"/>
      <c r="AE2723" s="197"/>
      <c r="AF2723" s="197"/>
      <c r="AG2723" s="197"/>
      <c r="AH2723" s="197"/>
      <c r="AI2723" s="197"/>
      <c r="AJ2723" s="197"/>
      <c r="AK2723" s="197"/>
      <c r="AL2723" s="197"/>
      <c r="AM2723" s="197"/>
      <c r="AN2723" s="197"/>
      <c r="AO2723" s="197"/>
      <c r="AP2723" s="197"/>
      <c r="AQ2723" s="197"/>
      <c r="AR2723" s="197"/>
      <c r="AS2723" s="197"/>
      <c r="AT2723" s="197"/>
      <c r="AU2723" s="197"/>
      <c r="AV2723" s="197"/>
      <c r="AW2723" s="197"/>
    </row>
    <row r="2724" spans="28:49" s="196" customFormat="1">
      <c r="AB2724" s="201"/>
      <c r="AC2724" s="201"/>
      <c r="AD2724" s="197"/>
      <c r="AE2724" s="197"/>
      <c r="AF2724" s="197"/>
      <c r="AG2724" s="197"/>
      <c r="AH2724" s="197"/>
      <c r="AI2724" s="197"/>
      <c r="AJ2724" s="197"/>
      <c r="AK2724" s="197"/>
      <c r="AL2724" s="197"/>
      <c r="AM2724" s="197"/>
      <c r="AN2724" s="197"/>
      <c r="AO2724" s="197"/>
      <c r="AP2724" s="197"/>
      <c r="AQ2724" s="197"/>
      <c r="AR2724" s="197"/>
      <c r="AS2724" s="197"/>
      <c r="AT2724" s="197"/>
      <c r="AU2724" s="197"/>
      <c r="AV2724" s="197"/>
      <c r="AW2724" s="197"/>
    </row>
    <row r="2725" spans="28:49" s="196" customFormat="1">
      <c r="AB2725" s="201"/>
      <c r="AC2725" s="201"/>
      <c r="AD2725" s="197"/>
      <c r="AE2725" s="197"/>
      <c r="AF2725" s="197"/>
      <c r="AG2725" s="197"/>
      <c r="AH2725" s="197"/>
      <c r="AI2725" s="197"/>
      <c r="AJ2725" s="197"/>
      <c r="AK2725" s="197"/>
      <c r="AL2725" s="197"/>
      <c r="AM2725" s="197"/>
      <c r="AN2725" s="197"/>
      <c r="AO2725" s="197"/>
      <c r="AP2725" s="197"/>
      <c r="AQ2725" s="197"/>
      <c r="AR2725" s="197"/>
      <c r="AS2725" s="197"/>
      <c r="AT2725" s="197"/>
      <c r="AU2725" s="197"/>
      <c r="AV2725" s="197"/>
      <c r="AW2725" s="197"/>
    </row>
    <row r="2726" spans="28:49" s="196" customFormat="1">
      <c r="AB2726" s="201"/>
      <c r="AC2726" s="201"/>
      <c r="AD2726" s="197"/>
      <c r="AE2726" s="197"/>
      <c r="AF2726" s="197"/>
      <c r="AG2726" s="197"/>
      <c r="AH2726" s="197"/>
      <c r="AI2726" s="197"/>
      <c r="AJ2726" s="197"/>
      <c r="AK2726" s="197"/>
      <c r="AL2726" s="197"/>
      <c r="AM2726" s="197"/>
      <c r="AN2726" s="197"/>
      <c r="AO2726" s="197"/>
      <c r="AP2726" s="197"/>
      <c r="AQ2726" s="197"/>
      <c r="AR2726" s="197"/>
      <c r="AS2726" s="197"/>
      <c r="AT2726" s="197"/>
      <c r="AU2726" s="197"/>
      <c r="AV2726" s="197"/>
      <c r="AW2726" s="197"/>
    </row>
    <row r="2727" spans="28:49" s="196" customFormat="1">
      <c r="AB2727" s="201"/>
      <c r="AC2727" s="201"/>
      <c r="AD2727" s="197"/>
      <c r="AE2727" s="197"/>
      <c r="AF2727" s="197"/>
      <c r="AG2727" s="197"/>
      <c r="AH2727" s="197"/>
      <c r="AI2727" s="197"/>
      <c r="AJ2727" s="197"/>
      <c r="AK2727" s="197"/>
      <c r="AL2727" s="197"/>
      <c r="AM2727" s="197"/>
      <c r="AN2727" s="197"/>
      <c r="AO2727" s="197"/>
      <c r="AP2727" s="197"/>
      <c r="AQ2727" s="197"/>
      <c r="AR2727" s="197"/>
      <c r="AS2727" s="197"/>
      <c r="AT2727" s="197"/>
      <c r="AU2727" s="197"/>
      <c r="AV2727" s="197"/>
      <c r="AW2727" s="197"/>
    </row>
    <row r="2728" spans="28:49" s="196" customFormat="1">
      <c r="AB2728" s="201"/>
      <c r="AC2728" s="201"/>
      <c r="AD2728" s="197"/>
      <c r="AE2728" s="197"/>
      <c r="AF2728" s="197"/>
      <c r="AG2728" s="197"/>
      <c r="AH2728" s="197"/>
      <c r="AI2728" s="197"/>
      <c r="AJ2728" s="197"/>
      <c r="AK2728" s="197"/>
      <c r="AL2728" s="197"/>
      <c r="AM2728" s="197"/>
      <c r="AN2728" s="197"/>
      <c r="AO2728" s="197"/>
      <c r="AP2728" s="197"/>
      <c r="AQ2728" s="197"/>
      <c r="AR2728" s="197"/>
      <c r="AS2728" s="197"/>
      <c r="AT2728" s="197"/>
      <c r="AU2728" s="197"/>
      <c r="AV2728" s="197"/>
      <c r="AW2728" s="197"/>
    </row>
    <row r="2729" spans="28:49" s="196" customFormat="1">
      <c r="AB2729" s="201"/>
      <c r="AC2729" s="201"/>
      <c r="AD2729" s="197"/>
      <c r="AE2729" s="197"/>
      <c r="AF2729" s="197"/>
      <c r="AG2729" s="197"/>
      <c r="AH2729" s="197"/>
      <c r="AI2729" s="197"/>
      <c r="AJ2729" s="197"/>
      <c r="AK2729" s="197"/>
      <c r="AL2729" s="197"/>
      <c r="AM2729" s="197"/>
      <c r="AN2729" s="197"/>
      <c r="AO2729" s="197"/>
      <c r="AP2729" s="197"/>
      <c r="AQ2729" s="197"/>
      <c r="AR2729" s="197"/>
      <c r="AS2729" s="197"/>
      <c r="AT2729" s="197"/>
      <c r="AU2729" s="197"/>
      <c r="AV2729" s="197"/>
      <c r="AW2729" s="197"/>
    </row>
    <row r="2730" spans="28:49" s="196" customFormat="1">
      <c r="AB2730" s="201"/>
      <c r="AC2730" s="201"/>
      <c r="AD2730" s="197"/>
      <c r="AE2730" s="197"/>
      <c r="AF2730" s="197"/>
      <c r="AG2730" s="197"/>
      <c r="AH2730" s="197"/>
      <c r="AI2730" s="197"/>
      <c r="AJ2730" s="197"/>
      <c r="AK2730" s="197"/>
      <c r="AL2730" s="197"/>
      <c r="AM2730" s="197"/>
      <c r="AN2730" s="197"/>
      <c r="AO2730" s="197"/>
      <c r="AP2730" s="197"/>
      <c r="AQ2730" s="197"/>
      <c r="AR2730" s="197"/>
      <c r="AS2730" s="197"/>
      <c r="AT2730" s="197"/>
      <c r="AU2730" s="197"/>
      <c r="AV2730" s="197"/>
      <c r="AW2730" s="197"/>
    </row>
    <row r="2731" spans="28:49" s="196" customFormat="1">
      <c r="AB2731" s="201"/>
      <c r="AC2731" s="201"/>
      <c r="AD2731" s="197"/>
      <c r="AE2731" s="197"/>
      <c r="AF2731" s="197"/>
      <c r="AG2731" s="197"/>
      <c r="AH2731" s="197"/>
      <c r="AI2731" s="197"/>
      <c r="AJ2731" s="197"/>
      <c r="AK2731" s="197"/>
      <c r="AL2731" s="197"/>
      <c r="AM2731" s="197"/>
      <c r="AN2731" s="197"/>
      <c r="AO2731" s="197"/>
      <c r="AP2731" s="197"/>
      <c r="AQ2731" s="197"/>
      <c r="AR2731" s="197"/>
      <c r="AS2731" s="197"/>
      <c r="AT2731" s="197"/>
      <c r="AU2731" s="197"/>
      <c r="AV2731" s="197"/>
      <c r="AW2731" s="197"/>
    </row>
    <row r="2732" spans="28:49" s="196" customFormat="1">
      <c r="AB2732" s="201"/>
      <c r="AC2732" s="201"/>
      <c r="AD2732" s="197"/>
      <c r="AE2732" s="197"/>
      <c r="AF2732" s="197"/>
      <c r="AG2732" s="197"/>
      <c r="AH2732" s="197"/>
      <c r="AI2732" s="197"/>
      <c r="AJ2732" s="197"/>
      <c r="AK2732" s="197"/>
      <c r="AL2732" s="197"/>
      <c r="AM2732" s="197"/>
      <c r="AN2732" s="197"/>
      <c r="AO2732" s="197"/>
      <c r="AP2732" s="197"/>
      <c r="AQ2732" s="197"/>
      <c r="AR2732" s="197"/>
      <c r="AS2732" s="197"/>
      <c r="AT2732" s="197"/>
      <c r="AU2732" s="197"/>
      <c r="AV2732" s="197"/>
      <c r="AW2732" s="197"/>
    </row>
    <row r="2733" spans="28:49" s="196" customFormat="1">
      <c r="AB2733" s="201"/>
      <c r="AC2733" s="201"/>
      <c r="AD2733" s="197"/>
      <c r="AE2733" s="197"/>
      <c r="AF2733" s="197"/>
      <c r="AG2733" s="197"/>
      <c r="AH2733" s="197"/>
      <c r="AI2733" s="197"/>
      <c r="AJ2733" s="197"/>
      <c r="AK2733" s="197"/>
      <c r="AL2733" s="197"/>
      <c r="AM2733" s="197"/>
      <c r="AN2733" s="197"/>
      <c r="AO2733" s="197"/>
      <c r="AP2733" s="197"/>
      <c r="AQ2733" s="197"/>
      <c r="AR2733" s="197"/>
      <c r="AS2733" s="197"/>
      <c r="AT2733" s="197"/>
      <c r="AU2733" s="197"/>
      <c r="AV2733" s="197"/>
      <c r="AW2733" s="197"/>
    </row>
    <row r="2734" spans="28:49" s="196" customFormat="1">
      <c r="AB2734" s="201"/>
      <c r="AC2734" s="201"/>
      <c r="AD2734" s="197"/>
      <c r="AE2734" s="197"/>
      <c r="AF2734" s="197"/>
      <c r="AG2734" s="197"/>
      <c r="AH2734" s="197"/>
      <c r="AI2734" s="197"/>
      <c r="AJ2734" s="197"/>
      <c r="AK2734" s="197"/>
      <c r="AL2734" s="197"/>
      <c r="AM2734" s="197"/>
      <c r="AN2734" s="197"/>
      <c r="AO2734" s="197"/>
      <c r="AP2734" s="197"/>
      <c r="AQ2734" s="197"/>
      <c r="AR2734" s="197"/>
      <c r="AS2734" s="197"/>
      <c r="AT2734" s="197"/>
      <c r="AU2734" s="197"/>
      <c r="AV2734" s="197"/>
      <c r="AW2734" s="197"/>
    </row>
    <row r="2735" spans="28:49" s="196" customFormat="1">
      <c r="AB2735" s="201"/>
      <c r="AC2735" s="201"/>
      <c r="AD2735" s="197"/>
      <c r="AE2735" s="197"/>
      <c r="AF2735" s="197"/>
      <c r="AG2735" s="197"/>
      <c r="AH2735" s="197"/>
      <c r="AI2735" s="197"/>
      <c r="AJ2735" s="197"/>
      <c r="AK2735" s="197"/>
      <c r="AL2735" s="197"/>
      <c r="AM2735" s="197"/>
      <c r="AN2735" s="197"/>
      <c r="AO2735" s="197"/>
      <c r="AP2735" s="197"/>
      <c r="AQ2735" s="197"/>
      <c r="AR2735" s="197"/>
      <c r="AS2735" s="197"/>
      <c r="AT2735" s="197"/>
      <c r="AU2735" s="197"/>
      <c r="AV2735" s="197"/>
      <c r="AW2735" s="197"/>
    </row>
    <row r="2736" spans="28:49" s="196" customFormat="1">
      <c r="AB2736" s="201"/>
      <c r="AC2736" s="201"/>
      <c r="AD2736" s="197"/>
      <c r="AE2736" s="197"/>
      <c r="AF2736" s="197"/>
      <c r="AG2736" s="197"/>
      <c r="AH2736" s="197"/>
      <c r="AI2736" s="197"/>
      <c r="AJ2736" s="197"/>
      <c r="AK2736" s="197"/>
      <c r="AL2736" s="197"/>
      <c r="AM2736" s="197"/>
      <c r="AN2736" s="197"/>
      <c r="AO2736" s="197"/>
      <c r="AP2736" s="197"/>
      <c r="AQ2736" s="197"/>
      <c r="AR2736" s="197"/>
      <c r="AS2736" s="197"/>
      <c r="AT2736" s="197"/>
      <c r="AU2736" s="197"/>
      <c r="AV2736" s="197"/>
      <c r="AW2736" s="197"/>
    </row>
    <row r="2737" spans="28:49" s="196" customFormat="1">
      <c r="AB2737" s="201"/>
      <c r="AC2737" s="201"/>
      <c r="AD2737" s="197"/>
      <c r="AE2737" s="197"/>
      <c r="AF2737" s="197"/>
      <c r="AG2737" s="197"/>
      <c r="AH2737" s="197"/>
      <c r="AI2737" s="197"/>
      <c r="AJ2737" s="197"/>
      <c r="AK2737" s="197"/>
      <c r="AL2737" s="197"/>
      <c r="AM2737" s="197"/>
      <c r="AN2737" s="197"/>
      <c r="AO2737" s="197"/>
      <c r="AP2737" s="197"/>
      <c r="AQ2737" s="197"/>
      <c r="AR2737" s="197"/>
      <c r="AS2737" s="197"/>
      <c r="AT2737" s="197"/>
      <c r="AU2737" s="197"/>
      <c r="AV2737" s="197"/>
      <c r="AW2737" s="197"/>
    </row>
    <row r="2738" spans="28:49" s="196" customFormat="1">
      <c r="AB2738" s="201"/>
      <c r="AC2738" s="201"/>
      <c r="AD2738" s="197"/>
      <c r="AE2738" s="197"/>
      <c r="AF2738" s="197"/>
      <c r="AG2738" s="197"/>
      <c r="AH2738" s="197"/>
      <c r="AI2738" s="197"/>
      <c r="AJ2738" s="197"/>
      <c r="AK2738" s="197"/>
      <c r="AL2738" s="197"/>
      <c r="AM2738" s="197"/>
      <c r="AN2738" s="197"/>
      <c r="AO2738" s="197"/>
      <c r="AP2738" s="197"/>
      <c r="AQ2738" s="197"/>
      <c r="AR2738" s="197"/>
      <c r="AS2738" s="197"/>
      <c r="AT2738" s="197"/>
      <c r="AU2738" s="197"/>
      <c r="AV2738" s="197"/>
      <c r="AW2738" s="197"/>
    </row>
    <row r="2739" spans="28:49" s="196" customFormat="1">
      <c r="AB2739" s="201"/>
      <c r="AC2739" s="201"/>
      <c r="AD2739" s="197"/>
      <c r="AE2739" s="197"/>
      <c r="AF2739" s="197"/>
      <c r="AG2739" s="197"/>
      <c r="AH2739" s="197"/>
      <c r="AI2739" s="197"/>
      <c r="AJ2739" s="197"/>
      <c r="AK2739" s="197"/>
      <c r="AL2739" s="197"/>
      <c r="AM2739" s="197"/>
      <c r="AN2739" s="197"/>
      <c r="AO2739" s="197"/>
      <c r="AP2739" s="197"/>
      <c r="AQ2739" s="197"/>
      <c r="AR2739" s="197"/>
      <c r="AS2739" s="197"/>
      <c r="AT2739" s="197"/>
      <c r="AU2739" s="197"/>
      <c r="AV2739" s="197"/>
      <c r="AW2739" s="197"/>
    </row>
    <row r="2740" spans="28:49" s="196" customFormat="1">
      <c r="AB2740" s="201"/>
      <c r="AC2740" s="201"/>
      <c r="AD2740" s="197"/>
      <c r="AE2740" s="197"/>
      <c r="AF2740" s="197"/>
      <c r="AG2740" s="197"/>
      <c r="AH2740" s="197"/>
      <c r="AI2740" s="197"/>
      <c r="AJ2740" s="197"/>
      <c r="AK2740" s="197"/>
      <c r="AL2740" s="197"/>
      <c r="AM2740" s="197"/>
      <c r="AN2740" s="197"/>
      <c r="AO2740" s="197"/>
      <c r="AP2740" s="197"/>
      <c r="AQ2740" s="197"/>
      <c r="AR2740" s="197"/>
      <c r="AS2740" s="197"/>
      <c r="AT2740" s="197"/>
      <c r="AU2740" s="197"/>
      <c r="AV2740" s="197"/>
      <c r="AW2740" s="197"/>
    </row>
    <row r="2741" spans="28:49" s="196" customFormat="1">
      <c r="AB2741" s="201"/>
      <c r="AC2741" s="201"/>
      <c r="AD2741" s="197"/>
      <c r="AE2741" s="197"/>
      <c r="AF2741" s="197"/>
      <c r="AG2741" s="197"/>
      <c r="AH2741" s="197"/>
      <c r="AI2741" s="197"/>
      <c r="AJ2741" s="197"/>
      <c r="AK2741" s="197"/>
      <c r="AL2741" s="197"/>
      <c r="AM2741" s="197"/>
      <c r="AN2741" s="197"/>
      <c r="AO2741" s="197"/>
      <c r="AP2741" s="197"/>
      <c r="AQ2741" s="197"/>
      <c r="AR2741" s="197"/>
      <c r="AS2741" s="197"/>
      <c r="AT2741" s="197"/>
      <c r="AU2741" s="197"/>
      <c r="AV2741" s="197"/>
      <c r="AW2741" s="197"/>
    </row>
    <row r="2742" spans="28:49" s="196" customFormat="1">
      <c r="AB2742" s="201"/>
      <c r="AC2742" s="201"/>
      <c r="AD2742" s="197"/>
      <c r="AE2742" s="197"/>
      <c r="AF2742" s="197"/>
      <c r="AG2742" s="197"/>
      <c r="AH2742" s="197"/>
      <c r="AI2742" s="197"/>
      <c r="AJ2742" s="197"/>
      <c r="AK2742" s="197"/>
      <c r="AL2742" s="197"/>
      <c r="AM2742" s="197"/>
      <c r="AN2742" s="197"/>
      <c r="AO2742" s="197"/>
      <c r="AP2742" s="197"/>
      <c r="AQ2742" s="197"/>
      <c r="AR2742" s="197"/>
      <c r="AS2742" s="197"/>
      <c r="AT2742" s="197"/>
      <c r="AU2742" s="197"/>
      <c r="AV2742" s="197"/>
      <c r="AW2742" s="197"/>
    </row>
    <row r="2743" spans="28:49" s="196" customFormat="1">
      <c r="AB2743" s="201"/>
      <c r="AC2743" s="201"/>
      <c r="AD2743" s="197"/>
      <c r="AE2743" s="197"/>
      <c r="AF2743" s="197"/>
      <c r="AG2743" s="197"/>
      <c r="AH2743" s="197"/>
      <c r="AI2743" s="197"/>
      <c r="AJ2743" s="197"/>
      <c r="AK2743" s="197"/>
      <c r="AL2743" s="197"/>
      <c r="AM2743" s="197"/>
      <c r="AN2743" s="197"/>
      <c r="AO2743" s="197"/>
      <c r="AP2743" s="197"/>
      <c r="AQ2743" s="197"/>
      <c r="AR2743" s="197"/>
      <c r="AS2743" s="197"/>
      <c r="AT2743" s="197"/>
      <c r="AU2743" s="197"/>
      <c r="AV2743" s="197"/>
      <c r="AW2743" s="197"/>
    </row>
    <row r="2744" spans="28:49" s="196" customFormat="1">
      <c r="AB2744" s="201"/>
      <c r="AC2744" s="201"/>
      <c r="AD2744" s="197"/>
      <c r="AE2744" s="197"/>
      <c r="AF2744" s="197"/>
      <c r="AG2744" s="197"/>
      <c r="AH2744" s="197"/>
      <c r="AI2744" s="197"/>
      <c r="AJ2744" s="197"/>
      <c r="AK2744" s="197"/>
      <c r="AL2744" s="197"/>
      <c r="AM2744" s="197"/>
      <c r="AN2744" s="197"/>
      <c r="AO2744" s="197"/>
      <c r="AP2744" s="197"/>
      <c r="AQ2744" s="197"/>
      <c r="AR2744" s="197"/>
      <c r="AS2744" s="197"/>
      <c r="AT2744" s="197"/>
      <c r="AU2744" s="197"/>
      <c r="AV2744" s="197"/>
      <c r="AW2744" s="197"/>
    </row>
    <row r="2745" spans="28:49" s="196" customFormat="1">
      <c r="AB2745" s="201"/>
      <c r="AC2745" s="201"/>
      <c r="AD2745" s="197"/>
      <c r="AE2745" s="197"/>
      <c r="AF2745" s="197"/>
      <c r="AG2745" s="197"/>
      <c r="AH2745" s="197"/>
      <c r="AI2745" s="197"/>
      <c r="AJ2745" s="197"/>
      <c r="AK2745" s="197"/>
      <c r="AL2745" s="197"/>
      <c r="AM2745" s="197"/>
      <c r="AN2745" s="197"/>
      <c r="AO2745" s="197"/>
      <c r="AP2745" s="197"/>
      <c r="AQ2745" s="197"/>
      <c r="AR2745" s="197"/>
      <c r="AS2745" s="197"/>
      <c r="AT2745" s="197"/>
      <c r="AU2745" s="197"/>
      <c r="AV2745" s="197"/>
      <c r="AW2745" s="197"/>
    </row>
    <row r="2746" spans="28:49" s="196" customFormat="1">
      <c r="AB2746" s="201"/>
      <c r="AC2746" s="201"/>
      <c r="AD2746" s="197"/>
      <c r="AE2746" s="197"/>
      <c r="AF2746" s="197"/>
      <c r="AG2746" s="197"/>
      <c r="AH2746" s="197"/>
      <c r="AI2746" s="197"/>
      <c r="AJ2746" s="197"/>
      <c r="AK2746" s="197"/>
      <c r="AL2746" s="197"/>
      <c r="AM2746" s="197"/>
      <c r="AN2746" s="197"/>
      <c r="AO2746" s="197"/>
      <c r="AP2746" s="197"/>
      <c r="AQ2746" s="197"/>
      <c r="AR2746" s="197"/>
      <c r="AS2746" s="197"/>
      <c r="AT2746" s="197"/>
      <c r="AU2746" s="197"/>
      <c r="AV2746" s="197"/>
      <c r="AW2746" s="197"/>
    </row>
    <row r="2747" spans="28:49" s="196" customFormat="1">
      <c r="AB2747" s="201"/>
      <c r="AC2747" s="201"/>
      <c r="AD2747" s="197"/>
      <c r="AE2747" s="197"/>
      <c r="AF2747" s="197"/>
      <c r="AG2747" s="197"/>
      <c r="AH2747" s="197"/>
      <c r="AI2747" s="197"/>
      <c r="AJ2747" s="197"/>
      <c r="AK2747" s="197"/>
      <c r="AL2747" s="197"/>
      <c r="AM2747" s="197"/>
      <c r="AN2747" s="197"/>
      <c r="AO2747" s="197"/>
      <c r="AP2747" s="197"/>
      <c r="AQ2747" s="197"/>
      <c r="AR2747" s="197"/>
      <c r="AS2747" s="197"/>
      <c r="AT2747" s="197"/>
      <c r="AU2747" s="197"/>
      <c r="AV2747" s="197"/>
      <c r="AW2747" s="197"/>
    </row>
    <row r="2748" spans="28:49" s="196" customFormat="1">
      <c r="AB2748" s="201"/>
      <c r="AC2748" s="201"/>
      <c r="AD2748" s="197"/>
      <c r="AE2748" s="197"/>
      <c r="AF2748" s="197"/>
      <c r="AG2748" s="197"/>
      <c r="AH2748" s="197"/>
      <c r="AI2748" s="197"/>
      <c r="AJ2748" s="197"/>
      <c r="AK2748" s="197"/>
      <c r="AL2748" s="197"/>
      <c r="AM2748" s="197"/>
      <c r="AN2748" s="197"/>
      <c r="AO2748" s="197"/>
      <c r="AP2748" s="197"/>
      <c r="AQ2748" s="197"/>
      <c r="AR2748" s="197"/>
      <c r="AS2748" s="197"/>
      <c r="AT2748" s="197"/>
      <c r="AU2748" s="197"/>
      <c r="AV2748" s="197"/>
      <c r="AW2748" s="197"/>
    </row>
    <row r="2749" spans="28:49" s="196" customFormat="1">
      <c r="AB2749" s="201"/>
      <c r="AC2749" s="201"/>
      <c r="AD2749" s="197"/>
      <c r="AE2749" s="197"/>
      <c r="AF2749" s="197"/>
      <c r="AG2749" s="197"/>
      <c r="AH2749" s="197"/>
      <c r="AI2749" s="197"/>
      <c r="AJ2749" s="197"/>
      <c r="AK2749" s="197"/>
      <c r="AL2749" s="197"/>
      <c r="AM2749" s="197"/>
      <c r="AN2749" s="197"/>
      <c r="AO2749" s="197"/>
      <c r="AP2749" s="197"/>
      <c r="AQ2749" s="197"/>
      <c r="AR2749" s="197"/>
      <c r="AS2749" s="197"/>
      <c r="AT2749" s="197"/>
      <c r="AU2749" s="197"/>
      <c r="AV2749" s="197"/>
      <c r="AW2749" s="197"/>
    </row>
    <row r="2750" spans="28:49" s="196" customFormat="1">
      <c r="AB2750" s="201"/>
      <c r="AC2750" s="201"/>
      <c r="AD2750" s="197"/>
      <c r="AE2750" s="197"/>
      <c r="AF2750" s="197"/>
      <c r="AG2750" s="197"/>
      <c r="AH2750" s="197"/>
      <c r="AI2750" s="197"/>
      <c r="AJ2750" s="197"/>
      <c r="AK2750" s="197"/>
      <c r="AL2750" s="197"/>
      <c r="AM2750" s="197"/>
      <c r="AN2750" s="197"/>
      <c r="AO2750" s="197"/>
      <c r="AP2750" s="197"/>
      <c r="AQ2750" s="197"/>
      <c r="AR2750" s="197"/>
      <c r="AS2750" s="197"/>
      <c r="AT2750" s="197"/>
      <c r="AU2750" s="197"/>
      <c r="AV2750" s="197"/>
      <c r="AW2750" s="197"/>
    </row>
    <row r="2751" spans="28:49" s="196" customFormat="1">
      <c r="AB2751" s="201"/>
      <c r="AC2751" s="201"/>
      <c r="AD2751" s="197"/>
      <c r="AE2751" s="197"/>
      <c r="AF2751" s="197"/>
      <c r="AG2751" s="197"/>
      <c r="AH2751" s="197"/>
      <c r="AI2751" s="197"/>
      <c r="AJ2751" s="197"/>
      <c r="AK2751" s="197"/>
      <c r="AL2751" s="197"/>
      <c r="AM2751" s="197"/>
      <c r="AN2751" s="197"/>
      <c r="AO2751" s="197"/>
      <c r="AP2751" s="197"/>
      <c r="AQ2751" s="197"/>
      <c r="AR2751" s="197"/>
      <c r="AS2751" s="197"/>
      <c r="AT2751" s="197"/>
      <c r="AU2751" s="197"/>
      <c r="AV2751" s="197"/>
      <c r="AW2751" s="197"/>
    </row>
    <row r="2752" spans="28:49" s="196" customFormat="1">
      <c r="AB2752" s="201"/>
      <c r="AC2752" s="201"/>
      <c r="AD2752" s="197"/>
      <c r="AE2752" s="197"/>
      <c r="AF2752" s="197"/>
      <c r="AG2752" s="197"/>
      <c r="AH2752" s="197"/>
      <c r="AI2752" s="197"/>
      <c r="AJ2752" s="197"/>
      <c r="AK2752" s="197"/>
      <c r="AL2752" s="197"/>
      <c r="AM2752" s="197"/>
      <c r="AN2752" s="197"/>
      <c r="AO2752" s="197"/>
      <c r="AP2752" s="197"/>
      <c r="AQ2752" s="197"/>
      <c r="AR2752" s="197"/>
      <c r="AS2752" s="197"/>
      <c r="AT2752" s="197"/>
      <c r="AU2752" s="197"/>
      <c r="AV2752" s="197"/>
      <c r="AW2752" s="197"/>
    </row>
    <row r="2753" spans="28:49" s="196" customFormat="1">
      <c r="AB2753" s="201"/>
      <c r="AC2753" s="201"/>
      <c r="AD2753" s="197"/>
      <c r="AE2753" s="197"/>
      <c r="AF2753" s="197"/>
      <c r="AG2753" s="197"/>
      <c r="AH2753" s="197"/>
      <c r="AI2753" s="197"/>
      <c r="AJ2753" s="197"/>
      <c r="AK2753" s="197"/>
      <c r="AL2753" s="197"/>
      <c r="AM2753" s="197"/>
      <c r="AN2753" s="197"/>
      <c r="AO2753" s="197"/>
      <c r="AP2753" s="197"/>
      <c r="AQ2753" s="197"/>
      <c r="AR2753" s="197"/>
      <c r="AS2753" s="197"/>
      <c r="AT2753" s="197"/>
      <c r="AU2753" s="197"/>
      <c r="AV2753" s="197"/>
      <c r="AW2753" s="197"/>
    </row>
    <row r="2754" spans="28:49" s="196" customFormat="1">
      <c r="AB2754" s="201"/>
      <c r="AC2754" s="201"/>
      <c r="AD2754" s="197"/>
      <c r="AE2754" s="197"/>
      <c r="AF2754" s="197"/>
      <c r="AG2754" s="197"/>
      <c r="AH2754" s="197"/>
      <c r="AI2754" s="197"/>
      <c r="AJ2754" s="197"/>
      <c r="AK2754" s="197"/>
      <c r="AL2754" s="197"/>
      <c r="AM2754" s="197"/>
      <c r="AN2754" s="197"/>
      <c r="AO2754" s="197"/>
      <c r="AP2754" s="197"/>
      <c r="AQ2754" s="197"/>
      <c r="AR2754" s="197"/>
      <c r="AS2754" s="197"/>
      <c r="AT2754" s="197"/>
      <c r="AU2754" s="197"/>
      <c r="AV2754" s="197"/>
      <c r="AW2754" s="197"/>
    </row>
    <row r="2755" spans="28:49" s="196" customFormat="1">
      <c r="AB2755" s="201"/>
      <c r="AC2755" s="201"/>
      <c r="AD2755" s="197"/>
      <c r="AE2755" s="197"/>
      <c r="AF2755" s="197"/>
      <c r="AG2755" s="197"/>
      <c r="AH2755" s="197"/>
      <c r="AI2755" s="197"/>
      <c r="AJ2755" s="197"/>
      <c r="AK2755" s="197"/>
      <c r="AL2755" s="197"/>
      <c r="AM2755" s="197"/>
      <c r="AN2755" s="197"/>
      <c r="AO2755" s="197"/>
      <c r="AP2755" s="197"/>
      <c r="AQ2755" s="197"/>
      <c r="AR2755" s="197"/>
      <c r="AS2755" s="197"/>
      <c r="AT2755" s="197"/>
      <c r="AU2755" s="197"/>
      <c r="AV2755" s="197"/>
      <c r="AW2755" s="197"/>
    </row>
    <row r="2756" spans="28:49" s="196" customFormat="1">
      <c r="AB2756" s="201"/>
      <c r="AC2756" s="201"/>
      <c r="AD2756" s="197"/>
      <c r="AE2756" s="197"/>
      <c r="AF2756" s="197"/>
      <c r="AG2756" s="197"/>
      <c r="AH2756" s="197"/>
      <c r="AI2756" s="197"/>
      <c r="AJ2756" s="197"/>
      <c r="AK2756" s="197"/>
      <c r="AL2756" s="197"/>
      <c r="AM2756" s="197"/>
      <c r="AN2756" s="197"/>
      <c r="AO2756" s="197"/>
      <c r="AP2756" s="197"/>
      <c r="AQ2756" s="197"/>
      <c r="AR2756" s="197"/>
      <c r="AS2756" s="197"/>
      <c r="AT2756" s="197"/>
      <c r="AU2756" s="197"/>
      <c r="AV2756" s="197"/>
      <c r="AW2756" s="197"/>
    </row>
    <row r="2757" spans="28:49" s="196" customFormat="1">
      <c r="AB2757" s="201"/>
      <c r="AC2757" s="201"/>
      <c r="AD2757" s="197"/>
      <c r="AE2757" s="197"/>
      <c r="AF2757" s="197"/>
      <c r="AG2757" s="197"/>
      <c r="AH2757" s="197"/>
      <c r="AI2757" s="197"/>
      <c r="AJ2757" s="197"/>
      <c r="AK2757" s="197"/>
      <c r="AL2757" s="197"/>
      <c r="AM2757" s="197"/>
      <c r="AN2757" s="197"/>
      <c r="AO2757" s="197"/>
      <c r="AP2757" s="197"/>
      <c r="AQ2757" s="197"/>
      <c r="AR2757" s="197"/>
      <c r="AS2757" s="197"/>
      <c r="AT2757" s="197"/>
      <c r="AU2757" s="197"/>
      <c r="AV2757" s="197"/>
      <c r="AW2757" s="197"/>
    </row>
    <row r="2758" spans="28:49" s="196" customFormat="1">
      <c r="AB2758" s="201"/>
      <c r="AC2758" s="201"/>
      <c r="AD2758" s="197"/>
      <c r="AE2758" s="197"/>
      <c r="AF2758" s="197"/>
      <c r="AG2758" s="197"/>
      <c r="AH2758" s="197"/>
      <c r="AI2758" s="197"/>
      <c r="AJ2758" s="197"/>
      <c r="AK2758" s="197"/>
      <c r="AL2758" s="197"/>
      <c r="AM2758" s="197"/>
      <c r="AN2758" s="197"/>
      <c r="AO2758" s="197"/>
      <c r="AP2758" s="197"/>
      <c r="AQ2758" s="197"/>
      <c r="AR2758" s="197"/>
      <c r="AS2758" s="197"/>
      <c r="AT2758" s="197"/>
      <c r="AU2758" s="197"/>
      <c r="AV2758" s="197"/>
      <c r="AW2758" s="197"/>
    </row>
    <row r="2759" spans="28:49" s="196" customFormat="1">
      <c r="AB2759" s="201"/>
      <c r="AC2759" s="201"/>
      <c r="AD2759" s="197"/>
      <c r="AE2759" s="197"/>
      <c r="AF2759" s="197"/>
      <c r="AG2759" s="197"/>
      <c r="AH2759" s="197"/>
      <c r="AI2759" s="197"/>
      <c r="AJ2759" s="197"/>
      <c r="AK2759" s="197"/>
      <c r="AL2759" s="197"/>
      <c r="AM2759" s="197"/>
      <c r="AN2759" s="197"/>
      <c r="AO2759" s="197"/>
      <c r="AP2759" s="197"/>
      <c r="AQ2759" s="197"/>
      <c r="AR2759" s="197"/>
      <c r="AS2759" s="197"/>
      <c r="AT2759" s="197"/>
      <c r="AU2759" s="197"/>
      <c r="AV2759" s="197"/>
      <c r="AW2759" s="197"/>
    </row>
    <row r="2760" spans="28:49" s="196" customFormat="1">
      <c r="AB2760" s="201"/>
      <c r="AC2760" s="201"/>
      <c r="AD2760" s="197"/>
      <c r="AE2760" s="197"/>
      <c r="AF2760" s="197"/>
      <c r="AG2760" s="197"/>
      <c r="AH2760" s="197"/>
      <c r="AI2760" s="197"/>
      <c r="AJ2760" s="197"/>
      <c r="AK2760" s="197"/>
      <c r="AL2760" s="197"/>
      <c r="AM2760" s="197"/>
      <c r="AN2760" s="197"/>
      <c r="AO2760" s="197"/>
      <c r="AP2760" s="197"/>
      <c r="AQ2760" s="197"/>
      <c r="AR2760" s="197"/>
      <c r="AS2760" s="197"/>
      <c r="AT2760" s="197"/>
      <c r="AU2760" s="197"/>
      <c r="AV2760" s="197"/>
      <c r="AW2760" s="197"/>
    </row>
    <row r="2761" spans="28:49" s="196" customFormat="1">
      <c r="AB2761" s="201"/>
      <c r="AC2761" s="201"/>
      <c r="AD2761" s="197"/>
      <c r="AE2761" s="197"/>
      <c r="AF2761" s="197"/>
      <c r="AG2761" s="197"/>
      <c r="AH2761" s="197"/>
      <c r="AI2761" s="197"/>
      <c r="AJ2761" s="197"/>
      <c r="AK2761" s="197"/>
      <c r="AL2761" s="197"/>
      <c r="AM2761" s="197"/>
      <c r="AN2761" s="197"/>
      <c r="AO2761" s="197"/>
      <c r="AP2761" s="197"/>
      <c r="AQ2761" s="197"/>
      <c r="AR2761" s="197"/>
      <c r="AS2761" s="197"/>
      <c r="AT2761" s="197"/>
      <c r="AU2761" s="197"/>
      <c r="AV2761" s="197"/>
      <c r="AW2761" s="197"/>
    </row>
    <row r="2762" spans="28:49" s="196" customFormat="1">
      <c r="AB2762" s="201"/>
      <c r="AC2762" s="201"/>
      <c r="AD2762" s="197"/>
      <c r="AE2762" s="197"/>
      <c r="AF2762" s="197"/>
      <c r="AG2762" s="197"/>
      <c r="AH2762" s="197"/>
      <c r="AI2762" s="197"/>
      <c r="AJ2762" s="197"/>
      <c r="AK2762" s="197"/>
      <c r="AL2762" s="197"/>
      <c r="AM2762" s="197"/>
      <c r="AN2762" s="197"/>
      <c r="AO2762" s="197"/>
      <c r="AP2762" s="197"/>
      <c r="AQ2762" s="197"/>
      <c r="AR2762" s="197"/>
      <c r="AS2762" s="197"/>
      <c r="AT2762" s="197"/>
      <c r="AU2762" s="197"/>
      <c r="AV2762" s="197"/>
      <c r="AW2762" s="197"/>
    </row>
    <row r="2763" spans="28:49" s="196" customFormat="1">
      <c r="AB2763" s="201"/>
      <c r="AC2763" s="201"/>
      <c r="AD2763" s="197"/>
      <c r="AE2763" s="197"/>
      <c r="AF2763" s="197"/>
      <c r="AG2763" s="197"/>
      <c r="AH2763" s="197"/>
      <c r="AI2763" s="197"/>
      <c r="AJ2763" s="197"/>
      <c r="AK2763" s="197"/>
      <c r="AL2763" s="197"/>
      <c r="AM2763" s="197"/>
      <c r="AN2763" s="197"/>
      <c r="AO2763" s="197"/>
      <c r="AP2763" s="197"/>
      <c r="AQ2763" s="197"/>
      <c r="AR2763" s="197"/>
      <c r="AS2763" s="197"/>
      <c r="AT2763" s="197"/>
      <c r="AU2763" s="197"/>
      <c r="AV2763" s="197"/>
      <c r="AW2763" s="197"/>
    </row>
    <row r="2764" spans="28:49" s="196" customFormat="1">
      <c r="AB2764" s="201"/>
      <c r="AC2764" s="201"/>
      <c r="AD2764" s="197"/>
      <c r="AE2764" s="197"/>
      <c r="AF2764" s="197"/>
      <c r="AG2764" s="197"/>
      <c r="AH2764" s="197"/>
      <c r="AI2764" s="197"/>
      <c r="AJ2764" s="197"/>
      <c r="AK2764" s="197"/>
      <c r="AL2764" s="197"/>
      <c r="AM2764" s="197"/>
      <c r="AN2764" s="197"/>
      <c r="AO2764" s="197"/>
      <c r="AP2764" s="197"/>
      <c r="AQ2764" s="197"/>
      <c r="AR2764" s="197"/>
      <c r="AS2764" s="197"/>
      <c r="AT2764" s="197"/>
      <c r="AU2764" s="197"/>
      <c r="AV2764" s="197"/>
      <c r="AW2764" s="197"/>
    </row>
    <row r="2765" spans="28:49" s="196" customFormat="1">
      <c r="AB2765" s="201"/>
      <c r="AC2765" s="201"/>
      <c r="AD2765" s="197"/>
      <c r="AE2765" s="197"/>
      <c r="AF2765" s="197"/>
      <c r="AG2765" s="197"/>
      <c r="AH2765" s="197"/>
      <c r="AI2765" s="197"/>
      <c r="AJ2765" s="197"/>
      <c r="AK2765" s="197"/>
      <c r="AL2765" s="197"/>
      <c r="AM2765" s="197"/>
      <c r="AN2765" s="197"/>
      <c r="AO2765" s="197"/>
      <c r="AP2765" s="197"/>
      <c r="AQ2765" s="197"/>
      <c r="AR2765" s="197"/>
      <c r="AS2765" s="197"/>
      <c r="AT2765" s="197"/>
      <c r="AU2765" s="197"/>
      <c r="AV2765" s="197"/>
      <c r="AW2765" s="197"/>
    </row>
    <row r="2766" spans="28:49" s="196" customFormat="1">
      <c r="AB2766" s="201"/>
      <c r="AC2766" s="201"/>
      <c r="AD2766" s="197"/>
      <c r="AE2766" s="197"/>
      <c r="AF2766" s="197"/>
      <c r="AG2766" s="197"/>
      <c r="AH2766" s="197"/>
      <c r="AI2766" s="197"/>
      <c r="AJ2766" s="197"/>
      <c r="AK2766" s="197"/>
      <c r="AL2766" s="197"/>
      <c r="AM2766" s="197"/>
      <c r="AN2766" s="197"/>
      <c r="AO2766" s="197"/>
      <c r="AP2766" s="197"/>
      <c r="AQ2766" s="197"/>
      <c r="AR2766" s="197"/>
      <c r="AS2766" s="197"/>
      <c r="AT2766" s="197"/>
      <c r="AU2766" s="197"/>
      <c r="AV2766" s="197"/>
      <c r="AW2766" s="197"/>
    </row>
    <row r="2767" spans="28:49" s="196" customFormat="1">
      <c r="AB2767" s="201"/>
      <c r="AC2767" s="201"/>
      <c r="AD2767" s="197"/>
      <c r="AE2767" s="197"/>
      <c r="AF2767" s="197"/>
      <c r="AG2767" s="197"/>
      <c r="AH2767" s="197"/>
      <c r="AI2767" s="197"/>
      <c r="AJ2767" s="197"/>
      <c r="AK2767" s="197"/>
      <c r="AL2767" s="197"/>
      <c r="AM2767" s="197"/>
      <c r="AN2767" s="197"/>
      <c r="AO2767" s="197"/>
      <c r="AP2767" s="197"/>
      <c r="AQ2767" s="197"/>
      <c r="AR2767" s="197"/>
      <c r="AS2767" s="197"/>
      <c r="AT2767" s="197"/>
      <c r="AU2767" s="197"/>
      <c r="AV2767" s="197"/>
      <c r="AW2767" s="197"/>
    </row>
    <row r="2768" spans="28:49" s="196" customFormat="1">
      <c r="AB2768" s="201"/>
      <c r="AC2768" s="201"/>
      <c r="AD2768" s="197"/>
      <c r="AE2768" s="197"/>
      <c r="AF2768" s="197"/>
      <c r="AG2768" s="197"/>
      <c r="AH2768" s="197"/>
      <c r="AI2768" s="197"/>
      <c r="AJ2768" s="197"/>
      <c r="AK2768" s="197"/>
      <c r="AL2768" s="197"/>
      <c r="AM2768" s="197"/>
      <c r="AN2768" s="197"/>
      <c r="AO2768" s="197"/>
      <c r="AP2768" s="197"/>
      <c r="AQ2768" s="197"/>
      <c r="AR2768" s="197"/>
      <c r="AS2768" s="197"/>
      <c r="AT2768" s="197"/>
      <c r="AU2768" s="197"/>
      <c r="AV2768" s="197"/>
      <c r="AW2768" s="197"/>
    </row>
    <row r="2769" spans="28:49" s="196" customFormat="1">
      <c r="AB2769" s="201"/>
      <c r="AC2769" s="201"/>
      <c r="AD2769" s="197"/>
      <c r="AE2769" s="197"/>
      <c r="AF2769" s="197"/>
      <c r="AG2769" s="197"/>
      <c r="AH2769" s="197"/>
      <c r="AI2769" s="197"/>
      <c r="AJ2769" s="197"/>
      <c r="AK2769" s="197"/>
      <c r="AL2769" s="197"/>
      <c r="AM2769" s="197"/>
      <c r="AN2769" s="197"/>
      <c r="AO2769" s="197"/>
      <c r="AP2769" s="197"/>
      <c r="AQ2769" s="197"/>
      <c r="AR2769" s="197"/>
      <c r="AS2769" s="197"/>
      <c r="AT2769" s="197"/>
      <c r="AU2769" s="197"/>
      <c r="AV2769" s="197"/>
      <c r="AW2769" s="197"/>
    </row>
    <row r="2770" spans="28:49" s="196" customFormat="1">
      <c r="AB2770" s="201"/>
      <c r="AC2770" s="201"/>
      <c r="AD2770" s="197"/>
      <c r="AE2770" s="197"/>
      <c r="AF2770" s="197"/>
      <c r="AG2770" s="197"/>
      <c r="AH2770" s="197"/>
      <c r="AI2770" s="197"/>
      <c r="AJ2770" s="197"/>
      <c r="AK2770" s="197"/>
      <c r="AL2770" s="197"/>
      <c r="AM2770" s="197"/>
      <c r="AN2770" s="197"/>
      <c r="AO2770" s="197"/>
      <c r="AP2770" s="197"/>
      <c r="AQ2770" s="197"/>
      <c r="AR2770" s="197"/>
      <c r="AS2770" s="197"/>
      <c r="AT2770" s="197"/>
      <c r="AU2770" s="197"/>
      <c r="AV2770" s="197"/>
      <c r="AW2770" s="197"/>
    </row>
    <row r="2771" spans="28:49" s="196" customFormat="1">
      <c r="AB2771" s="201"/>
      <c r="AC2771" s="201"/>
      <c r="AD2771" s="197"/>
      <c r="AE2771" s="197"/>
      <c r="AF2771" s="197"/>
      <c r="AG2771" s="197"/>
      <c r="AH2771" s="197"/>
      <c r="AI2771" s="197"/>
      <c r="AJ2771" s="197"/>
      <c r="AK2771" s="197"/>
      <c r="AL2771" s="197"/>
      <c r="AM2771" s="197"/>
      <c r="AN2771" s="197"/>
      <c r="AO2771" s="197"/>
      <c r="AP2771" s="197"/>
      <c r="AQ2771" s="197"/>
      <c r="AR2771" s="197"/>
      <c r="AS2771" s="197"/>
      <c r="AT2771" s="197"/>
      <c r="AU2771" s="197"/>
      <c r="AV2771" s="197"/>
      <c r="AW2771" s="197"/>
    </row>
    <row r="2772" spans="28:49" s="196" customFormat="1">
      <c r="AB2772" s="201"/>
      <c r="AC2772" s="201"/>
      <c r="AD2772" s="197"/>
      <c r="AE2772" s="197"/>
      <c r="AF2772" s="197"/>
      <c r="AG2772" s="197"/>
      <c r="AH2772" s="197"/>
      <c r="AI2772" s="197"/>
      <c r="AJ2772" s="197"/>
      <c r="AK2772" s="197"/>
      <c r="AL2772" s="197"/>
      <c r="AM2772" s="197"/>
      <c r="AN2772" s="197"/>
      <c r="AO2772" s="197"/>
      <c r="AP2772" s="197"/>
      <c r="AQ2772" s="197"/>
      <c r="AR2772" s="197"/>
      <c r="AS2772" s="197"/>
      <c r="AT2772" s="197"/>
      <c r="AU2772" s="197"/>
      <c r="AV2772" s="197"/>
      <c r="AW2772" s="197"/>
    </row>
    <row r="2773" spans="28:49" s="196" customFormat="1">
      <c r="AB2773" s="201"/>
      <c r="AC2773" s="201"/>
      <c r="AD2773" s="197"/>
      <c r="AE2773" s="197"/>
      <c r="AF2773" s="197"/>
      <c r="AG2773" s="197"/>
      <c r="AH2773" s="197"/>
      <c r="AI2773" s="197"/>
      <c r="AJ2773" s="197"/>
      <c r="AK2773" s="197"/>
      <c r="AL2773" s="197"/>
      <c r="AM2773" s="197"/>
      <c r="AN2773" s="197"/>
      <c r="AO2773" s="197"/>
      <c r="AP2773" s="197"/>
      <c r="AQ2773" s="197"/>
      <c r="AR2773" s="197"/>
      <c r="AS2773" s="197"/>
      <c r="AT2773" s="197"/>
      <c r="AU2773" s="197"/>
      <c r="AV2773" s="197"/>
      <c r="AW2773" s="197"/>
    </row>
    <row r="2774" spans="28:49" s="196" customFormat="1">
      <c r="AB2774" s="201"/>
      <c r="AC2774" s="201"/>
      <c r="AD2774" s="197"/>
      <c r="AE2774" s="197"/>
      <c r="AF2774" s="197"/>
      <c r="AG2774" s="197"/>
      <c r="AH2774" s="197"/>
      <c r="AI2774" s="197"/>
      <c r="AJ2774" s="197"/>
      <c r="AK2774" s="197"/>
      <c r="AL2774" s="197"/>
      <c r="AM2774" s="197"/>
      <c r="AN2774" s="197"/>
      <c r="AO2774" s="197"/>
      <c r="AP2774" s="197"/>
      <c r="AQ2774" s="197"/>
      <c r="AR2774" s="197"/>
      <c r="AS2774" s="197"/>
      <c r="AT2774" s="197"/>
      <c r="AU2774" s="197"/>
      <c r="AV2774" s="197"/>
      <c r="AW2774" s="197"/>
    </row>
    <row r="2775" spans="28:49" s="196" customFormat="1">
      <c r="AB2775" s="201"/>
      <c r="AC2775" s="201"/>
      <c r="AD2775" s="197"/>
      <c r="AE2775" s="197"/>
      <c r="AF2775" s="197"/>
      <c r="AG2775" s="197"/>
      <c r="AH2775" s="197"/>
      <c r="AI2775" s="197"/>
      <c r="AJ2775" s="197"/>
      <c r="AK2775" s="197"/>
      <c r="AL2775" s="197"/>
      <c r="AM2775" s="197"/>
      <c r="AN2775" s="197"/>
      <c r="AO2775" s="197"/>
      <c r="AP2775" s="197"/>
      <c r="AQ2775" s="197"/>
      <c r="AR2775" s="197"/>
      <c r="AS2775" s="197"/>
      <c r="AT2775" s="197"/>
      <c r="AU2775" s="197"/>
      <c r="AV2775" s="197"/>
      <c r="AW2775" s="197"/>
    </row>
    <row r="2776" spans="28:49" s="196" customFormat="1">
      <c r="AB2776" s="201"/>
      <c r="AC2776" s="201"/>
      <c r="AD2776" s="197"/>
      <c r="AE2776" s="197"/>
      <c r="AF2776" s="197"/>
      <c r="AG2776" s="197"/>
      <c r="AH2776" s="197"/>
      <c r="AI2776" s="197"/>
      <c r="AJ2776" s="197"/>
      <c r="AK2776" s="197"/>
      <c r="AL2776" s="197"/>
      <c r="AM2776" s="197"/>
      <c r="AN2776" s="197"/>
      <c r="AO2776" s="197"/>
      <c r="AP2776" s="197"/>
      <c r="AQ2776" s="197"/>
      <c r="AR2776" s="197"/>
      <c r="AS2776" s="197"/>
      <c r="AT2776" s="197"/>
      <c r="AU2776" s="197"/>
      <c r="AV2776" s="197"/>
      <c r="AW2776" s="197"/>
    </row>
    <row r="2777" spans="28:49" s="196" customFormat="1">
      <c r="AB2777" s="201"/>
      <c r="AC2777" s="201"/>
      <c r="AD2777" s="197"/>
      <c r="AE2777" s="197"/>
      <c r="AF2777" s="197"/>
      <c r="AG2777" s="197"/>
      <c r="AH2777" s="197"/>
      <c r="AI2777" s="197"/>
      <c r="AJ2777" s="197"/>
      <c r="AK2777" s="197"/>
      <c r="AL2777" s="197"/>
      <c r="AM2777" s="197"/>
      <c r="AN2777" s="197"/>
      <c r="AO2777" s="197"/>
      <c r="AP2777" s="197"/>
      <c r="AQ2777" s="197"/>
      <c r="AR2777" s="197"/>
      <c r="AS2777" s="197"/>
      <c r="AT2777" s="197"/>
      <c r="AU2777" s="197"/>
      <c r="AV2777" s="197"/>
      <c r="AW2777" s="197"/>
    </row>
    <row r="2778" spans="28:49" s="196" customFormat="1">
      <c r="AB2778" s="201"/>
      <c r="AC2778" s="201"/>
      <c r="AD2778" s="197"/>
      <c r="AE2778" s="197"/>
      <c r="AF2778" s="197"/>
      <c r="AG2778" s="197"/>
      <c r="AH2778" s="197"/>
      <c r="AI2778" s="197"/>
      <c r="AJ2778" s="197"/>
      <c r="AK2778" s="197"/>
      <c r="AL2778" s="197"/>
      <c r="AM2778" s="197"/>
      <c r="AN2778" s="197"/>
      <c r="AO2778" s="197"/>
      <c r="AP2778" s="197"/>
      <c r="AQ2778" s="197"/>
      <c r="AR2778" s="197"/>
      <c r="AS2778" s="197"/>
      <c r="AT2778" s="197"/>
      <c r="AU2778" s="197"/>
      <c r="AV2778" s="197"/>
      <c r="AW2778" s="197"/>
    </row>
    <row r="2779" spans="28:49" s="196" customFormat="1">
      <c r="AB2779" s="201"/>
      <c r="AC2779" s="201"/>
      <c r="AD2779" s="197"/>
      <c r="AE2779" s="197"/>
      <c r="AF2779" s="197"/>
      <c r="AG2779" s="197"/>
      <c r="AH2779" s="197"/>
      <c r="AI2779" s="197"/>
      <c r="AJ2779" s="197"/>
      <c r="AK2779" s="197"/>
      <c r="AL2779" s="197"/>
      <c r="AM2779" s="197"/>
      <c r="AN2779" s="197"/>
      <c r="AO2779" s="197"/>
      <c r="AP2779" s="197"/>
      <c r="AQ2779" s="197"/>
      <c r="AR2779" s="197"/>
      <c r="AS2779" s="197"/>
      <c r="AT2779" s="197"/>
      <c r="AU2779" s="197"/>
      <c r="AV2779" s="197"/>
      <c r="AW2779" s="197"/>
    </row>
    <row r="2780" spans="28:49" s="196" customFormat="1">
      <c r="AB2780" s="201"/>
      <c r="AC2780" s="201"/>
      <c r="AD2780" s="197"/>
      <c r="AE2780" s="197"/>
      <c r="AF2780" s="197"/>
      <c r="AG2780" s="197"/>
      <c r="AH2780" s="197"/>
      <c r="AI2780" s="197"/>
      <c r="AJ2780" s="197"/>
      <c r="AK2780" s="197"/>
      <c r="AL2780" s="197"/>
      <c r="AM2780" s="197"/>
      <c r="AN2780" s="197"/>
      <c r="AO2780" s="197"/>
      <c r="AP2780" s="197"/>
      <c r="AQ2780" s="197"/>
      <c r="AR2780" s="197"/>
      <c r="AS2780" s="197"/>
      <c r="AT2780" s="197"/>
      <c r="AU2780" s="197"/>
      <c r="AV2780" s="197"/>
      <c r="AW2780" s="197"/>
    </row>
    <row r="2781" spans="28:49" s="196" customFormat="1">
      <c r="AB2781" s="201"/>
      <c r="AC2781" s="201"/>
      <c r="AD2781" s="197"/>
      <c r="AE2781" s="197"/>
      <c r="AF2781" s="197"/>
      <c r="AG2781" s="197"/>
      <c r="AH2781" s="197"/>
      <c r="AI2781" s="197"/>
      <c r="AJ2781" s="197"/>
      <c r="AK2781" s="197"/>
      <c r="AL2781" s="197"/>
      <c r="AM2781" s="197"/>
      <c r="AN2781" s="197"/>
      <c r="AO2781" s="197"/>
      <c r="AP2781" s="197"/>
      <c r="AQ2781" s="197"/>
      <c r="AR2781" s="197"/>
      <c r="AS2781" s="197"/>
      <c r="AT2781" s="197"/>
      <c r="AU2781" s="197"/>
      <c r="AV2781" s="197"/>
      <c r="AW2781" s="197"/>
    </row>
    <row r="2782" spans="28:49" s="196" customFormat="1">
      <c r="AB2782" s="201"/>
      <c r="AC2782" s="201"/>
      <c r="AD2782" s="197"/>
      <c r="AE2782" s="197"/>
      <c r="AF2782" s="197"/>
      <c r="AG2782" s="197"/>
      <c r="AH2782" s="197"/>
      <c r="AI2782" s="197"/>
      <c r="AJ2782" s="197"/>
      <c r="AK2782" s="197"/>
      <c r="AL2782" s="197"/>
      <c r="AM2782" s="197"/>
      <c r="AN2782" s="197"/>
      <c r="AO2782" s="197"/>
      <c r="AP2782" s="197"/>
      <c r="AQ2782" s="197"/>
      <c r="AR2782" s="197"/>
      <c r="AS2782" s="197"/>
      <c r="AT2782" s="197"/>
      <c r="AU2782" s="197"/>
      <c r="AV2782" s="197"/>
      <c r="AW2782" s="197"/>
    </row>
    <row r="2783" spans="28:49" s="196" customFormat="1">
      <c r="AB2783" s="201"/>
      <c r="AC2783" s="201"/>
      <c r="AD2783" s="197"/>
      <c r="AE2783" s="197"/>
      <c r="AF2783" s="197"/>
      <c r="AG2783" s="197"/>
      <c r="AH2783" s="197"/>
      <c r="AI2783" s="197"/>
      <c r="AJ2783" s="197"/>
      <c r="AK2783" s="197"/>
      <c r="AL2783" s="197"/>
      <c r="AM2783" s="197"/>
      <c r="AN2783" s="197"/>
      <c r="AO2783" s="197"/>
      <c r="AP2783" s="197"/>
      <c r="AQ2783" s="197"/>
      <c r="AR2783" s="197"/>
      <c r="AS2783" s="197"/>
      <c r="AT2783" s="197"/>
      <c r="AU2783" s="197"/>
      <c r="AV2783" s="197"/>
      <c r="AW2783" s="197"/>
    </row>
    <row r="2784" spans="28:49" s="196" customFormat="1">
      <c r="AB2784" s="201"/>
      <c r="AC2784" s="201"/>
      <c r="AD2784" s="197"/>
      <c r="AE2784" s="197"/>
      <c r="AF2784" s="197"/>
      <c r="AG2784" s="197"/>
      <c r="AH2784" s="197"/>
      <c r="AI2784" s="197"/>
      <c r="AJ2784" s="197"/>
      <c r="AK2784" s="197"/>
      <c r="AL2784" s="197"/>
      <c r="AM2784" s="197"/>
      <c r="AN2784" s="197"/>
      <c r="AO2784" s="197"/>
      <c r="AP2784" s="197"/>
      <c r="AQ2784" s="197"/>
      <c r="AR2784" s="197"/>
      <c r="AS2784" s="197"/>
      <c r="AT2784" s="197"/>
      <c r="AU2784" s="197"/>
      <c r="AV2784" s="197"/>
      <c r="AW2784" s="197"/>
    </row>
    <row r="2785" spans="28:49" s="196" customFormat="1">
      <c r="AB2785" s="201"/>
      <c r="AC2785" s="201"/>
      <c r="AD2785" s="197"/>
      <c r="AE2785" s="197"/>
      <c r="AF2785" s="197"/>
      <c r="AG2785" s="197"/>
      <c r="AH2785" s="197"/>
      <c r="AI2785" s="197"/>
      <c r="AJ2785" s="197"/>
      <c r="AK2785" s="197"/>
      <c r="AL2785" s="197"/>
      <c r="AM2785" s="197"/>
      <c r="AN2785" s="197"/>
      <c r="AO2785" s="197"/>
      <c r="AP2785" s="197"/>
      <c r="AQ2785" s="197"/>
      <c r="AR2785" s="197"/>
      <c r="AS2785" s="197"/>
      <c r="AT2785" s="197"/>
      <c r="AU2785" s="197"/>
      <c r="AV2785" s="197"/>
      <c r="AW2785" s="197"/>
    </row>
    <row r="2786" spans="28:49" s="196" customFormat="1">
      <c r="AB2786" s="201"/>
      <c r="AC2786" s="201"/>
      <c r="AD2786" s="197"/>
      <c r="AE2786" s="197"/>
      <c r="AF2786" s="197"/>
      <c r="AG2786" s="197"/>
      <c r="AH2786" s="197"/>
      <c r="AI2786" s="197"/>
      <c r="AJ2786" s="197"/>
      <c r="AK2786" s="197"/>
      <c r="AL2786" s="197"/>
      <c r="AM2786" s="197"/>
      <c r="AN2786" s="197"/>
      <c r="AO2786" s="197"/>
      <c r="AP2786" s="197"/>
      <c r="AQ2786" s="197"/>
      <c r="AR2786" s="197"/>
      <c r="AS2786" s="197"/>
      <c r="AT2786" s="197"/>
      <c r="AU2786" s="197"/>
      <c r="AV2786" s="197"/>
      <c r="AW2786" s="197"/>
    </row>
    <row r="2787" spans="28:49" s="196" customFormat="1">
      <c r="AB2787" s="201"/>
      <c r="AC2787" s="201"/>
      <c r="AD2787" s="197"/>
      <c r="AE2787" s="197"/>
      <c r="AF2787" s="197"/>
      <c r="AG2787" s="197"/>
      <c r="AH2787" s="197"/>
      <c r="AI2787" s="197"/>
      <c r="AJ2787" s="197"/>
      <c r="AK2787" s="197"/>
      <c r="AL2787" s="197"/>
      <c r="AM2787" s="197"/>
      <c r="AN2787" s="197"/>
      <c r="AO2787" s="197"/>
      <c r="AP2787" s="197"/>
      <c r="AQ2787" s="197"/>
      <c r="AR2787" s="197"/>
      <c r="AS2787" s="197"/>
      <c r="AT2787" s="197"/>
      <c r="AU2787" s="197"/>
      <c r="AV2787" s="197"/>
      <c r="AW2787" s="197"/>
    </row>
    <row r="2788" spans="28:49" s="196" customFormat="1">
      <c r="AB2788" s="201"/>
      <c r="AC2788" s="201"/>
      <c r="AD2788" s="197"/>
      <c r="AE2788" s="197"/>
      <c r="AF2788" s="197"/>
      <c r="AG2788" s="197"/>
      <c r="AH2788" s="197"/>
      <c r="AI2788" s="197"/>
      <c r="AJ2788" s="197"/>
      <c r="AK2788" s="197"/>
      <c r="AL2788" s="197"/>
      <c r="AM2788" s="197"/>
      <c r="AN2788" s="197"/>
      <c r="AO2788" s="197"/>
      <c r="AP2788" s="197"/>
      <c r="AQ2788" s="197"/>
      <c r="AR2788" s="197"/>
      <c r="AS2788" s="197"/>
      <c r="AT2788" s="197"/>
      <c r="AU2788" s="197"/>
      <c r="AV2788" s="197"/>
      <c r="AW2788" s="197"/>
    </row>
    <row r="2789" spans="28:49" s="196" customFormat="1">
      <c r="AB2789" s="201"/>
      <c r="AC2789" s="201"/>
      <c r="AD2789" s="197"/>
      <c r="AE2789" s="197"/>
      <c r="AF2789" s="197"/>
      <c r="AG2789" s="197"/>
      <c r="AH2789" s="197"/>
      <c r="AI2789" s="197"/>
      <c r="AJ2789" s="197"/>
      <c r="AK2789" s="197"/>
      <c r="AL2789" s="197"/>
      <c r="AM2789" s="197"/>
      <c r="AN2789" s="197"/>
      <c r="AO2789" s="197"/>
      <c r="AP2789" s="197"/>
      <c r="AQ2789" s="197"/>
      <c r="AR2789" s="197"/>
      <c r="AS2789" s="197"/>
      <c r="AT2789" s="197"/>
      <c r="AU2789" s="197"/>
      <c r="AV2789" s="197"/>
      <c r="AW2789" s="197"/>
    </row>
    <row r="2790" spans="28:49" s="196" customFormat="1">
      <c r="AB2790" s="201"/>
      <c r="AC2790" s="201"/>
      <c r="AD2790" s="197"/>
      <c r="AE2790" s="197"/>
      <c r="AF2790" s="197"/>
      <c r="AG2790" s="197"/>
      <c r="AH2790" s="197"/>
      <c r="AI2790" s="197"/>
      <c r="AJ2790" s="197"/>
      <c r="AK2790" s="197"/>
      <c r="AL2790" s="197"/>
      <c r="AM2790" s="197"/>
      <c r="AN2790" s="197"/>
      <c r="AO2790" s="197"/>
      <c r="AP2790" s="197"/>
      <c r="AQ2790" s="197"/>
      <c r="AR2790" s="197"/>
      <c r="AS2790" s="197"/>
      <c r="AT2790" s="197"/>
      <c r="AU2790" s="197"/>
      <c r="AV2790" s="197"/>
      <c r="AW2790" s="197"/>
    </row>
    <row r="2791" spans="28:49" s="196" customFormat="1">
      <c r="AB2791" s="201"/>
      <c r="AC2791" s="201"/>
      <c r="AD2791" s="197"/>
      <c r="AE2791" s="197"/>
      <c r="AF2791" s="197"/>
      <c r="AG2791" s="197"/>
      <c r="AH2791" s="197"/>
      <c r="AI2791" s="197"/>
      <c r="AJ2791" s="197"/>
      <c r="AK2791" s="197"/>
      <c r="AL2791" s="197"/>
      <c r="AM2791" s="197"/>
      <c r="AN2791" s="197"/>
      <c r="AO2791" s="197"/>
      <c r="AP2791" s="197"/>
      <c r="AQ2791" s="197"/>
      <c r="AR2791" s="197"/>
      <c r="AS2791" s="197"/>
      <c r="AT2791" s="197"/>
      <c r="AU2791" s="197"/>
      <c r="AV2791" s="197"/>
      <c r="AW2791" s="197"/>
    </row>
    <row r="2792" spans="28:49" s="196" customFormat="1">
      <c r="AB2792" s="201"/>
      <c r="AC2792" s="201"/>
      <c r="AD2792" s="197"/>
      <c r="AE2792" s="197"/>
      <c r="AF2792" s="197"/>
      <c r="AG2792" s="197"/>
      <c r="AH2792" s="197"/>
      <c r="AI2792" s="197"/>
      <c r="AJ2792" s="197"/>
      <c r="AK2792" s="197"/>
      <c r="AL2792" s="197"/>
      <c r="AM2792" s="197"/>
      <c r="AN2792" s="197"/>
      <c r="AO2792" s="197"/>
      <c r="AP2792" s="197"/>
      <c r="AQ2792" s="197"/>
      <c r="AR2792" s="197"/>
      <c r="AS2792" s="197"/>
      <c r="AT2792" s="197"/>
      <c r="AU2792" s="197"/>
      <c r="AV2792" s="197"/>
      <c r="AW2792" s="197"/>
    </row>
    <row r="2793" spans="28:49" s="196" customFormat="1">
      <c r="AB2793" s="201"/>
      <c r="AC2793" s="201"/>
      <c r="AD2793" s="197"/>
      <c r="AE2793" s="197"/>
      <c r="AF2793" s="197"/>
      <c r="AG2793" s="197"/>
      <c r="AH2793" s="197"/>
      <c r="AI2793" s="197"/>
      <c r="AJ2793" s="197"/>
      <c r="AK2793" s="197"/>
      <c r="AL2793" s="197"/>
      <c r="AM2793" s="197"/>
      <c r="AN2793" s="197"/>
      <c r="AO2793" s="197"/>
      <c r="AP2793" s="197"/>
      <c r="AQ2793" s="197"/>
      <c r="AR2793" s="197"/>
      <c r="AS2793" s="197"/>
      <c r="AT2793" s="197"/>
      <c r="AU2793" s="197"/>
      <c r="AV2793" s="197"/>
      <c r="AW2793" s="197"/>
    </row>
    <row r="2794" spans="28:49" s="196" customFormat="1">
      <c r="AB2794" s="201"/>
      <c r="AC2794" s="201"/>
      <c r="AD2794" s="197"/>
      <c r="AE2794" s="197"/>
      <c r="AF2794" s="197"/>
      <c r="AG2794" s="197"/>
      <c r="AH2794" s="197"/>
      <c r="AI2794" s="197"/>
      <c r="AJ2794" s="197"/>
      <c r="AK2794" s="197"/>
      <c r="AL2794" s="197"/>
      <c r="AM2794" s="197"/>
      <c r="AN2794" s="197"/>
      <c r="AO2794" s="197"/>
      <c r="AP2794" s="197"/>
      <c r="AQ2794" s="197"/>
      <c r="AR2794" s="197"/>
      <c r="AS2794" s="197"/>
      <c r="AT2794" s="197"/>
      <c r="AU2794" s="197"/>
      <c r="AV2794" s="197"/>
      <c r="AW2794" s="197"/>
    </row>
    <row r="2795" spans="28:49" s="196" customFormat="1">
      <c r="AB2795" s="201"/>
      <c r="AC2795" s="201"/>
      <c r="AD2795" s="197"/>
      <c r="AE2795" s="197"/>
      <c r="AF2795" s="197"/>
      <c r="AG2795" s="197"/>
      <c r="AH2795" s="197"/>
      <c r="AI2795" s="197"/>
      <c r="AJ2795" s="197"/>
      <c r="AK2795" s="197"/>
      <c r="AL2795" s="197"/>
      <c r="AM2795" s="197"/>
      <c r="AN2795" s="197"/>
      <c r="AO2795" s="197"/>
      <c r="AP2795" s="197"/>
      <c r="AQ2795" s="197"/>
      <c r="AR2795" s="197"/>
      <c r="AS2795" s="197"/>
      <c r="AT2795" s="197"/>
      <c r="AU2795" s="197"/>
      <c r="AV2795" s="197"/>
      <c r="AW2795" s="197"/>
    </row>
    <row r="2796" spans="28:49" s="196" customFormat="1">
      <c r="AB2796" s="201"/>
      <c r="AC2796" s="201"/>
      <c r="AD2796" s="197"/>
      <c r="AE2796" s="197"/>
      <c r="AF2796" s="197"/>
      <c r="AG2796" s="197"/>
      <c r="AH2796" s="197"/>
      <c r="AI2796" s="197"/>
      <c r="AJ2796" s="197"/>
      <c r="AK2796" s="197"/>
      <c r="AL2796" s="197"/>
      <c r="AM2796" s="197"/>
      <c r="AN2796" s="197"/>
      <c r="AO2796" s="197"/>
      <c r="AP2796" s="197"/>
      <c r="AQ2796" s="197"/>
      <c r="AR2796" s="197"/>
      <c r="AS2796" s="197"/>
      <c r="AT2796" s="197"/>
      <c r="AU2796" s="197"/>
      <c r="AV2796" s="197"/>
      <c r="AW2796" s="197"/>
    </row>
    <row r="2797" spans="28:49" s="196" customFormat="1">
      <c r="AB2797" s="201"/>
      <c r="AC2797" s="201"/>
      <c r="AD2797" s="197"/>
      <c r="AE2797" s="197"/>
      <c r="AF2797" s="197"/>
      <c r="AG2797" s="197"/>
      <c r="AH2797" s="197"/>
      <c r="AI2797" s="197"/>
      <c r="AJ2797" s="197"/>
      <c r="AK2797" s="197"/>
      <c r="AL2797" s="197"/>
      <c r="AM2797" s="197"/>
      <c r="AN2797" s="197"/>
      <c r="AO2797" s="197"/>
      <c r="AP2797" s="197"/>
      <c r="AQ2797" s="197"/>
      <c r="AR2797" s="197"/>
      <c r="AS2797" s="197"/>
      <c r="AT2797" s="197"/>
      <c r="AU2797" s="197"/>
      <c r="AV2797" s="197"/>
      <c r="AW2797" s="197"/>
    </row>
    <row r="2798" spans="28:49" s="196" customFormat="1">
      <c r="AB2798" s="201"/>
      <c r="AC2798" s="201"/>
      <c r="AD2798" s="197"/>
      <c r="AE2798" s="197"/>
      <c r="AF2798" s="197"/>
      <c r="AG2798" s="197"/>
      <c r="AH2798" s="197"/>
      <c r="AI2798" s="197"/>
      <c r="AJ2798" s="197"/>
      <c r="AK2798" s="197"/>
      <c r="AL2798" s="197"/>
      <c r="AM2798" s="197"/>
      <c r="AN2798" s="197"/>
      <c r="AO2798" s="197"/>
      <c r="AP2798" s="197"/>
      <c r="AQ2798" s="197"/>
      <c r="AR2798" s="197"/>
      <c r="AS2798" s="197"/>
      <c r="AT2798" s="197"/>
      <c r="AU2798" s="197"/>
      <c r="AV2798" s="197"/>
      <c r="AW2798" s="197"/>
    </row>
    <row r="2799" spans="28:49" s="196" customFormat="1">
      <c r="AB2799" s="201"/>
      <c r="AC2799" s="201"/>
      <c r="AD2799" s="197"/>
      <c r="AE2799" s="197"/>
      <c r="AF2799" s="197"/>
      <c r="AG2799" s="197"/>
      <c r="AH2799" s="197"/>
      <c r="AI2799" s="197"/>
      <c r="AJ2799" s="197"/>
      <c r="AK2799" s="197"/>
      <c r="AL2799" s="197"/>
      <c r="AM2799" s="197"/>
      <c r="AN2799" s="197"/>
      <c r="AO2799" s="197"/>
      <c r="AP2799" s="197"/>
      <c r="AQ2799" s="197"/>
      <c r="AR2799" s="197"/>
      <c r="AS2799" s="197"/>
      <c r="AT2799" s="197"/>
      <c r="AU2799" s="197"/>
      <c r="AV2799" s="197"/>
      <c r="AW2799" s="197"/>
    </row>
    <row r="2800" spans="28:49" s="196" customFormat="1">
      <c r="AB2800" s="201"/>
      <c r="AC2800" s="201"/>
      <c r="AD2800" s="197"/>
      <c r="AE2800" s="197"/>
      <c r="AF2800" s="197"/>
      <c r="AG2800" s="197"/>
      <c r="AH2800" s="197"/>
      <c r="AI2800" s="197"/>
      <c r="AJ2800" s="197"/>
      <c r="AK2800" s="197"/>
      <c r="AL2800" s="197"/>
      <c r="AM2800" s="197"/>
      <c r="AN2800" s="197"/>
      <c r="AO2800" s="197"/>
      <c r="AP2800" s="197"/>
      <c r="AQ2800" s="197"/>
      <c r="AR2800" s="197"/>
      <c r="AS2800" s="197"/>
      <c r="AT2800" s="197"/>
      <c r="AU2800" s="197"/>
      <c r="AV2800" s="197"/>
      <c r="AW2800" s="197"/>
    </row>
    <row r="2801" spans="28:49" s="196" customFormat="1">
      <c r="AB2801" s="201"/>
      <c r="AC2801" s="201"/>
      <c r="AD2801" s="197"/>
      <c r="AE2801" s="197"/>
      <c r="AF2801" s="197"/>
      <c r="AG2801" s="197"/>
      <c r="AH2801" s="197"/>
      <c r="AI2801" s="197"/>
      <c r="AJ2801" s="197"/>
      <c r="AK2801" s="197"/>
      <c r="AL2801" s="197"/>
      <c r="AM2801" s="197"/>
      <c r="AN2801" s="197"/>
      <c r="AO2801" s="197"/>
      <c r="AP2801" s="197"/>
      <c r="AQ2801" s="197"/>
      <c r="AR2801" s="197"/>
      <c r="AS2801" s="197"/>
      <c r="AT2801" s="197"/>
      <c r="AU2801" s="197"/>
      <c r="AV2801" s="197"/>
      <c r="AW2801" s="197"/>
    </row>
    <row r="2802" spans="28:49" s="196" customFormat="1">
      <c r="AB2802" s="201"/>
      <c r="AC2802" s="201"/>
      <c r="AD2802" s="197"/>
      <c r="AE2802" s="197"/>
      <c r="AF2802" s="197"/>
      <c r="AG2802" s="197"/>
      <c r="AH2802" s="197"/>
      <c r="AI2802" s="197"/>
      <c r="AJ2802" s="197"/>
      <c r="AK2802" s="197"/>
      <c r="AL2802" s="197"/>
      <c r="AM2802" s="197"/>
      <c r="AN2802" s="197"/>
      <c r="AO2802" s="197"/>
      <c r="AP2802" s="197"/>
      <c r="AQ2802" s="197"/>
      <c r="AR2802" s="197"/>
      <c r="AS2802" s="197"/>
      <c r="AT2802" s="197"/>
      <c r="AU2802" s="197"/>
      <c r="AV2802" s="197"/>
      <c r="AW2802" s="197"/>
    </row>
    <row r="2803" spans="28:49" s="196" customFormat="1">
      <c r="AB2803" s="201"/>
      <c r="AC2803" s="201"/>
      <c r="AD2803" s="197"/>
      <c r="AE2803" s="197"/>
      <c r="AF2803" s="197"/>
      <c r="AG2803" s="197"/>
      <c r="AH2803" s="197"/>
      <c r="AI2803" s="197"/>
      <c r="AJ2803" s="197"/>
      <c r="AK2803" s="197"/>
      <c r="AL2803" s="197"/>
      <c r="AM2803" s="197"/>
      <c r="AN2803" s="197"/>
      <c r="AO2803" s="197"/>
      <c r="AP2803" s="197"/>
      <c r="AQ2803" s="197"/>
      <c r="AR2803" s="197"/>
      <c r="AS2803" s="197"/>
      <c r="AT2803" s="197"/>
      <c r="AU2803" s="197"/>
      <c r="AV2803" s="197"/>
      <c r="AW2803" s="197"/>
    </row>
    <row r="2804" spans="28:49" s="196" customFormat="1">
      <c r="AB2804" s="201"/>
      <c r="AC2804" s="201"/>
      <c r="AD2804" s="197"/>
      <c r="AE2804" s="197"/>
      <c r="AF2804" s="197"/>
      <c r="AG2804" s="197"/>
      <c r="AH2804" s="197"/>
      <c r="AI2804" s="197"/>
      <c r="AJ2804" s="197"/>
      <c r="AK2804" s="197"/>
      <c r="AL2804" s="197"/>
      <c r="AM2804" s="197"/>
      <c r="AN2804" s="197"/>
      <c r="AO2804" s="197"/>
      <c r="AP2804" s="197"/>
      <c r="AQ2804" s="197"/>
      <c r="AR2804" s="197"/>
      <c r="AS2804" s="197"/>
      <c r="AT2804" s="197"/>
      <c r="AU2804" s="197"/>
      <c r="AV2804" s="197"/>
      <c r="AW2804" s="197"/>
    </row>
    <row r="2805" spans="28:49" s="196" customFormat="1">
      <c r="AB2805" s="201"/>
      <c r="AC2805" s="201"/>
      <c r="AD2805" s="197"/>
      <c r="AE2805" s="197"/>
      <c r="AF2805" s="197"/>
      <c r="AG2805" s="197"/>
      <c r="AH2805" s="197"/>
      <c r="AI2805" s="197"/>
      <c r="AJ2805" s="197"/>
      <c r="AK2805" s="197"/>
      <c r="AL2805" s="197"/>
      <c r="AM2805" s="197"/>
      <c r="AN2805" s="197"/>
      <c r="AO2805" s="197"/>
      <c r="AP2805" s="197"/>
      <c r="AQ2805" s="197"/>
      <c r="AR2805" s="197"/>
      <c r="AS2805" s="197"/>
      <c r="AT2805" s="197"/>
      <c r="AU2805" s="197"/>
      <c r="AV2805" s="197"/>
      <c r="AW2805" s="197"/>
    </row>
    <row r="2806" spans="28:49" s="196" customFormat="1">
      <c r="AB2806" s="201"/>
      <c r="AC2806" s="201"/>
      <c r="AD2806" s="197"/>
      <c r="AE2806" s="197"/>
      <c r="AF2806" s="197"/>
      <c r="AG2806" s="197"/>
      <c r="AH2806" s="197"/>
      <c r="AI2806" s="197"/>
      <c r="AJ2806" s="197"/>
      <c r="AK2806" s="197"/>
      <c r="AL2806" s="197"/>
      <c r="AM2806" s="197"/>
      <c r="AN2806" s="197"/>
      <c r="AO2806" s="197"/>
      <c r="AP2806" s="197"/>
      <c r="AQ2806" s="197"/>
      <c r="AR2806" s="197"/>
      <c r="AS2806" s="197"/>
      <c r="AT2806" s="197"/>
      <c r="AU2806" s="197"/>
      <c r="AV2806" s="197"/>
      <c r="AW2806" s="197"/>
    </row>
    <row r="2807" spans="28:49" s="196" customFormat="1">
      <c r="AB2807" s="201"/>
      <c r="AC2807" s="201"/>
      <c r="AD2807" s="197"/>
      <c r="AE2807" s="197"/>
      <c r="AF2807" s="197"/>
      <c r="AG2807" s="197"/>
      <c r="AH2807" s="197"/>
      <c r="AI2807" s="197"/>
      <c r="AJ2807" s="197"/>
      <c r="AK2807" s="197"/>
      <c r="AL2807" s="197"/>
      <c r="AM2807" s="197"/>
      <c r="AN2807" s="197"/>
      <c r="AO2807" s="197"/>
      <c r="AP2807" s="197"/>
      <c r="AQ2807" s="197"/>
      <c r="AR2807" s="197"/>
      <c r="AS2807" s="197"/>
      <c r="AT2807" s="197"/>
      <c r="AU2807" s="197"/>
      <c r="AV2807" s="197"/>
      <c r="AW2807" s="197"/>
    </row>
    <row r="2808" spans="28:49" s="196" customFormat="1">
      <c r="AB2808" s="201"/>
      <c r="AC2808" s="201"/>
      <c r="AD2808" s="197"/>
      <c r="AE2808" s="197"/>
      <c r="AF2808" s="197"/>
      <c r="AG2808" s="197"/>
      <c r="AH2808" s="197"/>
      <c r="AI2808" s="197"/>
      <c r="AJ2808" s="197"/>
      <c r="AK2808" s="197"/>
      <c r="AL2808" s="197"/>
      <c r="AM2808" s="197"/>
      <c r="AN2808" s="197"/>
      <c r="AO2808" s="197"/>
      <c r="AP2808" s="197"/>
      <c r="AQ2808" s="197"/>
      <c r="AR2808" s="197"/>
      <c r="AS2808" s="197"/>
      <c r="AT2808" s="197"/>
      <c r="AU2808" s="197"/>
      <c r="AV2808" s="197"/>
      <c r="AW2808" s="197"/>
    </row>
    <row r="2809" spans="28:49" s="196" customFormat="1">
      <c r="AB2809" s="201"/>
      <c r="AC2809" s="201"/>
      <c r="AD2809" s="197"/>
      <c r="AE2809" s="197"/>
      <c r="AF2809" s="197"/>
      <c r="AG2809" s="197"/>
      <c r="AH2809" s="197"/>
      <c r="AI2809" s="197"/>
      <c r="AJ2809" s="197"/>
      <c r="AK2809" s="197"/>
      <c r="AL2809" s="197"/>
      <c r="AM2809" s="197"/>
      <c r="AN2809" s="197"/>
      <c r="AO2809" s="197"/>
      <c r="AP2809" s="197"/>
      <c r="AQ2809" s="197"/>
      <c r="AR2809" s="197"/>
      <c r="AS2809" s="197"/>
      <c r="AT2809" s="197"/>
      <c r="AU2809" s="197"/>
      <c r="AV2809" s="197"/>
      <c r="AW2809" s="197"/>
    </row>
    <row r="2810" spans="28:49" s="196" customFormat="1">
      <c r="AB2810" s="201"/>
      <c r="AC2810" s="201"/>
      <c r="AD2810" s="197"/>
      <c r="AE2810" s="197"/>
      <c r="AF2810" s="197"/>
      <c r="AG2810" s="197"/>
      <c r="AH2810" s="197"/>
      <c r="AI2810" s="197"/>
      <c r="AJ2810" s="197"/>
      <c r="AK2810" s="197"/>
      <c r="AL2810" s="197"/>
      <c r="AM2810" s="197"/>
      <c r="AN2810" s="197"/>
      <c r="AO2810" s="197"/>
      <c r="AP2810" s="197"/>
      <c r="AQ2810" s="197"/>
      <c r="AR2810" s="197"/>
      <c r="AS2810" s="197"/>
      <c r="AT2810" s="197"/>
      <c r="AU2810" s="197"/>
      <c r="AV2810" s="197"/>
      <c r="AW2810" s="197"/>
    </row>
    <row r="2811" spans="28:49" s="196" customFormat="1">
      <c r="AB2811" s="201"/>
      <c r="AC2811" s="201"/>
      <c r="AD2811" s="197"/>
      <c r="AE2811" s="197"/>
      <c r="AF2811" s="197"/>
      <c r="AG2811" s="197"/>
      <c r="AH2811" s="197"/>
      <c r="AI2811" s="197"/>
      <c r="AJ2811" s="197"/>
      <c r="AK2811" s="197"/>
      <c r="AL2811" s="197"/>
      <c r="AM2811" s="197"/>
      <c r="AN2811" s="197"/>
      <c r="AO2811" s="197"/>
      <c r="AP2811" s="197"/>
      <c r="AQ2811" s="197"/>
      <c r="AR2811" s="197"/>
      <c r="AS2811" s="197"/>
      <c r="AT2811" s="197"/>
      <c r="AU2811" s="197"/>
      <c r="AV2811" s="197"/>
      <c r="AW2811" s="197"/>
    </row>
    <row r="2812" spans="28:49" s="196" customFormat="1">
      <c r="AB2812" s="201"/>
      <c r="AC2812" s="201"/>
      <c r="AD2812" s="197"/>
      <c r="AE2812" s="197"/>
      <c r="AF2812" s="197"/>
      <c r="AG2812" s="197"/>
      <c r="AH2812" s="197"/>
      <c r="AI2812" s="197"/>
      <c r="AJ2812" s="197"/>
      <c r="AK2812" s="197"/>
      <c r="AL2812" s="197"/>
      <c r="AM2812" s="197"/>
      <c r="AN2812" s="197"/>
      <c r="AO2812" s="197"/>
      <c r="AP2812" s="197"/>
      <c r="AQ2812" s="197"/>
      <c r="AR2812" s="197"/>
      <c r="AS2812" s="197"/>
      <c r="AT2812" s="197"/>
      <c r="AU2812" s="197"/>
      <c r="AV2812" s="197"/>
      <c r="AW2812" s="197"/>
    </row>
    <row r="2813" spans="28:49" s="196" customFormat="1">
      <c r="AB2813" s="201"/>
      <c r="AC2813" s="201"/>
      <c r="AD2813" s="197"/>
      <c r="AE2813" s="197"/>
      <c r="AF2813" s="197"/>
      <c r="AG2813" s="197"/>
      <c r="AH2813" s="197"/>
      <c r="AI2813" s="197"/>
      <c r="AJ2813" s="197"/>
      <c r="AK2813" s="197"/>
      <c r="AL2813" s="197"/>
      <c r="AM2813" s="197"/>
      <c r="AN2813" s="197"/>
      <c r="AO2813" s="197"/>
      <c r="AP2813" s="197"/>
      <c r="AQ2813" s="197"/>
      <c r="AR2813" s="197"/>
      <c r="AS2813" s="197"/>
      <c r="AT2813" s="197"/>
      <c r="AU2813" s="197"/>
      <c r="AV2813" s="197"/>
      <c r="AW2813" s="197"/>
    </row>
    <row r="2814" spans="28:49" s="196" customFormat="1">
      <c r="AB2814" s="201"/>
      <c r="AC2814" s="201"/>
      <c r="AD2814" s="197"/>
      <c r="AE2814" s="197"/>
      <c r="AF2814" s="197"/>
      <c r="AG2814" s="197"/>
      <c r="AH2814" s="197"/>
      <c r="AI2814" s="197"/>
      <c r="AJ2814" s="197"/>
      <c r="AK2814" s="197"/>
      <c r="AL2814" s="197"/>
      <c r="AM2814" s="197"/>
      <c r="AN2814" s="197"/>
      <c r="AO2814" s="197"/>
      <c r="AP2814" s="197"/>
      <c r="AQ2814" s="197"/>
      <c r="AR2814" s="197"/>
      <c r="AS2814" s="197"/>
      <c r="AT2814" s="197"/>
      <c r="AU2814" s="197"/>
      <c r="AV2814" s="197"/>
      <c r="AW2814" s="197"/>
    </row>
    <row r="2815" spans="28:49" s="196" customFormat="1">
      <c r="AB2815" s="201"/>
      <c r="AC2815" s="201"/>
      <c r="AD2815" s="197"/>
      <c r="AE2815" s="197"/>
      <c r="AF2815" s="197"/>
      <c r="AG2815" s="197"/>
      <c r="AH2815" s="197"/>
      <c r="AI2815" s="197"/>
      <c r="AJ2815" s="197"/>
      <c r="AK2815" s="197"/>
      <c r="AL2815" s="197"/>
      <c r="AM2815" s="197"/>
      <c r="AN2815" s="197"/>
      <c r="AO2815" s="197"/>
      <c r="AP2815" s="197"/>
      <c r="AQ2815" s="197"/>
      <c r="AR2815" s="197"/>
      <c r="AS2815" s="197"/>
      <c r="AT2815" s="197"/>
      <c r="AU2815" s="197"/>
      <c r="AV2815" s="197"/>
      <c r="AW2815" s="197"/>
    </row>
    <row r="2816" spans="28:49" s="196" customFormat="1">
      <c r="AB2816" s="201"/>
      <c r="AC2816" s="201"/>
      <c r="AD2816" s="197"/>
      <c r="AE2816" s="197"/>
      <c r="AF2816" s="197"/>
      <c r="AG2816" s="197"/>
      <c r="AH2816" s="197"/>
      <c r="AI2816" s="197"/>
      <c r="AJ2816" s="197"/>
      <c r="AK2816" s="197"/>
      <c r="AL2816" s="197"/>
      <c r="AM2816" s="197"/>
      <c r="AN2816" s="197"/>
      <c r="AO2816" s="197"/>
      <c r="AP2816" s="197"/>
      <c r="AQ2816" s="197"/>
      <c r="AR2816" s="197"/>
      <c r="AS2816" s="197"/>
      <c r="AT2816" s="197"/>
      <c r="AU2816" s="197"/>
      <c r="AV2816" s="197"/>
      <c r="AW2816" s="197"/>
    </row>
    <row r="2817" spans="28:49" s="196" customFormat="1">
      <c r="AB2817" s="201"/>
      <c r="AC2817" s="201"/>
      <c r="AD2817" s="197"/>
      <c r="AE2817" s="197"/>
      <c r="AF2817" s="197"/>
      <c r="AG2817" s="197"/>
      <c r="AH2817" s="197"/>
      <c r="AI2817" s="197"/>
      <c r="AJ2817" s="197"/>
      <c r="AK2817" s="197"/>
      <c r="AL2817" s="197"/>
      <c r="AM2817" s="197"/>
      <c r="AN2817" s="197"/>
      <c r="AO2817" s="197"/>
      <c r="AP2817" s="197"/>
      <c r="AQ2817" s="197"/>
      <c r="AR2817" s="197"/>
      <c r="AS2817" s="197"/>
      <c r="AT2817" s="197"/>
      <c r="AU2817" s="197"/>
      <c r="AV2817" s="197"/>
      <c r="AW2817" s="197"/>
    </row>
    <row r="2818" spans="28:49" s="196" customFormat="1">
      <c r="AB2818" s="201"/>
      <c r="AC2818" s="201"/>
      <c r="AD2818" s="197"/>
      <c r="AE2818" s="197"/>
      <c r="AF2818" s="197"/>
      <c r="AG2818" s="197"/>
      <c r="AH2818" s="197"/>
      <c r="AI2818" s="197"/>
      <c r="AJ2818" s="197"/>
      <c r="AK2818" s="197"/>
      <c r="AL2818" s="197"/>
      <c r="AM2818" s="197"/>
      <c r="AN2818" s="197"/>
      <c r="AO2818" s="197"/>
      <c r="AP2818" s="197"/>
      <c r="AQ2818" s="197"/>
      <c r="AR2818" s="197"/>
      <c r="AS2818" s="197"/>
      <c r="AT2818" s="197"/>
      <c r="AU2818" s="197"/>
      <c r="AV2818" s="197"/>
      <c r="AW2818" s="197"/>
    </row>
    <row r="2819" spans="28:49" s="196" customFormat="1">
      <c r="AB2819" s="201"/>
      <c r="AC2819" s="201"/>
      <c r="AD2819" s="197"/>
      <c r="AE2819" s="197"/>
      <c r="AF2819" s="197"/>
      <c r="AG2819" s="197"/>
      <c r="AH2819" s="197"/>
      <c r="AI2819" s="197"/>
      <c r="AJ2819" s="197"/>
      <c r="AK2819" s="197"/>
      <c r="AL2819" s="197"/>
      <c r="AM2819" s="197"/>
      <c r="AN2819" s="197"/>
      <c r="AO2819" s="197"/>
      <c r="AP2819" s="197"/>
      <c r="AQ2819" s="197"/>
      <c r="AR2819" s="197"/>
      <c r="AS2819" s="197"/>
      <c r="AT2819" s="197"/>
      <c r="AU2819" s="197"/>
      <c r="AV2819" s="197"/>
      <c r="AW2819" s="197"/>
    </row>
    <row r="2820" spans="28:49" s="196" customFormat="1">
      <c r="AB2820" s="201"/>
      <c r="AC2820" s="201"/>
      <c r="AD2820" s="197"/>
      <c r="AE2820" s="197"/>
      <c r="AF2820" s="197"/>
      <c r="AG2820" s="197"/>
      <c r="AH2820" s="197"/>
      <c r="AI2820" s="197"/>
      <c r="AJ2820" s="197"/>
      <c r="AK2820" s="197"/>
      <c r="AL2820" s="197"/>
      <c r="AM2820" s="197"/>
      <c r="AN2820" s="197"/>
      <c r="AO2820" s="197"/>
      <c r="AP2820" s="197"/>
      <c r="AQ2820" s="197"/>
      <c r="AR2820" s="197"/>
      <c r="AS2820" s="197"/>
      <c r="AT2820" s="197"/>
      <c r="AU2820" s="197"/>
      <c r="AV2820" s="197"/>
      <c r="AW2820" s="197"/>
    </row>
    <row r="2821" spans="28:49" s="196" customFormat="1">
      <c r="AB2821" s="201"/>
      <c r="AC2821" s="201"/>
      <c r="AD2821" s="197"/>
      <c r="AE2821" s="197"/>
      <c r="AF2821" s="197"/>
      <c r="AG2821" s="197"/>
      <c r="AH2821" s="197"/>
      <c r="AI2821" s="197"/>
      <c r="AJ2821" s="197"/>
      <c r="AK2821" s="197"/>
      <c r="AL2821" s="197"/>
      <c r="AM2821" s="197"/>
      <c r="AN2821" s="197"/>
      <c r="AO2821" s="197"/>
      <c r="AP2821" s="197"/>
      <c r="AQ2821" s="197"/>
      <c r="AR2821" s="197"/>
      <c r="AS2821" s="197"/>
      <c r="AT2821" s="197"/>
      <c r="AU2821" s="197"/>
      <c r="AV2821" s="197"/>
      <c r="AW2821" s="197"/>
    </row>
    <row r="2822" spans="28:49" s="196" customFormat="1">
      <c r="AB2822" s="201"/>
      <c r="AC2822" s="201"/>
      <c r="AD2822" s="197"/>
      <c r="AE2822" s="197"/>
      <c r="AF2822" s="197"/>
      <c r="AG2822" s="197"/>
      <c r="AH2822" s="197"/>
      <c r="AI2822" s="197"/>
      <c r="AJ2822" s="197"/>
      <c r="AK2822" s="197"/>
      <c r="AL2822" s="197"/>
      <c r="AM2822" s="197"/>
      <c r="AN2822" s="197"/>
      <c r="AO2822" s="197"/>
      <c r="AP2822" s="197"/>
      <c r="AQ2822" s="197"/>
      <c r="AR2822" s="197"/>
      <c r="AS2822" s="197"/>
      <c r="AT2822" s="197"/>
      <c r="AU2822" s="197"/>
      <c r="AV2822" s="197"/>
      <c r="AW2822" s="197"/>
    </row>
    <row r="2823" spans="28:49" s="196" customFormat="1">
      <c r="AB2823" s="201"/>
      <c r="AC2823" s="201"/>
      <c r="AD2823" s="197"/>
      <c r="AE2823" s="197"/>
      <c r="AF2823" s="197"/>
      <c r="AG2823" s="197"/>
      <c r="AH2823" s="197"/>
      <c r="AI2823" s="197"/>
      <c r="AJ2823" s="197"/>
      <c r="AK2823" s="197"/>
      <c r="AL2823" s="197"/>
      <c r="AM2823" s="197"/>
      <c r="AN2823" s="197"/>
      <c r="AO2823" s="197"/>
      <c r="AP2823" s="197"/>
      <c r="AQ2823" s="197"/>
      <c r="AR2823" s="197"/>
      <c r="AS2823" s="197"/>
      <c r="AT2823" s="197"/>
      <c r="AU2823" s="197"/>
      <c r="AV2823" s="197"/>
      <c r="AW2823" s="197"/>
    </row>
    <row r="2824" spans="28:49" s="196" customFormat="1">
      <c r="AB2824" s="201"/>
      <c r="AC2824" s="201"/>
      <c r="AD2824" s="197"/>
      <c r="AE2824" s="197"/>
      <c r="AF2824" s="197"/>
      <c r="AG2824" s="197"/>
      <c r="AH2824" s="197"/>
      <c r="AI2824" s="197"/>
      <c r="AJ2824" s="197"/>
      <c r="AK2824" s="197"/>
      <c r="AL2824" s="197"/>
      <c r="AM2824" s="197"/>
      <c r="AN2824" s="197"/>
      <c r="AO2824" s="197"/>
      <c r="AP2824" s="197"/>
      <c r="AQ2824" s="197"/>
      <c r="AR2824" s="197"/>
      <c r="AS2824" s="197"/>
      <c r="AT2824" s="197"/>
      <c r="AU2824" s="197"/>
      <c r="AV2824" s="197"/>
      <c r="AW2824" s="197"/>
    </row>
    <row r="2825" spans="28:49" s="196" customFormat="1">
      <c r="AB2825" s="201"/>
      <c r="AC2825" s="201"/>
      <c r="AD2825" s="197"/>
      <c r="AE2825" s="197"/>
      <c r="AF2825" s="197"/>
      <c r="AG2825" s="197"/>
      <c r="AH2825" s="197"/>
      <c r="AI2825" s="197"/>
      <c r="AJ2825" s="197"/>
      <c r="AK2825" s="197"/>
      <c r="AL2825" s="197"/>
      <c r="AM2825" s="197"/>
      <c r="AN2825" s="197"/>
      <c r="AO2825" s="197"/>
      <c r="AP2825" s="197"/>
      <c r="AQ2825" s="197"/>
      <c r="AR2825" s="197"/>
      <c r="AS2825" s="197"/>
      <c r="AT2825" s="197"/>
      <c r="AU2825" s="197"/>
      <c r="AV2825" s="197"/>
      <c r="AW2825" s="197"/>
    </row>
    <row r="2826" spans="28:49" s="196" customFormat="1">
      <c r="AB2826" s="201"/>
      <c r="AC2826" s="201"/>
      <c r="AD2826" s="197"/>
      <c r="AE2826" s="197"/>
      <c r="AF2826" s="197"/>
      <c r="AG2826" s="197"/>
      <c r="AH2826" s="197"/>
      <c r="AI2826" s="197"/>
      <c r="AJ2826" s="197"/>
      <c r="AK2826" s="197"/>
      <c r="AL2826" s="197"/>
      <c r="AM2826" s="197"/>
      <c r="AN2826" s="197"/>
      <c r="AO2826" s="197"/>
      <c r="AP2826" s="197"/>
      <c r="AQ2826" s="197"/>
      <c r="AR2826" s="197"/>
      <c r="AS2826" s="197"/>
      <c r="AT2826" s="197"/>
      <c r="AU2826" s="197"/>
      <c r="AV2826" s="197"/>
      <c r="AW2826" s="197"/>
    </row>
    <row r="2827" spans="28:49" s="196" customFormat="1">
      <c r="AB2827" s="201"/>
      <c r="AC2827" s="201"/>
      <c r="AD2827" s="197"/>
      <c r="AE2827" s="197"/>
      <c r="AF2827" s="197"/>
      <c r="AG2827" s="197"/>
      <c r="AH2827" s="197"/>
      <c r="AI2827" s="197"/>
      <c r="AJ2827" s="197"/>
      <c r="AK2827" s="197"/>
      <c r="AL2827" s="197"/>
      <c r="AM2827" s="197"/>
      <c r="AN2827" s="197"/>
      <c r="AO2827" s="197"/>
      <c r="AP2827" s="197"/>
      <c r="AQ2827" s="197"/>
      <c r="AR2827" s="197"/>
      <c r="AS2827" s="197"/>
      <c r="AT2827" s="197"/>
      <c r="AU2827" s="197"/>
      <c r="AV2827" s="197"/>
      <c r="AW2827" s="197"/>
    </row>
    <row r="2828" spans="28:49" s="196" customFormat="1">
      <c r="AB2828" s="201"/>
      <c r="AC2828" s="201"/>
      <c r="AD2828" s="197"/>
      <c r="AE2828" s="197"/>
      <c r="AF2828" s="197"/>
      <c r="AG2828" s="197"/>
      <c r="AH2828" s="197"/>
      <c r="AI2828" s="197"/>
      <c r="AJ2828" s="197"/>
      <c r="AK2828" s="197"/>
      <c r="AL2828" s="197"/>
      <c r="AM2828" s="197"/>
      <c r="AN2828" s="197"/>
      <c r="AO2828" s="197"/>
      <c r="AP2828" s="197"/>
      <c r="AQ2828" s="197"/>
      <c r="AR2828" s="197"/>
      <c r="AS2828" s="197"/>
      <c r="AT2828" s="197"/>
      <c r="AU2828" s="197"/>
      <c r="AV2828" s="197"/>
      <c r="AW2828" s="197"/>
    </row>
    <row r="2829" spans="28:49" s="196" customFormat="1">
      <c r="AB2829" s="201"/>
      <c r="AC2829" s="201"/>
      <c r="AD2829" s="197"/>
      <c r="AE2829" s="197"/>
      <c r="AF2829" s="197"/>
      <c r="AG2829" s="197"/>
      <c r="AH2829" s="197"/>
      <c r="AI2829" s="197"/>
      <c r="AJ2829" s="197"/>
      <c r="AK2829" s="197"/>
      <c r="AL2829" s="197"/>
      <c r="AM2829" s="197"/>
      <c r="AN2829" s="197"/>
      <c r="AO2829" s="197"/>
      <c r="AP2829" s="197"/>
      <c r="AQ2829" s="197"/>
      <c r="AR2829" s="197"/>
      <c r="AS2829" s="197"/>
      <c r="AT2829" s="197"/>
      <c r="AU2829" s="197"/>
      <c r="AV2829" s="197"/>
      <c r="AW2829" s="197"/>
    </row>
    <row r="2830" spans="28:49" s="196" customFormat="1">
      <c r="AB2830" s="201"/>
      <c r="AC2830" s="201"/>
      <c r="AD2830" s="197"/>
      <c r="AE2830" s="197"/>
      <c r="AF2830" s="197"/>
      <c r="AG2830" s="197"/>
      <c r="AH2830" s="197"/>
      <c r="AI2830" s="197"/>
      <c r="AJ2830" s="197"/>
      <c r="AK2830" s="197"/>
      <c r="AL2830" s="197"/>
      <c r="AM2830" s="197"/>
      <c r="AN2830" s="197"/>
      <c r="AO2830" s="197"/>
      <c r="AP2830" s="197"/>
      <c r="AQ2830" s="197"/>
      <c r="AR2830" s="197"/>
      <c r="AS2830" s="197"/>
      <c r="AT2830" s="197"/>
      <c r="AU2830" s="197"/>
      <c r="AV2830" s="197"/>
      <c r="AW2830" s="197"/>
    </row>
    <row r="2831" spans="28:49" s="196" customFormat="1">
      <c r="AB2831" s="201"/>
      <c r="AC2831" s="201"/>
      <c r="AD2831" s="197"/>
      <c r="AE2831" s="197"/>
      <c r="AF2831" s="197"/>
      <c r="AG2831" s="197"/>
      <c r="AH2831" s="197"/>
      <c r="AI2831" s="197"/>
      <c r="AJ2831" s="197"/>
      <c r="AK2831" s="197"/>
      <c r="AL2831" s="197"/>
      <c r="AM2831" s="197"/>
      <c r="AN2831" s="197"/>
      <c r="AO2831" s="197"/>
      <c r="AP2831" s="197"/>
      <c r="AQ2831" s="197"/>
      <c r="AR2831" s="197"/>
      <c r="AS2831" s="197"/>
      <c r="AT2831" s="197"/>
      <c r="AU2831" s="197"/>
      <c r="AV2831" s="197"/>
      <c r="AW2831" s="197"/>
    </row>
    <row r="2832" spans="28:49" s="196" customFormat="1">
      <c r="AB2832" s="201"/>
      <c r="AC2832" s="201"/>
      <c r="AD2832" s="197"/>
      <c r="AE2832" s="197"/>
      <c r="AF2832" s="197"/>
      <c r="AG2832" s="197"/>
      <c r="AH2832" s="197"/>
      <c r="AI2832" s="197"/>
      <c r="AJ2832" s="197"/>
      <c r="AK2832" s="197"/>
      <c r="AL2832" s="197"/>
      <c r="AM2832" s="197"/>
      <c r="AN2832" s="197"/>
      <c r="AO2832" s="197"/>
      <c r="AP2832" s="197"/>
      <c r="AQ2832" s="197"/>
      <c r="AR2832" s="197"/>
      <c r="AS2832" s="197"/>
      <c r="AT2832" s="197"/>
      <c r="AU2832" s="197"/>
      <c r="AV2832" s="197"/>
      <c r="AW2832" s="197"/>
    </row>
    <row r="2833" spans="28:49" s="196" customFormat="1">
      <c r="AB2833" s="201"/>
      <c r="AC2833" s="201"/>
      <c r="AD2833" s="197"/>
      <c r="AE2833" s="197"/>
      <c r="AF2833" s="197"/>
      <c r="AG2833" s="197"/>
      <c r="AH2833" s="197"/>
      <c r="AI2833" s="197"/>
      <c r="AJ2833" s="197"/>
      <c r="AK2833" s="197"/>
      <c r="AL2833" s="197"/>
      <c r="AM2833" s="197"/>
      <c r="AN2833" s="197"/>
      <c r="AO2833" s="197"/>
      <c r="AP2833" s="197"/>
      <c r="AQ2833" s="197"/>
      <c r="AR2833" s="197"/>
      <c r="AS2833" s="197"/>
      <c r="AT2833" s="197"/>
      <c r="AU2833" s="197"/>
      <c r="AV2833" s="197"/>
      <c r="AW2833" s="197"/>
    </row>
    <row r="2834" spans="28:49" s="196" customFormat="1">
      <c r="AB2834" s="201"/>
      <c r="AC2834" s="201"/>
      <c r="AD2834" s="197"/>
      <c r="AE2834" s="197"/>
      <c r="AF2834" s="197"/>
      <c r="AG2834" s="197"/>
      <c r="AH2834" s="197"/>
      <c r="AI2834" s="197"/>
      <c r="AJ2834" s="197"/>
      <c r="AK2834" s="197"/>
      <c r="AL2834" s="197"/>
      <c r="AM2834" s="197"/>
      <c r="AN2834" s="197"/>
      <c r="AO2834" s="197"/>
      <c r="AP2834" s="197"/>
      <c r="AQ2834" s="197"/>
      <c r="AR2834" s="197"/>
      <c r="AS2834" s="197"/>
      <c r="AT2834" s="197"/>
      <c r="AU2834" s="197"/>
      <c r="AV2834" s="197"/>
      <c r="AW2834" s="197"/>
    </row>
    <row r="2835" spans="28:49" s="196" customFormat="1">
      <c r="AB2835" s="201"/>
      <c r="AC2835" s="201"/>
      <c r="AD2835" s="197"/>
      <c r="AE2835" s="197"/>
      <c r="AF2835" s="197"/>
      <c r="AG2835" s="197"/>
      <c r="AH2835" s="197"/>
      <c r="AI2835" s="197"/>
      <c r="AJ2835" s="197"/>
      <c r="AK2835" s="197"/>
      <c r="AL2835" s="197"/>
      <c r="AM2835" s="197"/>
      <c r="AN2835" s="197"/>
      <c r="AO2835" s="197"/>
      <c r="AP2835" s="197"/>
      <c r="AQ2835" s="197"/>
      <c r="AR2835" s="197"/>
      <c r="AS2835" s="197"/>
      <c r="AT2835" s="197"/>
      <c r="AU2835" s="197"/>
      <c r="AV2835" s="197"/>
      <c r="AW2835" s="197"/>
    </row>
    <row r="2836" spans="28:49" s="196" customFormat="1">
      <c r="AB2836" s="201"/>
      <c r="AC2836" s="201"/>
      <c r="AD2836" s="197"/>
      <c r="AE2836" s="197"/>
      <c r="AF2836" s="197"/>
      <c r="AG2836" s="197"/>
      <c r="AH2836" s="197"/>
      <c r="AI2836" s="197"/>
      <c r="AJ2836" s="197"/>
      <c r="AK2836" s="197"/>
      <c r="AL2836" s="197"/>
      <c r="AM2836" s="197"/>
      <c r="AN2836" s="197"/>
      <c r="AO2836" s="197"/>
      <c r="AP2836" s="197"/>
      <c r="AQ2836" s="197"/>
      <c r="AR2836" s="197"/>
      <c r="AS2836" s="197"/>
      <c r="AT2836" s="197"/>
      <c r="AU2836" s="197"/>
      <c r="AV2836" s="197"/>
      <c r="AW2836" s="197"/>
    </row>
    <row r="2837" spans="28:49" s="196" customFormat="1">
      <c r="AB2837" s="201"/>
      <c r="AC2837" s="201"/>
      <c r="AD2837" s="197"/>
      <c r="AE2837" s="197"/>
      <c r="AF2837" s="197"/>
      <c r="AG2837" s="197"/>
      <c r="AH2837" s="197"/>
      <c r="AI2837" s="197"/>
      <c r="AJ2837" s="197"/>
      <c r="AK2837" s="197"/>
      <c r="AL2837" s="197"/>
      <c r="AM2837" s="197"/>
      <c r="AN2837" s="197"/>
      <c r="AO2837" s="197"/>
      <c r="AP2837" s="197"/>
      <c r="AQ2837" s="197"/>
      <c r="AR2837" s="197"/>
      <c r="AS2837" s="197"/>
      <c r="AT2837" s="197"/>
      <c r="AU2837" s="197"/>
      <c r="AV2837" s="197"/>
      <c r="AW2837" s="197"/>
    </row>
    <row r="2838" spans="28:49" s="196" customFormat="1">
      <c r="AB2838" s="201"/>
      <c r="AC2838" s="201"/>
      <c r="AD2838" s="197"/>
      <c r="AE2838" s="197"/>
      <c r="AF2838" s="197"/>
      <c r="AG2838" s="197"/>
      <c r="AH2838" s="197"/>
      <c r="AI2838" s="197"/>
      <c r="AJ2838" s="197"/>
      <c r="AK2838" s="197"/>
      <c r="AL2838" s="197"/>
      <c r="AM2838" s="197"/>
      <c r="AN2838" s="197"/>
      <c r="AO2838" s="197"/>
      <c r="AP2838" s="197"/>
      <c r="AQ2838" s="197"/>
      <c r="AR2838" s="197"/>
      <c r="AS2838" s="197"/>
      <c r="AT2838" s="197"/>
      <c r="AU2838" s="197"/>
      <c r="AV2838" s="197"/>
      <c r="AW2838" s="197"/>
    </row>
    <row r="2839" spans="28:49" s="196" customFormat="1">
      <c r="AB2839" s="201"/>
      <c r="AC2839" s="201"/>
      <c r="AD2839" s="197"/>
      <c r="AE2839" s="197"/>
      <c r="AF2839" s="197"/>
      <c r="AG2839" s="197"/>
      <c r="AH2839" s="197"/>
      <c r="AI2839" s="197"/>
      <c r="AJ2839" s="197"/>
      <c r="AK2839" s="197"/>
      <c r="AL2839" s="197"/>
      <c r="AM2839" s="197"/>
      <c r="AN2839" s="197"/>
      <c r="AO2839" s="197"/>
      <c r="AP2839" s="197"/>
      <c r="AQ2839" s="197"/>
      <c r="AR2839" s="197"/>
      <c r="AS2839" s="197"/>
      <c r="AT2839" s="197"/>
      <c r="AU2839" s="197"/>
      <c r="AV2839" s="197"/>
      <c r="AW2839" s="197"/>
    </row>
    <row r="2840" spans="28:49" s="196" customFormat="1">
      <c r="AB2840" s="201"/>
      <c r="AC2840" s="201"/>
      <c r="AD2840" s="197"/>
      <c r="AE2840" s="197"/>
      <c r="AF2840" s="197"/>
      <c r="AG2840" s="197"/>
      <c r="AH2840" s="197"/>
      <c r="AI2840" s="197"/>
      <c r="AJ2840" s="197"/>
      <c r="AK2840" s="197"/>
      <c r="AL2840" s="197"/>
      <c r="AM2840" s="197"/>
      <c r="AN2840" s="197"/>
      <c r="AO2840" s="197"/>
      <c r="AP2840" s="197"/>
      <c r="AQ2840" s="197"/>
      <c r="AR2840" s="197"/>
      <c r="AS2840" s="197"/>
      <c r="AT2840" s="197"/>
      <c r="AU2840" s="197"/>
      <c r="AV2840" s="197"/>
      <c r="AW2840" s="197"/>
    </row>
    <row r="2841" spans="28:49" s="196" customFormat="1">
      <c r="AB2841" s="201"/>
      <c r="AC2841" s="201"/>
      <c r="AD2841" s="197"/>
      <c r="AE2841" s="197"/>
      <c r="AF2841" s="197"/>
      <c r="AG2841" s="197"/>
      <c r="AH2841" s="197"/>
      <c r="AI2841" s="197"/>
      <c r="AJ2841" s="197"/>
      <c r="AK2841" s="197"/>
      <c r="AL2841" s="197"/>
      <c r="AM2841" s="197"/>
      <c r="AN2841" s="197"/>
      <c r="AO2841" s="197"/>
      <c r="AP2841" s="197"/>
      <c r="AQ2841" s="197"/>
      <c r="AR2841" s="197"/>
      <c r="AS2841" s="197"/>
      <c r="AT2841" s="197"/>
      <c r="AU2841" s="197"/>
      <c r="AV2841" s="197"/>
      <c r="AW2841" s="197"/>
    </row>
    <row r="2842" spans="28:49" s="196" customFormat="1">
      <c r="AB2842" s="201"/>
      <c r="AC2842" s="201"/>
      <c r="AD2842" s="197"/>
      <c r="AE2842" s="197"/>
      <c r="AF2842" s="197"/>
      <c r="AG2842" s="197"/>
      <c r="AH2842" s="197"/>
      <c r="AI2842" s="197"/>
      <c r="AJ2842" s="197"/>
      <c r="AK2842" s="197"/>
      <c r="AL2842" s="197"/>
      <c r="AM2842" s="197"/>
      <c r="AN2842" s="197"/>
      <c r="AO2842" s="197"/>
      <c r="AP2842" s="197"/>
      <c r="AQ2842" s="197"/>
      <c r="AR2842" s="197"/>
      <c r="AS2842" s="197"/>
      <c r="AT2842" s="197"/>
      <c r="AU2842" s="197"/>
      <c r="AV2842" s="197"/>
      <c r="AW2842" s="197"/>
    </row>
    <row r="2843" spans="28:49" s="196" customFormat="1">
      <c r="AB2843" s="201"/>
      <c r="AC2843" s="201"/>
      <c r="AD2843" s="197"/>
      <c r="AE2843" s="197"/>
      <c r="AF2843" s="197"/>
      <c r="AG2843" s="197"/>
      <c r="AH2843" s="197"/>
      <c r="AI2843" s="197"/>
      <c r="AJ2843" s="197"/>
      <c r="AK2843" s="197"/>
      <c r="AL2843" s="197"/>
      <c r="AM2843" s="197"/>
      <c r="AN2843" s="197"/>
      <c r="AO2843" s="197"/>
      <c r="AP2843" s="197"/>
      <c r="AQ2843" s="197"/>
      <c r="AR2843" s="197"/>
      <c r="AS2843" s="197"/>
      <c r="AT2843" s="197"/>
      <c r="AU2843" s="197"/>
      <c r="AV2843" s="197"/>
      <c r="AW2843" s="197"/>
    </row>
    <row r="2844" spans="28:49" s="196" customFormat="1">
      <c r="AB2844" s="201"/>
      <c r="AC2844" s="201"/>
      <c r="AD2844" s="197"/>
      <c r="AE2844" s="197"/>
      <c r="AF2844" s="197"/>
      <c r="AG2844" s="197"/>
      <c r="AH2844" s="197"/>
      <c r="AI2844" s="197"/>
      <c r="AJ2844" s="197"/>
      <c r="AK2844" s="197"/>
      <c r="AL2844" s="197"/>
      <c r="AM2844" s="197"/>
      <c r="AN2844" s="197"/>
      <c r="AO2844" s="197"/>
      <c r="AP2844" s="197"/>
      <c r="AQ2844" s="197"/>
      <c r="AR2844" s="197"/>
      <c r="AS2844" s="197"/>
      <c r="AT2844" s="197"/>
      <c r="AU2844" s="197"/>
      <c r="AV2844" s="197"/>
      <c r="AW2844" s="197"/>
    </row>
    <row r="2845" spans="28:49" s="196" customFormat="1">
      <c r="AB2845" s="201"/>
      <c r="AC2845" s="201"/>
      <c r="AD2845" s="197"/>
      <c r="AE2845" s="197"/>
      <c r="AF2845" s="197"/>
      <c r="AG2845" s="197"/>
      <c r="AH2845" s="197"/>
      <c r="AI2845" s="197"/>
      <c r="AJ2845" s="197"/>
      <c r="AK2845" s="197"/>
      <c r="AL2845" s="197"/>
      <c r="AM2845" s="197"/>
      <c r="AN2845" s="197"/>
      <c r="AO2845" s="197"/>
      <c r="AP2845" s="197"/>
      <c r="AQ2845" s="197"/>
      <c r="AR2845" s="197"/>
      <c r="AS2845" s="197"/>
      <c r="AT2845" s="197"/>
      <c r="AU2845" s="197"/>
      <c r="AV2845" s="197"/>
      <c r="AW2845" s="197"/>
    </row>
    <row r="2846" spans="28:49" s="196" customFormat="1">
      <c r="AB2846" s="201"/>
      <c r="AC2846" s="201"/>
      <c r="AD2846" s="197"/>
      <c r="AE2846" s="197"/>
      <c r="AF2846" s="197"/>
      <c r="AG2846" s="197"/>
      <c r="AH2846" s="197"/>
      <c r="AI2846" s="197"/>
      <c r="AJ2846" s="197"/>
      <c r="AK2846" s="197"/>
      <c r="AL2846" s="197"/>
      <c r="AM2846" s="197"/>
      <c r="AN2846" s="197"/>
      <c r="AO2846" s="197"/>
      <c r="AP2846" s="197"/>
      <c r="AQ2846" s="197"/>
      <c r="AR2846" s="197"/>
      <c r="AS2846" s="197"/>
      <c r="AT2846" s="197"/>
      <c r="AU2846" s="197"/>
      <c r="AV2846" s="197"/>
      <c r="AW2846" s="197"/>
    </row>
    <row r="2847" spans="28:49" s="196" customFormat="1">
      <c r="AB2847" s="201"/>
      <c r="AC2847" s="201"/>
      <c r="AD2847" s="197"/>
      <c r="AE2847" s="197"/>
      <c r="AF2847" s="197"/>
      <c r="AG2847" s="197"/>
      <c r="AH2847" s="197"/>
      <c r="AI2847" s="197"/>
      <c r="AJ2847" s="197"/>
      <c r="AK2847" s="197"/>
      <c r="AL2847" s="197"/>
      <c r="AM2847" s="197"/>
      <c r="AN2847" s="197"/>
      <c r="AO2847" s="197"/>
      <c r="AP2847" s="197"/>
      <c r="AQ2847" s="197"/>
      <c r="AR2847" s="197"/>
      <c r="AS2847" s="197"/>
      <c r="AT2847" s="197"/>
      <c r="AU2847" s="197"/>
      <c r="AV2847" s="197"/>
      <c r="AW2847" s="197"/>
    </row>
    <row r="2848" spans="28:49" s="196" customFormat="1">
      <c r="AB2848" s="201"/>
      <c r="AC2848" s="201"/>
      <c r="AD2848" s="197"/>
      <c r="AE2848" s="197"/>
      <c r="AF2848" s="197"/>
      <c r="AG2848" s="197"/>
      <c r="AH2848" s="197"/>
      <c r="AI2848" s="197"/>
      <c r="AJ2848" s="197"/>
      <c r="AK2848" s="197"/>
      <c r="AL2848" s="197"/>
      <c r="AM2848" s="197"/>
      <c r="AN2848" s="197"/>
      <c r="AO2848" s="197"/>
      <c r="AP2848" s="197"/>
      <c r="AQ2848" s="197"/>
      <c r="AR2848" s="197"/>
      <c r="AS2848" s="197"/>
      <c r="AT2848" s="197"/>
      <c r="AU2848" s="197"/>
      <c r="AV2848" s="197"/>
      <c r="AW2848" s="197"/>
    </row>
    <row r="2849" spans="28:49" s="196" customFormat="1">
      <c r="AB2849" s="201"/>
      <c r="AC2849" s="201"/>
      <c r="AD2849" s="197"/>
      <c r="AE2849" s="197"/>
      <c r="AF2849" s="197"/>
      <c r="AG2849" s="197"/>
      <c r="AH2849" s="197"/>
      <c r="AI2849" s="197"/>
      <c r="AJ2849" s="197"/>
      <c r="AK2849" s="197"/>
      <c r="AL2849" s="197"/>
      <c r="AM2849" s="197"/>
      <c r="AN2849" s="197"/>
      <c r="AO2849" s="197"/>
      <c r="AP2849" s="197"/>
      <c r="AQ2849" s="197"/>
      <c r="AR2849" s="197"/>
      <c r="AS2849" s="197"/>
      <c r="AT2849" s="197"/>
      <c r="AU2849" s="197"/>
      <c r="AV2849" s="197"/>
      <c r="AW2849" s="197"/>
    </row>
    <row r="2850" spans="28:49" s="196" customFormat="1">
      <c r="AB2850" s="201"/>
      <c r="AC2850" s="201"/>
      <c r="AD2850" s="197"/>
      <c r="AE2850" s="197"/>
      <c r="AF2850" s="197"/>
      <c r="AG2850" s="197"/>
      <c r="AH2850" s="197"/>
      <c r="AI2850" s="197"/>
      <c r="AJ2850" s="197"/>
      <c r="AK2850" s="197"/>
      <c r="AL2850" s="197"/>
      <c r="AM2850" s="197"/>
      <c r="AN2850" s="197"/>
      <c r="AO2850" s="197"/>
      <c r="AP2850" s="197"/>
      <c r="AQ2850" s="197"/>
      <c r="AR2850" s="197"/>
      <c r="AS2850" s="197"/>
      <c r="AT2850" s="197"/>
      <c r="AU2850" s="197"/>
      <c r="AV2850" s="197"/>
      <c r="AW2850" s="197"/>
    </row>
    <row r="2851" spans="28:49" s="196" customFormat="1">
      <c r="AB2851" s="201"/>
      <c r="AC2851" s="201"/>
      <c r="AD2851" s="197"/>
      <c r="AE2851" s="197"/>
      <c r="AF2851" s="197"/>
      <c r="AG2851" s="197"/>
      <c r="AH2851" s="197"/>
      <c r="AI2851" s="197"/>
      <c r="AJ2851" s="197"/>
      <c r="AK2851" s="197"/>
      <c r="AL2851" s="197"/>
      <c r="AM2851" s="197"/>
      <c r="AN2851" s="197"/>
      <c r="AO2851" s="197"/>
      <c r="AP2851" s="197"/>
      <c r="AQ2851" s="197"/>
      <c r="AR2851" s="197"/>
      <c r="AS2851" s="197"/>
      <c r="AT2851" s="197"/>
      <c r="AU2851" s="197"/>
      <c r="AV2851" s="197"/>
      <c r="AW2851" s="197"/>
    </row>
    <row r="2852" spans="28:49" s="196" customFormat="1">
      <c r="AB2852" s="201"/>
      <c r="AC2852" s="201"/>
      <c r="AD2852" s="197"/>
      <c r="AE2852" s="197"/>
      <c r="AF2852" s="197"/>
      <c r="AG2852" s="197"/>
      <c r="AH2852" s="197"/>
      <c r="AI2852" s="197"/>
      <c r="AJ2852" s="197"/>
      <c r="AK2852" s="197"/>
      <c r="AL2852" s="197"/>
      <c r="AM2852" s="197"/>
      <c r="AN2852" s="197"/>
      <c r="AO2852" s="197"/>
      <c r="AP2852" s="197"/>
      <c r="AQ2852" s="197"/>
      <c r="AR2852" s="197"/>
      <c r="AS2852" s="197"/>
      <c r="AT2852" s="197"/>
      <c r="AU2852" s="197"/>
      <c r="AV2852" s="197"/>
      <c r="AW2852" s="197"/>
    </row>
    <row r="2853" spans="28:49" s="196" customFormat="1">
      <c r="AB2853" s="201"/>
      <c r="AC2853" s="201"/>
      <c r="AD2853" s="197"/>
      <c r="AE2853" s="197"/>
      <c r="AF2853" s="197"/>
      <c r="AG2853" s="197"/>
      <c r="AH2853" s="197"/>
      <c r="AI2853" s="197"/>
      <c r="AJ2853" s="197"/>
      <c r="AK2853" s="197"/>
      <c r="AL2853" s="197"/>
      <c r="AM2853" s="197"/>
      <c r="AN2853" s="197"/>
      <c r="AO2853" s="197"/>
      <c r="AP2853" s="197"/>
      <c r="AQ2853" s="197"/>
      <c r="AR2853" s="197"/>
      <c r="AS2853" s="197"/>
      <c r="AT2853" s="197"/>
      <c r="AU2853" s="197"/>
      <c r="AV2853" s="197"/>
      <c r="AW2853" s="197"/>
    </row>
    <row r="2854" spans="28:49" s="196" customFormat="1">
      <c r="AB2854" s="201"/>
      <c r="AC2854" s="201"/>
      <c r="AD2854" s="197"/>
      <c r="AE2854" s="197"/>
      <c r="AF2854" s="197"/>
      <c r="AG2854" s="197"/>
      <c r="AH2854" s="197"/>
      <c r="AI2854" s="197"/>
      <c r="AJ2854" s="197"/>
      <c r="AK2854" s="197"/>
      <c r="AL2854" s="197"/>
      <c r="AM2854" s="197"/>
      <c r="AN2854" s="197"/>
      <c r="AO2854" s="197"/>
      <c r="AP2854" s="197"/>
      <c r="AQ2854" s="197"/>
      <c r="AR2854" s="197"/>
      <c r="AS2854" s="197"/>
      <c r="AT2854" s="197"/>
      <c r="AU2854" s="197"/>
      <c r="AV2854" s="197"/>
      <c r="AW2854" s="197"/>
    </row>
    <row r="2855" spans="28:49" s="196" customFormat="1">
      <c r="AB2855" s="201"/>
      <c r="AC2855" s="201"/>
      <c r="AD2855" s="197"/>
      <c r="AE2855" s="197"/>
      <c r="AF2855" s="197"/>
      <c r="AG2855" s="197"/>
      <c r="AH2855" s="197"/>
      <c r="AI2855" s="197"/>
      <c r="AJ2855" s="197"/>
      <c r="AK2855" s="197"/>
      <c r="AL2855" s="197"/>
      <c r="AM2855" s="197"/>
      <c r="AN2855" s="197"/>
      <c r="AO2855" s="197"/>
      <c r="AP2855" s="197"/>
      <c r="AQ2855" s="197"/>
      <c r="AR2855" s="197"/>
      <c r="AS2855" s="197"/>
      <c r="AT2855" s="197"/>
      <c r="AU2855" s="197"/>
      <c r="AV2855" s="197"/>
      <c r="AW2855" s="197"/>
    </row>
    <row r="2856" spans="28:49" s="196" customFormat="1">
      <c r="AB2856" s="201"/>
      <c r="AC2856" s="201"/>
      <c r="AD2856" s="197"/>
      <c r="AE2856" s="197"/>
      <c r="AF2856" s="197"/>
      <c r="AG2856" s="197"/>
      <c r="AH2856" s="197"/>
      <c r="AI2856" s="197"/>
      <c r="AJ2856" s="197"/>
      <c r="AK2856" s="197"/>
      <c r="AL2856" s="197"/>
      <c r="AM2856" s="197"/>
      <c r="AN2856" s="197"/>
      <c r="AO2856" s="197"/>
      <c r="AP2856" s="197"/>
      <c r="AQ2856" s="197"/>
      <c r="AR2856" s="197"/>
      <c r="AS2856" s="197"/>
      <c r="AT2856" s="197"/>
      <c r="AU2856" s="197"/>
      <c r="AV2856" s="197"/>
      <c r="AW2856" s="197"/>
    </row>
    <row r="2857" spans="28:49" s="196" customFormat="1">
      <c r="AB2857" s="201"/>
      <c r="AC2857" s="201"/>
      <c r="AD2857" s="197"/>
      <c r="AE2857" s="197"/>
      <c r="AF2857" s="197"/>
      <c r="AG2857" s="197"/>
      <c r="AH2857" s="197"/>
      <c r="AI2857" s="197"/>
      <c r="AJ2857" s="197"/>
      <c r="AK2857" s="197"/>
      <c r="AL2857" s="197"/>
      <c r="AM2857" s="197"/>
      <c r="AN2857" s="197"/>
      <c r="AO2857" s="197"/>
      <c r="AP2857" s="197"/>
      <c r="AQ2857" s="197"/>
      <c r="AR2857" s="197"/>
      <c r="AS2857" s="197"/>
      <c r="AT2857" s="197"/>
      <c r="AU2857" s="197"/>
      <c r="AV2857" s="197"/>
      <c r="AW2857" s="197"/>
    </row>
    <row r="2858" spans="28:49" s="196" customFormat="1">
      <c r="AB2858" s="201"/>
      <c r="AC2858" s="201"/>
      <c r="AD2858" s="197"/>
      <c r="AE2858" s="197"/>
      <c r="AF2858" s="197"/>
      <c r="AG2858" s="197"/>
      <c r="AH2858" s="197"/>
      <c r="AI2858" s="197"/>
      <c r="AJ2858" s="197"/>
      <c r="AK2858" s="197"/>
      <c r="AL2858" s="197"/>
      <c r="AM2858" s="197"/>
      <c r="AN2858" s="197"/>
      <c r="AO2858" s="197"/>
      <c r="AP2858" s="197"/>
      <c r="AQ2858" s="197"/>
      <c r="AR2858" s="197"/>
      <c r="AS2858" s="197"/>
      <c r="AT2858" s="197"/>
      <c r="AU2858" s="197"/>
      <c r="AV2858" s="197"/>
      <c r="AW2858" s="197"/>
    </row>
    <row r="2859" spans="28:49" s="196" customFormat="1">
      <c r="AB2859" s="201"/>
      <c r="AC2859" s="201"/>
      <c r="AD2859" s="197"/>
      <c r="AE2859" s="197"/>
      <c r="AF2859" s="197"/>
      <c r="AG2859" s="197"/>
      <c r="AH2859" s="197"/>
      <c r="AI2859" s="197"/>
      <c r="AJ2859" s="197"/>
      <c r="AK2859" s="197"/>
      <c r="AL2859" s="197"/>
      <c r="AM2859" s="197"/>
      <c r="AN2859" s="197"/>
      <c r="AO2859" s="197"/>
      <c r="AP2859" s="197"/>
      <c r="AQ2859" s="197"/>
      <c r="AR2859" s="197"/>
      <c r="AS2859" s="197"/>
      <c r="AT2859" s="197"/>
      <c r="AU2859" s="197"/>
      <c r="AV2859" s="197"/>
      <c r="AW2859" s="197"/>
    </row>
    <row r="2860" spans="28:49" s="196" customFormat="1">
      <c r="AB2860" s="201"/>
      <c r="AC2860" s="201"/>
      <c r="AD2860" s="197"/>
      <c r="AE2860" s="197"/>
      <c r="AF2860" s="197"/>
      <c r="AG2860" s="197"/>
      <c r="AH2860" s="197"/>
      <c r="AI2860" s="197"/>
      <c r="AJ2860" s="197"/>
      <c r="AK2860" s="197"/>
      <c r="AL2860" s="197"/>
      <c r="AM2860" s="197"/>
      <c r="AN2860" s="197"/>
      <c r="AO2860" s="197"/>
      <c r="AP2860" s="197"/>
      <c r="AQ2860" s="197"/>
      <c r="AR2860" s="197"/>
      <c r="AS2860" s="197"/>
      <c r="AT2860" s="197"/>
      <c r="AU2860" s="197"/>
      <c r="AV2860" s="197"/>
      <c r="AW2860" s="197"/>
    </row>
    <row r="2861" spans="28:49" s="196" customFormat="1">
      <c r="AB2861" s="201"/>
      <c r="AC2861" s="201"/>
      <c r="AD2861" s="197"/>
      <c r="AE2861" s="197"/>
      <c r="AF2861" s="197"/>
      <c r="AG2861" s="197"/>
      <c r="AH2861" s="197"/>
      <c r="AI2861" s="197"/>
      <c r="AJ2861" s="197"/>
      <c r="AK2861" s="197"/>
      <c r="AL2861" s="197"/>
      <c r="AM2861" s="197"/>
      <c r="AN2861" s="197"/>
      <c r="AO2861" s="197"/>
      <c r="AP2861" s="197"/>
      <c r="AQ2861" s="197"/>
      <c r="AR2861" s="197"/>
      <c r="AS2861" s="197"/>
      <c r="AT2861" s="197"/>
      <c r="AU2861" s="197"/>
      <c r="AV2861" s="197"/>
      <c r="AW2861" s="197"/>
    </row>
    <row r="2862" spans="28:49" s="196" customFormat="1">
      <c r="AB2862" s="201"/>
      <c r="AC2862" s="201"/>
      <c r="AD2862" s="197"/>
      <c r="AE2862" s="197"/>
      <c r="AF2862" s="197"/>
      <c r="AG2862" s="197"/>
      <c r="AH2862" s="197"/>
      <c r="AI2862" s="197"/>
      <c r="AJ2862" s="197"/>
      <c r="AK2862" s="197"/>
      <c r="AL2862" s="197"/>
      <c r="AM2862" s="197"/>
      <c r="AN2862" s="197"/>
      <c r="AO2862" s="197"/>
      <c r="AP2862" s="197"/>
      <c r="AQ2862" s="197"/>
      <c r="AR2862" s="197"/>
      <c r="AS2862" s="197"/>
      <c r="AT2862" s="197"/>
      <c r="AU2862" s="197"/>
      <c r="AV2862" s="197"/>
      <c r="AW2862" s="197"/>
    </row>
    <row r="2863" spans="28:49" s="196" customFormat="1">
      <c r="AB2863" s="201"/>
      <c r="AC2863" s="201"/>
      <c r="AD2863" s="197"/>
      <c r="AE2863" s="197"/>
      <c r="AF2863" s="197"/>
      <c r="AG2863" s="197"/>
      <c r="AH2863" s="197"/>
      <c r="AI2863" s="197"/>
      <c r="AJ2863" s="197"/>
      <c r="AK2863" s="197"/>
      <c r="AL2863" s="197"/>
      <c r="AM2863" s="197"/>
      <c r="AN2863" s="197"/>
      <c r="AO2863" s="197"/>
      <c r="AP2863" s="197"/>
      <c r="AQ2863" s="197"/>
      <c r="AR2863" s="197"/>
      <c r="AS2863" s="197"/>
      <c r="AT2863" s="197"/>
      <c r="AU2863" s="197"/>
      <c r="AV2863" s="197"/>
      <c r="AW2863" s="197"/>
    </row>
    <row r="2864" spans="28:49" s="196" customFormat="1">
      <c r="AB2864" s="201"/>
      <c r="AC2864" s="201"/>
      <c r="AD2864" s="197"/>
      <c r="AE2864" s="197"/>
      <c r="AF2864" s="197"/>
      <c r="AG2864" s="197"/>
      <c r="AH2864" s="197"/>
      <c r="AI2864" s="197"/>
      <c r="AJ2864" s="197"/>
      <c r="AK2864" s="197"/>
      <c r="AL2864" s="197"/>
      <c r="AM2864" s="197"/>
      <c r="AN2864" s="197"/>
      <c r="AO2864" s="197"/>
      <c r="AP2864" s="197"/>
      <c r="AQ2864" s="197"/>
      <c r="AR2864" s="197"/>
      <c r="AS2864" s="197"/>
      <c r="AT2864" s="197"/>
      <c r="AU2864" s="197"/>
      <c r="AV2864" s="197"/>
      <c r="AW2864" s="197"/>
    </row>
    <row r="2865" spans="28:49" s="196" customFormat="1">
      <c r="AB2865" s="201"/>
      <c r="AC2865" s="201"/>
      <c r="AD2865" s="197"/>
      <c r="AE2865" s="197"/>
      <c r="AF2865" s="197"/>
      <c r="AG2865" s="197"/>
      <c r="AH2865" s="197"/>
      <c r="AI2865" s="197"/>
      <c r="AJ2865" s="197"/>
      <c r="AK2865" s="197"/>
      <c r="AL2865" s="197"/>
      <c r="AM2865" s="197"/>
      <c r="AN2865" s="197"/>
      <c r="AO2865" s="197"/>
      <c r="AP2865" s="197"/>
      <c r="AQ2865" s="197"/>
      <c r="AR2865" s="197"/>
      <c r="AS2865" s="197"/>
      <c r="AT2865" s="197"/>
      <c r="AU2865" s="197"/>
      <c r="AV2865" s="197"/>
      <c r="AW2865" s="197"/>
    </row>
    <row r="2866" spans="28:49" s="196" customFormat="1">
      <c r="AB2866" s="201"/>
      <c r="AC2866" s="201"/>
      <c r="AD2866" s="197"/>
      <c r="AE2866" s="197"/>
      <c r="AF2866" s="197"/>
      <c r="AG2866" s="197"/>
      <c r="AH2866" s="197"/>
      <c r="AI2866" s="197"/>
      <c r="AJ2866" s="197"/>
      <c r="AK2866" s="197"/>
      <c r="AL2866" s="197"/>
      <c r="AM2866" s="197"/>
      <c r="AN2866" s="197"/>
      <c r="AO2866" s="197"/>
      <c r="AP2866" s="197"/>
      <c r="AQ2866" s="197"/>
      <c r="AR2866" s="197"/>
      <c r="AS2866" s="197"/>
      <c r="AT2866" s="197"/>
      <c r="AU2866" s="197"/>
      <c r="AV2866" s="197"/>
      <c r="AW2866" s="197"/>
    </row>
    <row r="2867" spans="28:49" s="196" customFormat="1">
      <c r="AB2867" s="201"/>
      <c r="AC2867" s="201"/>
      <c r="AD2867" s="197"/>
      <c r="AE2867" s="197"/>
      <c r="AF2867" s="197"/>
      <c r="AG2867" s="197"/>
      <c r="AH2867" s="197"/>
      <c r="AI2867" s="197"/>
      <c r="AJ2867" s="197"/>
      <c r="AK2867" s="197"/>
      <c r="AL2867" s="197"/>
      <c r="AM2867" s="197"/>
      <c r="AN2867" s="197"/>
      <c r="AO2867" s="197"/>
      <c r="AP2867" s="197"/>
      <c r="AQ2867" s="197"/>
      <c r="AR2867" s="197"/>
      <c r="AS2867" s="197"/>
      <c r="AT2867" s="197"/>
      <c r="AU2867" s="197"/>
      <c r="AV2867" s="197"/>
      <c r="AW2867" s="197"/>
    </row>
    <row r="2868" spans="28:49" s="196" customFormat="1">
      <c r="AB2868" s="201"/>
      <c r="AC2868" s="201"/>
      <c r="AD2868" s="197"/>
      <c r="AE2868" s="197"/>
      <c r="AF2868" s="197"/>
      <c r="AG2868" s="197"/>
      <c r="AH2868" s="197"/>
      <c r="AI2868" s="197"/>
      <c r="AJ2868" s="197"/>
      <c r="AK2868" s="197"/>
      <c r="AL2868" s="197"/>
      <c r="AM2868" s="197"/>
      <c r="AN2868" s="197"/>
      <c r="AO2868" s="197"/>
      <c r="AP2868" s="197"/>
      <c r="AQ2868" s="197"/>
      <c r="AR2868" s="197"/>
      <c r="AS2868" s="197"/>
      <c r="AT2868" s="197"/>
      <c r="AU2868" s="197"/>
      <c r="AV2868" s="197"/>
      <c r="AW2868" s="197"/>
    </row>
    <row r="2869" spans="28:49" s="196" customFormat="1">
      <c r="AB2869" s="201"/>
      <c r="AC2869" s="201"/>
      <c r="AD2869" s="197"/>
      <c r="AE2869" s="197"/>
      <c r="AF2869" s="197"/>
      <c r="AG2869" s="197"/>
      <c r="AH2869" s="197"/>
      <c r="AI2869" s="197"/>
      <c r="AJ2869" s="197"/>
      <c r="AK2869" s="197"/>
      <c r="AL2869" s="197"/>
      <c r="AM2869" s="197"/>
      <c r="AN2869" s="197"/>
      <c r="AO2869" s="197"/>
      <c r="AP2869" s="197"/>
      <c r="AQ2869" s="197"/>
      <c r="AR2869" s="197"/>
      <c r="AS2869" s="197"/>
      <c r="AT2869" s="197"/>
      <c r="AU2869" s="197"/>
      <c r="AV2869" s="197"/>
      <c r="AW2869" s="197"/>
    </row>
    <row r="2870" spans="28:49" s="196" customFormat="1">
      <c r="AB2870" s="201"/>
      <c r="AC2870" s="201"/>
      <c r="AD2870" s="197"/>
      <c r="AE2870" s="197"/>
      <c r="AF2870" s="197"/>
      <c r="AG2870" s="197"/>
      <c r="AH2870" s="197"/>
      <c r="AI2870" s="197"/>
      <c r="AJ2870" s="197"/>
      <c r="AK2870" s="197"/>
      <c r="AL2870" s="197"/>
      <c r="AM2870" s="197"/>
      <c r="AN2870" s="197"/>
      <c r="AO2870" s="197"/>
      <c r="AP2870" s="197"/>
      <c r="AQ2870" s="197"/>
      <c r="AR2870" s="197"/>
      <c r="AS2870" s="197"/>
      <c r="AT2870" s="197"/>
      <c r="AU2870" s="197"/>
      <c r="AV2870" s="197"/>
      <c r="AW2870" s="197"/>
    </row>
    <row r="2871" spans="28:49" s="196" customFormat="1">
      <c r="AB2871" s="201"/>
      <c r="AC2871" s="201"/>
      <c r="AD2871" s="197"/>
      <c r="AE2871" s="197"/>
      <c r="AF2871" s="197"/>
      <c r="AG2871" s="197"/>
      <c r="AH2871" s="197"/>
      <c r="AI2871" s="197"/>
      <c r="AJ2871" s="197"/>
      <c r="AK2871" s="197"/>
      <c r="AL2871" s="197"/>
      <c r="AM2871" s="197"/>
      <c r="AN2871" s="197"/>
      <c r="AO2871" s="197"/>
      <c r="AP2871" s="197"/>
      <c r="AQ2871" s="197"/>
      <c r="AR2871" s="197"/>
      <c r="AS2871" s="197"/>
      <c r="AT2871" s="197"/>
      <c r="AU2871" s="197"/>
      <c r="AV2871" s="197"/>
      <c r="AW2871" s="197"/>
    </row>
    <row r="2872" spans="28:49" s="196" customFormat="1">
      <c r="AB2872" s="201"/>
      <c r="AC2872" s="201"/>
      <c r="AD2872" s="197"/>
      <c r="AE2872" s="197"/>
      <c r="AF2872" s="197"/>
      <c r="AG2872" s="197"/>
      <c r="AH2872" s="197"/>
      <c r="AI2872" s="197"/>
      <c r="AJ2872" s="197"/>
      <c r="AK2872" s="197"/>
      <c r="AL2872" s="197"/>
      <c r="AM2872" s="197"/>
      <c r="AN2872" s="197"/>
      <c r="AO2872" s="197"/>
      <c r="AP2872" s="197"/>
      <c r="AQ2872" s="197"/>
      <c r="AR2872" s="197"/>
      <c r="AS2872" s="197"/>
      <c r="AT2872" s="197"/>
      <c r="AU2872" s="197"/>
      <c r="AV2872" s="197"/>
      <c r="AW2872" s="197"/>
    </row>
    <row r="2873" spans="28:49" s="196" customFormat="1">
      <c r="AB2873" s="201"/>
      <c r="AC2873" s="201"/>
      <c r="AD2873" s="197"/>
      <c r="AE2873" s="197"/>
      <c r="AF2873" s="197"/>
      <c r="AG2873" s="197"/>
      <c r="AH2873" s="197"/>
      <c r="AI2873" s="197"/>
      <c r="AJ2873" s="197"/>
      <c r="AK2873" s="197"/>
      <c r="AL2873" s="197"/>
      <c r="AM2873" s="197"/>
      <c r="AN2873" s="197"/>
      <c r="AO2873" s="197"/>
      <c r="AP2873" s="197"/>
      <c r="AQ2873" s="197"/>
      <c r="AR2873" s="197"/>
      <c r="AS2873" s="197"/>
      <c r="AT2873" s="197"/>
      <c r="AU2873" s="197"/>
      <c r="AV2873" s="197"/>
      <c r="AW2873" s="197"/>
    </row>
    <row r="2874" spans="28:49" s="196" customFormat="1">
      <c r="AB2874" s="201"/>
      <c r="AC2874" s="201"/>
      <c r="AD2874" s="197"/>
      <c r="AE2874" s="197"/>
      <c r="AF2874" s="197"/>
      <c r="AG2874" s="197"/>
      <c r="AH2874" s="197"/>
      <c r="AI2874" s="197"/>
      <c r="AJ2874" s="197"/>
      <c r="AK2874" s="197"/>
      <c r="AL2874" s="197"/>
      <c r="AM2874" s="197"/>
      <c r="AN2874" s="197"/>
      <c r="AO2874" s="197"/>
      <c r="AP2874" s="197"/>
      <c r="AQ2874" s="197"/>
      <c r="AR2874" s="197"/>
      <c r="AS2874" s="197"/>
      <c r="AT2874" s="197"/>
      <c r="AU2874" s="197"/>
      <c r="AV2874" s="197"/>
      <c r="AW2874" s="197"/>
    </row>
    <row r="2875" spans="28:49" s="196" customFormat="1">
      <c r="AB2875" s="201"/>
      <c r="AC2875" s="201"/>
      <c r="AD2875" s="197"/>
      <c r="AE2875" s="197"/>
      <c r="AF2875" s="197"/>
      <c r="AG2875" s="197"/>
      <c r="AH2875" s="197"/>
      <c r="AI2875" s="197"/>
      <c r="AJ2875" s="197"/>
      <c r="AK2875" s="197"/>
      <c r="AL2875" s="197"/>
      <c r="AM2875" s="197"/>
      <c r="AN2875" s="197"/>
      <c r="AO2875" s="197"/>
      <c r="AP2875" s="197"/>
      <c r="AQ2875" s="197"/>
      <c r="AR2875" s="197"/>
      <c r="AS2875" s="197"/>
      <c r="AT2875" s="197"/>
      <c r="AU2875" s="197"/>
      <c r="AV2875" s="197"/>
      <c r="AW2875" s="197"/>
    </row>
    <row r="2876" spans="28:49" s="196" customFormat="1">
      <c r="AB2876" s="201"/>
      <c r="AC2876" s="201"/>
      <c r="AD2876" s="197"/>
      <c r="AE2876" s="197"/>
      <c r="AF2876" s="197"/>
      <c r="AG2876" s="197"/>
      <c r="AH2876" s="197"/>
      <c r="AI2876" s="197"/>
      <c r="AJ2876" s="197"/>
      <c r="AK2876" s="197"/>
      <c r="AL2876" s="197"/>
      <c r="AM2876" s="197"/>
      <c r="AN2876" s="197"/>
      <c r="AO2876" s="197"/>
      <c r="AP2876" s="197"/>
      <c r="AQ2876" s="197"/>
      <c r="AR2876" s="197"/>
      <c r="AS2876" s="197"/>
      <c r="AT2876" s="197"/>
      <c r="AU2876" s="197"/>
      <c r="AV2876" s="197"/>
      <c r="AW2876" s="197"/>
    </row>
    <row r="2877" spans="28:49" s="196" customFormat="1">
      <c r="AB2877" s="201"/>
      <c r="AC2877" s="201"/>
      <c r="AD2877" s="197"/>
      <c r="AE2877" s="197"/>
      <c r="AF2877" s="197"/>
      <c r="AG2877" s="197"/>
      <c r="AH2877" s="197"/>
      <c r="AI2877" s="197"/>
      <c r="AJ2877" s="197"/>
      <c r="AK2877" s="197"/>
      <c r="AL2877" s="197"/>
      <c r="AM2877" s="197"/>
      <c r="AN2877" s="197"/>
      <c r="AO2877" s="197"/>
      <c r="AP2877" s="197"/>
      <c r="AQ2877" s="197"/>
      <c r="AR2877" s="197"/>
      <c r="AS2877" s="197"/>
      <c r="AT2877" s="197"/>
      <c r="AU2877" s="197"/>
      <c r="AV2877" s="197"/>
      <c r="AW2877" s="197"/>
    </row>
    <row r="2878" spans="28:49" s="196" customFormat="1">
      <c r="AB2878" s="201"/>
      <c r="AC2878" s="201"/>
      <c r="AD2878" s="197"/>
      <c r="AE2878" s="197"/>
      <c r="AF2878" s="197"/>
      <c r="AG2878" s="197"/>
      <c r="AH2878" s="197"/>
      <c r="AI2878" s="197"/>
      <c r="AJ2878" s="197"/>
      <c r="AK2878" s="197"/>
      <c r="AL2878" s="197"/>
      <c r="AM2878" s="197"/>
      <c r="AN2878" s="197"/>
      <c r="AO2878" s="197"/>
      <c r="AP2878" s="197"/>
      <c r="AQ2878" s="197"/>
      <c r="AR2878" s="197"/>
      <c r="AS2878" s="197"/>
      <c r="AT2878" s="197"/>
      <c r="AU2878" s="197"/>
      <c r="AV2878" s="197"/>
      <c r="AW2878" s="197"/>
    </row>
    <row r="2879" spans="28:49" s="196" customFormat="1">
      <c r="AB2879" s="201"/>
      <c r="AC2879" s="201"/>
      <c r="AD2879" s="197"/>
      <c r="AE2879" s="197"/>
      <c r="AF2879" s="197"/>
      <c r="AG2879" s="197"/>
      <c r="AH2879" s="197"/>
      <c r="AI2879" s="197"/>
      <c r="AJ2879" s="197"/>
      <c r="AK2879" s="197"/>
      <c r="AL2879" s="197"/>
      <c r="AM2879" s="197"/>
      <c r="AN2879" s="197"/>
      <c r="AO2879" s="197"/>
      <c r="AP2879" s="197"/>
      <c r="AQ2879" s="197"/>
      <c r="AR2879" s="197"/>
      <c r="AS2879" s="197"/>
      <c r="AT2879" s="197"/>
      <c r="AU2879" s="197"/>
      <c r="AV2879" s="197"/>
      <c r="AW2879" s="197"/>
    </row>
    <row r="2880" spans="28:49" s="196" customFormat="1">
      <c r="AB2880" s="201"/>
      <c r="AC2880" s="201"/>
      <c r="AD2880" s="197"/>
      <c r="AE2880" s="197"/>
      <c r="AF2880" s="197"/>
      <c r="AG2880" s="197"/>
      <c r="AH2880" s="197"/>
      <c r="AI2880" s="197"/>
      <c r="AJ2880" s="197"/>
      <c r="AK2880" s="197"/>
      <c r="AL2880" s="197"/>
      <c r="AM2880" s="197"/>
      <c r="AN2880" s="197"/>
      <c r="AO2880" s="197"/>
      <c r="AP2880" s="197"/>
      <c r="AQ2880" s="197"/>
      <c r="AR2880" s="197"/>
      <c r="AS2880" s="197"/>
      <c r="AT2880" s="197"/>
      <c r="AU2880" s="197"/>
      <c r="AV2880" s="197"/>
      <c r="AW2880" s="197"/>
    </row>
    <row r="2881" spans="28:49" s="196" customFormat="1">
      <c r="AB2881" s="201"/>
      <c r="AC2881" s="201"/>
      <c r="AD2881" s="197"/>
      <c r="AE2881" s="197"/>
      <c r="AF2881" s="197"/>
      <c r="AG2881" s="197"/>
      <c r="AH2881" s="197"/>
      <c r="AI2881" s="197"/>
      <c r="AJ2881" s="197"/>
      <c r="AK2881" s="197"/>
      <c r="AL2881" s="197"/>
      <c r="AM2881" s="197"/>
      <c r="AN2881" s="197"/>
      <c r="AO2881" s="197"/>
      <c r="AP2881" s="197"/>
      <c r="AQ2881" s="197"/>
      <c r="AR2881" s="197"/>
      <c r="AS2881" s="197"/>
      <c r="AT2881" s="197"/>
      <c r="AU2881" s="197"/>
      <c r="AV2881" s="197"/>
      <c r="AW2881" s="197"/>
    </row>
    <row r="2882" spans="28:49" s="196" customFormat="1">
      <c r="AB2882" s="201"/>
      <c r="AC2882" s="201"/>
      <c r="AD2882" s="197"/>
      <c r="AE2882" s="197"/>
      <c r="AF2882" s="197"/>
      <c r="AG2882" s="197"/>
      <c r="AH2882" s="197"/>
      <c r="AI2882" s="197"/>
      <c r="AJ2882" s="197"/>
      <c r="AK2882" s="197"/>
      <c r="AL2882" s="197"/>
      <c r="AM2882" s="197"/>
      <c r="AN2882" s="197"/>
      <c r="AO2882" s="197"/>
      <c r="AP2882" s="197"/>
      <c r="AQ2882" s="197"/>
      <c r="AR2882" s="197"/>
      <c r="AS2882" s="197"/>
      <c r="AT2882" s="197"/>
      <c r="AU2882" s="197"/>
      <c r="AV2882" s="197"/>
      <c r="AW2882" s="197"/>
    </row>
    <row r="2883" spans="28:49" s="196" customFormat="1">
      <c r="AB2883" s="201"/>
      <c r="AC2883" s="201"/>
      <c r="AD2883" s="197"/>
      <c r="AE2883" s="197"/>
      <c r="AF2883" s="197"/>
      <c r="AG2883" s="197"/>
      <c r="AH2883" s="197"/>
      <c r="AI2883" s="197"/>
      <c r="AJ2883" s="197"/>
      <c r="AK2883" s="197"/>
      <c r="AL2883" s="197"/>
      <c r="AM2883" s="197"/>
      <c r="AN2883" s="197"/>
      <c r="AO2883" s="197"/>
      <c r="AP2883" s="197"/>
      <c r="AQ2883" s="197"/>
      <c r="AR2883" s="197"/>
      <c r="AS2883" s="197"/>
      <c r="AT2883" s="197"/>
      <c r="AU2883" s="197"/>
      <c r="AV2883" s="197"/>
      <c r="AW2883" s="197"/>
    </row>
    <row r="2884" spans="28:49" s="196" customFormat="1">
      <c r="AB2884" s="201"/>
      <c r="AC2884" s="201"/>
      <c r="AD2884" s="197"/>
      <c r="AE2884" s="197"/>
      <c r="AF2884" s="197"/>
      <c r="AG2884" s="197"/>
      <c r="AH2884" s="197"/>
      <c r="AI2884" s="197"/>
      <c r="AJ2884" s="197"/>
      <c r="AK2884" s="197"/>
      <c r="AL2884" s="197"/>
      <c r="AM2884" s="197"/>
      <c r="AN2884" s="197"/>
      <c r="AO2884" s="197"/>
      <c r="AP2884" s="197"/>
      <c r="AQ2884" s="197"/>
      <c r="AR2884" s="197"/>
      <c r="AS2884" s="197"/>
      <c r="AT2884" s="197"/>
      <c r="AU2884" s="197"/>
      <c r="AV2884" s="197"/>
      <c r="AW2884" s="197"/>
    </row>
    <row r="2885" spans="28:49" s="196" customFormat="1">
      <c r="AB2885" s="201"/>
      <c r="AC2885" s="201"/>
      <c r="AD2885" s="197"/>
      <c r="AE2885" s="197"/>
      <c r="AF2885" s="197"/>
      <c r="AG2885" s="197"/>
      <c r="AH2885" s="197"/>
      <c r="AI2885" s="197"/>
      <c r="AJ2885" s="197"/>
      <c r="AK2885" s="197"/>
      <c r="AL2885" s="197"/>
      <c r="AM2885" s="197"/>
      <c r="AN2885" s="197"/>
      <c r="AO2885" s="197"/>
      <c r="AP2885" s="197"/>
      <c r="AQ2885" s="197"/>
      <c r="AR2885" s="197"/>
      <c r="AS2885" s="197"/>
      <c r="AT2885" s="197"/>
      <c r="AU2885" s="197"/>
      <c r="AV2885" s="197"/>
      <c r="AW2885" s="197"/>
    </row>
    <row r="2886" spans="28:49" s="196" customFormat="1">
      <c r="AB2886" s="201"/>
      <c r="AC2886" s="201"/>
      <c r="AD2886" s="197"/>
      <c r="AE2886" s="197"/>
      <c r="AF2886" s="197"/>
      <c r="AG2886" s="197"/>
      <c r="AH2886" s="197"/>
      <c r="AI2886" s="197"/>
      <c r="AJ2886" s="197"/>
      <c r="AK2886" s="197"/>
      <c r="AL2886" s="197"/>
      <c r="AM2886" s="197"/>
      <c r="AN2886" s="197"/>
      <c r="AO2886" s="197"/>
      <c r="AP2886" s="197"/>
      <c r="AQ2886" s="197"/>
      <c r="AR2886" s="197"/>
      <c r="AS2886" s="197"/>
      <c r="AT2886" s="197"/>
      <c r="AU2886" s="197"/>
      <c r="AV2886" s="197"/>
      <c r="AW2886" s="197"/>
    </row>
    <row r="2887" spans="28:49" s="196" customFormat="1">
      <c r="AB2887" s="201"/>
      <c r="AC2887" s="201"/>
      <c r="AD2887" s="197"/>
      <c r="AE2887" s="197"/>
      <c r="AF2887" s="197"/>
      <c r="AG2887" s="197"/>
      <c r="AH2887" s="197"/>
      <c r="AI2887" s="197"/>
      <c r="AJ2887" s="197"/>
      <c r="AK2887" s="197"/>
      <c r="AL2887" s="197"/>
      <c r="AM2887" s="197"/>
      <c r="AN2887" s="197"/>
      <c r="AO2887" s="197"/>
      <c r="AP2887" s="197"/>
      <c r="AQ2887" s="197"/>
      <c r="AR2887" s="197"/>
      <c r="AS2887" s="197"/>
      <c r="AT2887" s="197"/>
      <c r="AU2887" s="197"/>
      <c r="AV2887" s="197"/>
      <c r="AW2887" s="197"/>
    </row>
    <row r="2888" spans="28:49" s="196" customFormat="1">
      <c r="AB2888" s="201"/>
      <c r="AC2888" s="201"/>
      <c r="AD2888" s="197"/>
      <c r="AE2888" s="197"/>
      <c r="AF2888" s="197"/>
      <c r="AG2888" s="197"/>
      <c r="AH2888" s="197"/>
      <c r="AI2888" s="197"/>
      <c r="AJ2888" s="197"/>
      <c r="AK2888" s="197"/>
      <c r="AL2888" s="197"/>
      <c r="AM2888" s="197"/>
      <c r="AN2888" s="197"/>
      <c r="AO2888" s="197"/>
      <c r="AP2888" s="197"/>
      <c r="AQ2888" s="197"/>
      <c r="AR2888" s="197"/>
      <c r="AS2888" s="197"/>
      <c r="AT2888" s="197"/>
      <c r="AU2888" s="197"/>
      <c r="AV2888" s="197"/>
      <c r="AW2888" s="197"/>
    </row>
    <row r="2889" spans="28:49" s="196" customFormat="1">
      <c r="AB2889" s="201"/>
      <c r="AC2889" s="201"/>
      <c r="AD2889" s="197"/>
      <c r="AE2889" s="197"/>
      <c r="AF2889" s="197"/>
      <c r="AG2889" s="197"/>
      <c r="AH2889" s="197"/>
      <c r="AI2889" s="197"/>
      <c r="AJ2889" s="197"/>
      <c r="AK2889" s="197"/>
      <c r="AL2889" s="197"/>
      <c r="AM2889" s="197"/>
      <c r="AN2889" s="197"/>
      <c r="AO2889" s="197"/>
      <c r="AP2889" s="197"/>
      <c r="AQ2889" s="197"/>
      <c r="AR2889" s="197"/>
      <c r="AS2889" s="197"/>
      <c r="AT2889" s="197"/>
      <c r="AU2889" s="197"/>
      <c r="AV2889" s="197"/>
      <c r="AW2889" s="197"/>
    </row>
    <row r="2890" spans="28:49" s="196" customFormat="1">
      <c r="AB2890" s="201"/>
      <c r="AC2890" s="201"/>
      <c r="AD2890" s="197"/>
      <c r="AE2890" s="197"/>
      <c r="AF2890" s="197"/>
      <c r="AG2890" s="197"/>
      <c r="AH2890" s="197"/>
      <c r="AI2890" s="197"/>
      <c r="AJ2890" s="197"/>
      <c r="AK2890" s="197"/>
      <c r="AL2890" s="197"/>
      <c r="AM2890" s="197"/>
      <c r="AN2890" s="197"/>
      <c r="AO2890" s="197"/>
      <c r="AP2890" s="197"/>
      <c r="AQ2890" s="197"/>
      <c r="AR2890" s="197"/>
      <c r="AS2890" s="197"/>
      <c r="AT2890" s="197"/>
      <c r="AU2890" s="197"/>
      <c r="AV2890" s="197"/>
      <c r="AW2890" s="197"/>
    </row>
    <row r="2891" spans="28:49" s="196" customFormat="1">
      <c r="AB2891" s="201"/>
      <c r="AC2891" s="201"/>
      <c r="AD2891" s="197"/>
      <c r="AE2891" s="197"/>
      <c r="AF2891" s="197"/>
      <c r="AG2891" s="197"/>
      <c r="AH2891" s="197"/>
      <c r="AI2891" s="197"/>
      <c r="AJ2891" s="197"/>
      <c r="AK2891" s="197"/>
      <c r="AL2891" s="197"/>
      <c r="AM2891" s="197"/>
      <c r="AN2891" s="197"/>
      <c r="AO2891" s="197"/>
      <c r="AP2891" s="197"/>
      <c r="AQ2891" s="197"/>
      <c r="AR2891" s="197"/>
      <c r="AS2891" s="197"/>
      <c r="AT2891" s="197"/>
      <c r="AU2891" s="197"/>
      <c r="AV2891" s="197"/>
      <c r="AW2891" s="197"/>
    </row>
    <row r="2892" spans="28:49" s="196" customFormat="1">
      <c r="AB2892" s="201"/>
      <c r="AC2892" s="201"/>
      <c r="AD2892" s="197"/>
      <c r="AE2892" s="197"/>
      <c r="AF2892" s="197"/>
      <c r="AG2892" s="197"/>
      <c r="AH2892" s="197"/>
      <c r="AI2892" s="197"/>
      <c r="AJ2892" s="197"/>
      <c r="AK2892" s="197"/>
      <c r="AL2892" s="197"/>
      <c r="AM2892" s="197"/>
      <c r="AN2892" s="197"/>
      <c r="AO2892" s="197"/>
      <c r="AP2892" s="197"/>
      <c r="AQ2892" s="197"/>
      <c r="AR2892" s="197"/>
      <c r="AS2892" s="197"/>
      <c r="AT2892" s="197"/>
      <c r="AU2892" s="197"/>
      <c r="AV2892" s="197"/>
      <c r="AW2892" s="197"/>
    </row>
    <row r="2893" spans="28:49" s="196" customFormat="1">
      <c r="AB2893" s="201"/>
      <c r="AC2893" s="201"/>
      <c r="AD2893" s="197"/>
      <c r="AE2893" s="197"/>
      <c r="AF2893" s="197"/>
      <c r="AG2893" s="197"/>
      <c r="AH2893" s="197"/>
      <c r="AI2893" s="197"/>
      <c r="AJ2893" s="197"/>
      <c r="AK2893" s="197"/>
      <c r="AL2893" s="197"/>
      <c r="AM2893" s="197"/>
      <c r="AN2893" s="197"/>
      <c r="AO2893" s="197"/>
      <c r="AP2893" s="197"/>
      <c r="AQ2893" s="197"/>
      <c r="AR2893" s="197"/>
      <c r="AS2893" s="197"/>
      <c r="AT2893" s="197"/>
      <c r="AU2893" s="197"/>
      <c r="AV2893" s="197"/>
      <c r="AW2893" s="197"/>
    </row>
    <row r="2894" spans="28:49" s="196" customFormat="1">
      <c r="AB2894" s="201"/>
      <c r="AC2894" s="201"/>
      <c r="AD2894" s="197"/>
      <c r="AE2894" s="197"/>
      <c r="AF2894" s="197"/>
      <c r="AG2894" s="197"/>
      <c r="AH2894" s="197"/>
      <c r="AI2894" s="197"/>
      <c r="AJ2894" s="197"/>
      <c r="AK2894" s="197"/>
      <c r="AL2894" s="197"/>
      <c r="AM2894" s="197"/>
      <c r="AN2894" s="197"/>
      <c r="AO2894" s="197"/>
      <c r="AP2894" s="197"/>
      <c r="AQ2894" s="197"/>
      <c r="AR2894" s="197"/>
      <c r="AS2894" s="197"/>
      <c r="AT2894" s="197"/>
      <c r="AU2894" s="197"/>
      <c r="AV2894" s="197"/>
      <c r="AW2894" s="197"/>
    </row>
    <row r="2895" spans="28:49" s="196" customFormat="1">
      <c r="AB2895" s="201"/>
      <c r="AC2895" s="201"/>
      <c r="AD2895" s="197"/>
      <c r="AE2895" s="197"/>
      <c r="AF2895" s="197"/>
      <c r="AG2895" s="197"/>
      <c r="AH2895" s="197"/>
      <c r="AI2895" s="197"/>
      <c r="AJ2895" s="197"/>
      <c r="AK2895" s="197"/>
      <c r="AL2895" s="197"/>
      <c r="AM2895" s="197"/>
      <c r="AN2895" s="197"/>
      <c r="AO2895" s="197"/>
      <c r="AP2895" s="197"/>
      <c r="AQ2895" s="197"/>
      <c r="AR2895" s="197"/>
      <c r="AS2895" s="197"/>
      <c r="AT2895" s="197"/>
      <c r="AU2895" s="197"/>
      <c r="AV2895" s="197"/>
      <c r="AW2895" s="197"/>
    </row>
    <row r="2896" spans="28:49" s="196" customFormat="1">
      <c r="AB2896" s="201"/>
      <c r="AC2896" s="201"/>
      <c r="AD2896" s="197"/>
      <c r="AE2896" s="197"/>
      <c r="AF2896" s="197"/>
      <c r="AG2896" s="197"/>
      <c r="AH2896" s="197"/>
      <c r="AI2896" s="197"/>
      <c r="AJ2896" s="197"/>
      <c r="AK2896" s="197"/>
      <c r="AL2896" s="197"/>
      <c r="AM2896" s="197"/>
      <c r="AN2896" s="197"/>
      <c r="AO2896" s="197"/>
      <c r="AP2896" s="197"/>
      <c r="AQ2896" s="197"/>
      <c r="AR2896" s="197"/>
      <c r="AS2896" s="197"/>
      <c r="AT2896" s="197"/>
      <c r="AU2896" s="197"/>
      <c r="AV2896" s="197"/>
      <c r="AW2896" s="197"/>
    </row>
    <row r="2897" spans="28:49" s="196" customFormat="1">
      <c r="AB2897" s="201"/>
      <c r="AC2897" s="201"/>
      <c r="AD2897" s="197"/>
      <c r="AE2897" s="197"/>
      <c r="AF2897" s="197"/>
      <c r="AG2897" s="197"/>
      <c r="AH2897" s="197"/>
      <c r="AI2897" s="197"/>
      <c r="AJ2897" s="197"/>
      <c r="AK2897" s="197"/>
      <c r="AL2897" s="197"/>
      <c r="AM2897" s="197"/>
      <c r="AN2897" s="197"/>
      <c r="AO2897" s="197"/>
      <c r="AP2897" s="197"/>
      <c r="AQ2897" s="197"/>
      <c r="AR2897" s="197"/>
      <c r="AS2897" s="197"/>
      <c r="AT2897" s="197"/>
      <c r="AU2897" s="197"/>
      <c r="AV2897" s="197"/>
      <c r="AW2897" s="197"/>
    </row>
    <row r="2898" spans="28:49" s="196" customFormat="1">
      <c r="AB2898" s="201"/>
      <c r="AC2898" s="201"/>
      <c r="AD2898" s="197"/>
      <c r="AE2898" s="197"/>
      <c r="AF2898" s="197"/>
      <c r="AG2898" s="197"/>
      <c r="AH2898" s="197"/>
      <c r="AI2898" s="197"/>
      <c r="AJ2898" s="197"/>
      <c r="AK2898" s="197"/>
      <c r="AL2898" s="197"/>
      <c r="AM2898" s="197"/>
      <c r="AN2898" s="197"/>
      <c r="AO2898" s="197"/>
      <c r="AP2898" s="197"/>
      <c r="AQ2898" s="197"/>
      <c r="AR2898" s="197"/>
      <c r="AS2898" s="197"/>
      <c r="AT2898" s="197"/>
      <c r="AU2898" s="197"/>
      <c r="AV2898" s="197"/>
      <c r="AW2898" s="197"/>
    </row>
    <row r="2899" spans="28:49" s="196" customFormat="1">
      <c r="AB2899" s="201"/>
      <c r="AC2899" s="201"/>
      <c r="AD2899" s="197"/>
      <c r="AE2899" s="197"/>
      <c r="AF2899" s="197"/>
      <c r="AG2899" s="197"/>
      <c r="AH2899" s="197"/>
      <c r="AI2899" s="197"/>
      <c r="AJ2899" s="197"/>
      <c r="AK2899" s="197"/>
      <c r="AL2899" s="197"/>
      <c r="AM2899" s="197"/>
      <c r="AN2899" s="197"/>
      <c r="AO2899" s="197"/>
      <c r="AP2899" s="197"/>
      <c r="AQ2899" s="197"/>
      <c r="AR2899" s="197"/>
      <c r="AS2899" s="197"/>
      <c r="AT2899" s="197"/>
      <c r="AU2899" s="197"/>
      <c r="AV2899" s="197"/>
      <c r="AW2899" s="197"/>
    </row>
    <row r="2900" spans="28:49" s="196" customFormat="1">
      <c r="AB2900" s="201"/>
      <c r="AC2900" s="201"/>
      <c r="AD2900" s="197"/>
      <c r="AE2900" s="197"/>
      <c r="AF2900" s="197"/>
      <c r="AG2900" s="197"/>
      <c r="AH2900" s="197"/>
      <c r="AI2900" s="197"/>
      <c r="AJ2900" s="197"/>
      <c r="AK2900" s="197"/>
      <c r="AL2900" s="197"/>
      <c r="AM2900" s="197"/>
      <c r="AN2900" s="197"/>
      <c r="AO2900" s="197"/>
      <c r="AP2900" s="197"/>
      <c r="AQ2900" s="197"/>
      <c r="AR2900" s="197"/>
      <c r="AS2900" s="197"/>
      <c r="AT2900" s="197"/>
      <c r="AU2900" s="197"/>
      <c r="AV2900" s="197"/>
      <c r="AW2900" s="197"/>
    </row>
    <row r="2901" spans="28:49" s="196" customFormat="1">
      <c r="AB2901" s="201"/>
      <c r="AC2901" s="201"/>
      <c r="AD2901" s="197"/>
      <c r="AE2901" s="197"/>
      <c r="AF2901" s="197"/>
      <c r="AG2901" s="197"/>
      <c r="AH2901" s="197"/>
      <c r="AI2901" s="197"/>
      <c r="AJ2901" s="197"/>
      <c r="AK2901" s="197"/>
      <c r="AL2901" s="197"/>
      <c r="AM2901" s="197"/>
      <c r="AN2901" s="197"/>
      <c r="AO2901" s="197"/>
      <c r="AP2901" s="197"/>
      <c r="AQ2901" s="197"/>
      <c r="AR2901" s="197"/>
      <c r="AS2901" s="197"/>
      <c r="AT2901" s="197"/>
      <c r="AU2901" s="197"/>
      <c r="AV2901" s="197"/>
      <c r="AW2901" s="197"/>
    </row>
    <row r="2902" spans="28:49" s="196" customFormat="1">
      <c r="AB2902" s="201"/>
      <c r="AC2902" s="201"/>
      <c r="AD2902" s="197"/>
      <c r="AE2902" s="197"/>
      <c r="AF2902" s="197"/>
      <c r="AG2902" s="197"/>
      <c r="AH2902" s="197"/>
      <c r="AI2902" s="197"/>
      <c r="AJ2902" s="197"/>
      <c r="AK2902" s="197"/>
      <c r="AL2902" s="197"/>
      <c r="AM2902" s="197"/>
      <c r="AN2902" s="197"/>
      <c r="AO2902" s="197"/>
      <c r="AP2902" s="197"/>
      <c r="AQ2902" s="197"/>
      <c r="AR2902" s="197"/>
      <c r="AS2902" s="197"/>
      <c r="AT2902" s="197"/>
      <c r="AU2902" s="197"/>
      <c r="AV2902" s="197"/>
      <c r="AW2902" s="197"/>
    </row>
    <row r="2903" spans="28:49" s="196" customFormat="1">
      <c r="AB2903" s="201"/>
      <c r="AC2903" s="201"/>
      <c r="AD2903" s="197"/>
      <c r="AE2903" s="197"/>
      <c r="AF2903" s="197"/>
      <c r="AG2903" s="197"/>
      <c r="AH2903" s="197"/>
      <c r="AI2903" s="197"/>
      <c r="AJ2903" s="197"/>
      <c r="AK2903" s="197"/>
      <c r="AL2903" s="197"/>
      <c r="AM2903" s="197"/>
      <c r="AN2903" s="197"/>
      <c r="AO2903" s="197"/>
      <c r="AP2903" s="197"/>
      <c r="AQ2903" s="197"/>
      <c r="AR2903" s="197"/>
      <c r="AS2903" s="197"/>
      <c r="AT2903" s="197"/>
      <c r="AU2903" s="197"/>
      <c r="AV2903" s="197"/>
      <c r="AW2903" s="197"/>
    </row>
    <row r="2904" spans="28:49" s="196" customFormat="1">
      <c r="AB2904" s="201"/>
      <c r="AC2904" s="201"/>
      <c r="AD2904" s="197"/>
      <c r="AE2904" s="197"/>
      <c r="AF2904" s="197"/>
      <c r="AG2904" s="197"/>
      <c r="AH2904" s="197"/>
      <c r="AI2904" s="197"/>
      <c r="AJ2904" s="197"/>
      <c r="AK2904" s="197"/>
      <c r="AL2904" s="197"/>
      <c r="AM2904" s="197"/>
      <c r="AN2904" s="197"/>
      <c r="AO2904" s="197"/>
      <c r="AP2904" s="197"/>
      <c r="AQ2904" s="197"/>
      <c r="AR2904" s="197"/>
      <c r="AS2904" s="197"/>
      <c r="AT2904" s="197"/>
      <c r="AU2904" s="197"/>
      <c r="AV2904" s="197"/>
      <c r="AW2904" s="197"/>
    </row>
    <row r="2905" spans="28:49" s="196" customFormat="1">
      <c r="AB2905" s="201"/>
      <c r="AC2905" s="201"/>
      <c r="AD2905" s="197"/>
      <c r="AE2905" s="197"/>
      <c r="AF2905" s="197"/>
      <c r="AG2905" s="197"/>
      <c r="AH2905" s="197"/>
      <c r="AI2905" s="197"/>
      <c r="AJ2905" s="197"/>
      <c r="AK2905" s="197"/>
      <c r="AL2905" s="197"/>
      <c r="AM2905" s="197"/>
      <c r="AN2905" s="197"/>
      <c r="AO2905" s="197"/>
      <c r="AP2905" s="197"/>
      <c r="AQ2905" s="197"/>
      <c r="AR2905" s="197"/>
      <c r="AS2905" s="197"/>
      <c r="AT2905" s="197"/>
      <c r="AU2905" s="197"/>
      <c r="AV2905" s="197"/>
      <c r="AW2905" s="197"/>
    </row>
    <row r="2906" spans="28:49" s="196" customFormat="1">
      <c r="AB2906" s="201"/>
      <c r="AC2906" s="201"/>
      <c r="AD2906" s="197"/>
      <c r="AE2906" s="197"/>
      <c r="AF2906" s="197"/>
      <c r="AG2906" s="197"/>
      <c r="AH2906" s="197"/>
      <c r="AI2906" s="197"/>
      <c r="AJ2906" s="197"/>
      <c r="AK2906" s="197"/>
      <c r="AL2906" s="197"/>
      <c r="AM2906" s="197"/>
      <c r="AN2906" s="197"/>
      <c r="AO2906" s="197"/>
      <c r="AP2906" s="197"/>
      <c r="AQ2906" s="197"/>
      <c r="AR2906" s="197"/>
      <c r="AS2906" s="197"/>
      <c r="AT2906" s="197"/>
      <c r="AU2906" s="197"/>
      <c r="AV2906" s="197"/>
      <c r="AW2906" s="197"/>
    </row>
    <row r="2907" spans="28:49" s="196" customFormat="1">
      <c r="AB2907" s="201"/>
      <c r="AC2907" s="201"/>
      <c r="AD2907" s="197"/>
      <c r="AE2907" s="197"/>
      <c r="AF2907" s="197"/>
      <c r="AG2907" s="197"/>
      <c r="AH2907" s="197"/>
      <c r="AI2907" s="197"/>
      <c r="AJ2907" s="197"/>
      <c r="AK2907" s="197"/>
      <c r="AL2907" s="197"/>
      <c r="AM2907" s="197"/>
      <c r="AN2907" s="197"/>
      <c r="AO2907" s="197"/>
      <c r="AP2907" s="197"/>
      <c r="AQ2907" s="197"/>
      <c r="AR2907" s="197"/>
      <c r="AS2907" s="197"/>
      <c r="AT2907" s="197"/>
      <c r="AU2907" s="197"/>
      <c r="AV2907" s="197"/>
      <c r="AW2907" s="197"/>
    </row>
    <row r="2908" spans="28:49" s="196" customFormat="1">
      <c r="AB2908" s="201"/>
      <c r="AC2908" s="201"/>
      <c r="AD2908" s="197"/>
      <c r="AE2908" s="197"/>
      <c r="AF2908" s="197"/>
      <c r="AG2908" s="197"/>
      <c r="AH2908" s="197"/>
      <c r="AI2908" s="197"/>
      <c r="AJ2908" s="197"/>
      <c r="AK2908" s="197"/>
      <c r="AL2908" s="197"/>
      <c r="AM2908" s="197"/>
      <c r="AN2908" s="197"/>
      <c r="AO2908" s="197"/>
      <c r="AP2908" s="197"/>
      <c r="AQ2908" s="197"/>
      <c r="AR2908" s="197"/>
      <c r="AS2908" s="197"/>
      <c r="AT2908" s="197"/>
      <c r="AU2908" s="197"/>
      <c r="AV2908" s="197"/>
      <c r="AW2908" s="197"/>
    </row>
    <row r="2909" spans="28:49" s="196" customFormat="1">
      <c r="AB2909" s="201"/>
      <c r="AC2909" s="201"/>
      <c r="AD2909" s="197"/>
      <c r="AE2909" s="197"/>
      <c r="AF2909" s="197"/>
      <c r="AG2909" s="197"/>
      <c r="AH2909" s="197"/>
      <c r="AI2909" s="197"/>
      <c r="AJ2909" s="197"/>
      <c r="AK2909" s="197"/>
      <c r="AL2909" s="197"/>
      <c r="AM2909" s="197"/>
      <c r="AN2909" s="197"/>
      <c r="AO2909" s="197"/>
      <c r="AP2909" s="197"/>
      <c r="AQ2909" s="197"/>
      <c r="AR2909" s="197"/>
      <c r="AS2909" s="197"/>
      <c r="AT2909" s="197"/>
      <c r="AU2909" s="197"/>
      <c r="AV2909" s="197"/>
      <c r="AW2909" s="197"/>
    </row>
    <row r="2910" spans="28:49" s="196" customFormat="1">
      <c r="AB2910" s="201"/>
      <c r="AC2910" s="201"/>
      <c r="AD2910" s="197"/>
      <c r="AE2910" s="197"/>
      <c r="AF2910" s="197"/>
      <c r="AG2910" s="197"/>
      <c r="AH2910" s="197"/>
      <c r="AI2910" s="197"/>
      <c r="AJ2910" s="197"/>
      <c r="AK2910" s="197"/>
      <c r="AL2910" s="197"/>
      <c r="AM2910" s="197"/>
      <c r="AN2910" s="197"/>
      <c r="AO2910" s="197"/>
      <c r="AP2910" s="197"/>
      <c r="AQ2910" s="197"/>
      <c r="AR2910" s="197"/>
      <c r="AS2910" s="197"/>
      <c r="AT2910" s="197"/>
      <c r="AU2910" s="197"/>
      <c r="AV2910" s="197"/>
      <c r="AW2910" s="197"/>
    </row>
    <row r="2911" spans="28:49" s="196" customFormat="1">
      <c r="AB2911" s="201"/>
      <c r="AC2911" s="201"/>
      <c r="AD2911" s="197"/>
      <c r="AE2911" s="197"/>
      <c r="AF2911" s="197"/>
      <c r="AG2911" s="197"/>
      <c r="AH2911" s="197"/>
      <c r="AI2911" s="197"/>
      <c r="AJ2911" s="197"/>
      <c r="AK2911" s="197"/>
      <c r="AL2911" s="197"/>
      <c r="AM2911" s="197"/>
      <c r="AN2911" s="197"/>
      <c r="AO2911" s="197"/>
      <c r="AP2911" s="197"/>
      <c r="AQ2911" s="197"/>
      <c r="AR2911" s="197"/>
      <c r="AS2911" s="197"/>
      <c r="AT2911" s="197"/>
      <c r="AU2911" s="197"/>
      <c r="AV2911" s="197"/>
      <c r="AW2911" s="197"/>
    </row>
    <row r="2912" spans="28:49" s="196" customFormat="1">
      <c r="AB2912" s="201"/>
      <c r="AC2912" s="201"/>
      <c r="AD2912" s="197"/>
      <c r="AE2912" s="197"/>
      <c r="AF2912" s="197"/>
      <c r="AG2912" s="197"/>
      <c r="AH2912" s="197"/>
      <c r="AI2912" s="197"/>
      <c r="AJ2912" s="197"/>
      <c r="AK2912" s="197"/>
      <c r="AL2912" s="197"/>
      <c r="AM2912" s="197"/>
      <c r="AN2912" s="197"/>
      <c r="AO2912" s="197"/>
      <c r="AP2912" s="197"/>
      <c r="AQ2912" s="197"/>
      <c r="AR2912" s="197"/>
      <c r="AS2912" s="197"/>
      <c r="AT2912" s="197"/>
      <c r="AU2912" s="197"/>
      <c r="AV2912" s="197"/>
      <c r="AW2912" s="197"/>
    </row>
    <row r="2913" spans="28:49" s="196" customFormat="1">
      <c r="AB2913" s="201"/>
      <c r="AC2913" s="201"/>
      <c r="AD2913" s="197"/>
      <c r="AE2913" s="197"/>
      <c r="AF2913" s="197"/>
      <c r="AG2913" s="197"/>
      <c r="AH2913" s="197"/>
      <c r="AI2913" s="197"/>
      <c r="AJ2913" s="197"/>
      <c r="AK2913" s="197"/>
      <c r="AL2913" s="197"/>
      <c r="AM2913" s="197"/>
      <c r="AN2913" s="197"/>
      <c r="AO2913" s="197"/>
      <c r="AP2913" s="197"/>
      <c r="AQ2913" s="197"/>
      <c r="AR2913" s="197"/>
      <c r="AS2913" s="197"/>
      <c r="AT2913" s="197"/>
      <c r="AU2913" s="197"/>
      <c r="AV2913" s="197"/>
      <c r="AW2913" s="197"/>
    </row>
    <row r="2914" spans="28:49" s="196" customFormat="1">
      <c r="AB2914" s="201"/>
      <c r="AC2914" s="201"/>
      <c r="AD2914" s="197"/>
      <c r="AE2914" s="197"/>
      <c r="AF2914" s="197"/>
      <c r="AG2914" s="197"/>
      <c r="AH2914" s="197"/>
      <c r="AI2914" s="197"/>
      <c r="AJ2914" s="197"/>
      <c r="AK2914" s="197"/>
      <c r="AL2914" s="197"/>
      <c r="AM2914" s="197"/>
      <c r="AN2914" s="197"/>
      <c r="AO2914" s="197"/>
      <c r="AP2914" s="197"/>
      <c r="AQ2914" s="197"/>
      <c r="AR2914" s="197"/>
      <c r="AS2914" s="197"/>
      <c r="AT2914" s="197"/>
      <c r="AU2914" s="197"/>
      <c r="AV2914" s="197"/>
      <c r="AW2914" s="197"/>
    </row>
    <row r="2915" spans="28:49" s="196" customFormat="1">
      <c r="AB2915" s="201"/>
      <c r="AC2915" s="201"/>
      <c r="AD2915" s="197"/>
      <c r="AE2915" s="197"/>
      <c r="AF2915" s="197"/>
      <c r="AG2915" s="197"/>
      <c r="AH2915" s="197"/>
      <c r="AI2915" s="197"/>
      <c r="AJ2915" s="197"/>
      <c r="AK2915" s="197"/>
      <c r="AL2915" s="197"/>
      <c r="AM2915" s="197"/>
      <c r="AN2915" s="197"/>
      <c r="AO2915" s="197"/>
      <c r="AP2915" s="197"/>
      <c r="AQ2915" s="197"/>
      <c r="AR2915" s="197"/>
      <c r="AS2915" s="197"/>
      <c r="AT2915" s="197"/>
      <c r="AU2915" s="197"/>
      <c r="AV2915" s="197"/>
      <c r="AW2915" s="197"/>
    </row>
    <row r="2916" spans="28:49" s="196" customFormat="1">
      <c r="AB2916" s="201"/>
      <c r="AC2916" s="201"/>
      <c r="AD2916" s="197"/>
      <c r="AE2916" s="197"/>
      <c r="AF2916" s="197"/>
      <c r="AG2916" s="197"/>
      <c r="AH2916" s="197"/>
      <c r="AI2916" s="197"/>
      <c r="AJ2916" s="197"/>
      <c r="AK2916" s="197"/>
      <c r="AL2916" s="197"/>
      <c r="AM2916" s="197"/>
      <c r="AN2916" s="197"/>
      <c r="AO2916" s="197"/>
      <c r="AP2916" s="197"/>
      <c r="AQ2916" s="197"/>
      <c r="AR2916" s="197"/>
      <c r="AS2916" s="197"/>
      <c r="AT2916" s="197"/>
      <c r="AU2916" s="197"/>
      <c r="AV2916" s="197"/>
      <c r="AW2916" s="197"/>
    </row>
    <row r="2917" spans="28:49" s="196" customFormat="1">
      <c r="AB2917" s="201"/>
      <c r="AC2917" s="201"/>
      <c r="AD2917" s="197"/>
      <c r="AE2917" s="197"/>
      <c r="AF2917" s="197"/>
      <c r="AG2917" s="197"/>
      <c r="AH2917" s="197"/>
      <c r="AI2917" s="197"/>
      <c r="AJ2917" s="197"/>
      <c r="AK2917" s="197"/>
      <c r="AL2917" s="197"/>
      <c r="AM2917" s="197"/>
      <c r="AN2917" s="197"/>
      <c r="AO2917" s="197"/>
      <c r="AP2917" s="197"/>
      <c r="AQ2917" s="197"/>
      <c r="AR2917" s="197"/>
      <c r="AS2917" s="197"/>
      <c r="AT2917" s="197"/>
      <c r="AU2917" s="197"/>
      <c r="AV2917" s="197"/>
      <c r="AW2917" s="197"/>
    </row>
    <row r="2918" spans="28:49" s="196" customFormat="1">
      <c r="AB2918" s="201"/>
      <c r="AC2918" s="201"/>
      <c r="AD2918" s="197"/>
      <c r="AE2918" s="197"/>
      <c r="AF2918" s="197"/>
      <c r="AG2918" s="197"/>
      <c r="AH2918" s="197"/>
      <c r="AI2918" s="197"/>
      <c r="AJ2918" s="197"/>
      <c r="AK2918" s="197"/>
      <c r="AL2918" s="197"/>
      <c r="AM2918" s="197"/>
      <c r="AN2918" s="197"/>
      <c r="AO2918" s="197"/>
      <c r="AP2918" s="197"/>
      <c r="AQ2918" s="197"/>
      <c r="AR2918" s="197"/>
      <c r="AS2918" s="197"/>
      <c r="AT2918" s="197"/>
      <c r="AU2918" s="197"/>
      <c r="AV2918" s="197"/>
      <c r="AW2918" s="197"/>
    </row>
    <row r="2919" spans="28:49" s="196" customFormat="1">
      <c r="AB2919" s="201"/>
      <c r="AC2919" s="201"/>
      <c r="AD2919" s="197"/>
      <c r="AE2919" s="197"/>
      <c r="AF2919" s="197"/>
      <c r="AG2919" s="197"/>
      <c r="AH2919" s="197"/>
      <c r="AI2919" s="197"/>
      <c r="AJ2919" s="197"/>
      <c r="AK2919" s="197"/>
      <c r="AL2919" s="197"/>
      <c r="AM2919" s="197"/>
      <c r="AN2919" s="197"/>
      <c r="AO2919" s="197"/>
      <c r="AP2919" s="197"/>
      <c r="AQ2919" s="197"/>
      <c r="AR2919" s="197"/>
      <c r="AS2919" s="197"/>
      <c r="AT2919" s="197"/>
      <c r="AU2919" s="197"/>
      <c r="AV2919" s="197"/>
      <c r="AW2919" s="197"/>
    </row>
    <row r="2920" spans="28:49" s="196" customFormat="1">
      <c r="AB2920" s="201"/>
      <c r="AC2920" s="201"/>
      <c r="AD2920" s="197"/>
      <c r="AE2920" s="197"/>
      <c r="AF2920" s="197"/>
      <c r="AG2920" s="197"/>
      <c r="AH2920" s="197"/>
      <c r="AI2920" s="197"/>
      <c r="AJ2920" s="197"/>
      <c r="AK2920" s="197"/>
      <c r="AL2920" s="197"/>
      <c r="AM2920" s="197"/>
      <c r="AN2920" s="197"/>
      <c r="AO2920" s="197"/>
      <c r="AP2920" s="197"/>
      <c r="AQ2920" s="197"/>
      <c r="AR2920" s="197"/>
      <c r="AS2920" s="197"/>
      <c r="AT2920" s="197"/>
      <c r="AU2920" s="197"/>
      <c r="AV2920" s="197"/>
      <c r="AW2920" s="197"/>
    </row>
    <row r="2921" spans="28:49" s="196" customFormat="1">
      <c r="AB2921" s="201"/>
      <c r="AC2921" s="201"/>
      <c r="AD2921" s="197"/>
      <c r="AE2921" s="197"/>
      <c r="AF2921" s="197"/>
      <c r="AG2921" s="197"/>
      <c r="AH2921" s="197"/>
      <c r="AI2921" s="197"/>
      <c r="AJ2921" s="197"/>
      <c r="AK2921" s="197"/>
      <c r="AL2921" s="197"/>
      <c r="AM2921" s="197"/>
      <c r="AN2921" s="197"/>
      <c r="AO2921" s="197"/>
      <c r="AP2921" s="197"/>
      <c r="AQ2921" s="197"/>
      <c r="AR2921" s="197"/>
      <c r="AS2921" s="197"/>
      <c r="AT2921" s="197"/>
      <c r="AU2921" s="197"/>
      <c r="AV2921" s="197"/>
      <c r="AW2921" s="197"/>
    </row>
    <row r="2922" spans="28:49" s="196" customFormat="1">
      <c r="AB2922" s="201"/>
      <c r="AC2922" s="201"/>
      <c r="AD2922" s="197"/>
      <c r="AE2922" s="197"/>
      <c r="AF2922" s="197"/>
      <c r="AG2922" s="197"/>
      <c r="AH2922" s="197"/>
      <c r="AI2922" s="197"/>
      <c r="AJ2922" s="197"/>
      <c r="AK2922" s="197"/>
      <c r="AL2922" s="197"/>
      <c r="AM2922" s="197"/>
      <c r="AN2922" s="197"/>
      <c r="AO2922" s="197"/>
      <c r="AP2922" s="197"/>
      <c r="AQ2922" s="197"/>
      <c r="AR2922" s="197"/>
      <c r="AS2922" s="197"/>
      <c r="AT2922" s="197"/>
      <c r="AU2922" s="197"/>
      <c r="AV2922" s="197"/>
      <c r="AW2922" s="197"/>
    </row>
    <row r="2923" spans="28:49" s="196" customFormat="1">
      <c r="AB2923" s="201"/>
      <c r="AC2923" s="201"/>
      <c r="AD2923" s="197"/>
      <c r="AE2923" s="197"/>
      <c r="AF2923" s="197"/>
      <c r="AG2923" s="197"/>
      <c r="AH2923" s="197"/>
      <c r="AI2923" s="197"/>
      <c r="AJ2923" s="197"/>
      <c r="AK2923" s="197"/>
      <c r="AL2923" s="197"/>
      <c r="AM2923" s="197"/>
      <c r="AN2923" s="197"/>
      <c r="AO2923" s="197"/>
      <c r="AP2923" s="197"/>
      <c r="AQ2923" s="197"/>
      <c r="AR2923" s="197"/>
      <c r="AS2923" s="197"/>
      <c r="AT2923" s="197"/>
      <c r="AU2923" s="197"/>
      <c r="AV2923" s="197"/>
      <c r="AW2923" s="197"/>
    </row>
    <row r="2924" spans="28:49" s="196" customFormat="1">
      <c r="AB2924" s="201"/>
      <c r="AC2924" s="201"/>
      <c r="AD2924" s="197"/>
      <c r="AE2924" s="197"/>
      <c r="AF2924" s="197"/>
      <c r="AG2924" s="197"/>
      <c r="AH2924" s="197"/>
      <c r="AI2924" s="197"/>
      <c r="AJ2924" s="197"/>
      <c r="AK2924" s="197"/>
      <c r="AL2924" s="197"/>
      <c r="AM2924" s="197"/>
      <c r="AN2924" s="197"/>
      <c r="AO2924" s="197"/>
      <c r="AP2924" s="197"/>
      <c r="AQ2924" s="197"/>
      <c r="AR2924" s="197"/>
      <c r="AS2924" s="197"/>
      <c r="AT2924" s="197"/>
      <c r="AU2924" s="197"/>
      <c r="AV2924" s="197"/>
      <c r="AW2924" s="197"/>
    </row>
    <row r="2925" spans="28:49" s="196" customFormat="1">
      <c r="AB2925" s="201"/>
      <c r="AC2925" s="201"/>
      <c r="AD2925" s="197"/>
      <c r="AE2925" s="197"/>
      <c r="AF2925" s="197"/>
      <c r="AG2925" s="197"/>
      <c r="AH2925" s="197"/>
      <c r="AI2925" s="197"/>
      <c r="AJ2925" s="197"/>
      <c r="AK2925" s="197"/>
      <c r="AL2925" s="197"/>
      <c r="AM2925" s="197"/>
      <c r="AN2925" s="197"/>
      <c r="AO2925" s="197"/>
      <c r="AP2925" s="197"/>
      <c r="AQ2925" s="197"/>
      <c r="AR2925" s="197"/>
      <c r="AS2925" s="197"/>
      <c r="AT2925" s="197"/>
      <c r="AU2925" s="197"/>
      <c r="AV2925" s="197"/>
      <c r="AW2925" s="197"/>
    </row>
    <row r="2926" spans="28:49" s="196" customFormat="1">
      <c r="AB2926" s="201"/>
      <c r="AC2926" s="201"/>
      <c r="AD2926" s="197"/>
      <c r="AE2926" s="197"/>
      <c r="AF2926" s="197"/>
      <c r="AG2926" s="197"/>
      <c r="AH2926" s="197"/>
      <c r="AI2926" s="197"/>
      <c r="AJ2926" s="197"/>
      <c r="AK2926" s="197"/>
      <c r="AL2926" s="197"/>
      <c r="AM2926" s="197"/>
      <c r="AN2926" s="197"/>
      <c r="AO2926" s="197"/>
      <c r="AP2926" s="197"/>
      <c r="AQ2926" s="197"/>
      <c r="AR2926" s="197"/>
      <c r="AS2926" s="197"/>
      <c r="AT2926" s="197"/>
      <c r="AU2926" s="197"/>
      <c r="AV2926" s="197"/>
      <c r="AW2926" s="197"/>
    </row>
    <row r="2927" spans="28:49" s="196" customFormat="1">
      <c r="AB2927" s="201"/>
      <c r="AC2927" s="201"/>
      <c r="AD2927" s="197"/>
      <c r="AE2927" s="197"/>
      <c r="AF2927" s="197"/>
      <c r="AG2927" s="197"/>
      <c r="AH2927" s="197"/>
      <c r="AI2927" s="197"/>
      <c r="AJ2927" s="197"/>
      <c r="AK2927" s="197"/>
      <c r="AL2927" s="197"/>
      <c r="AM2927" s="197"/>
      <c r="AN2927" s="197"/>
      <c r="AO2927" s="197"/>
      <c r="AP2927" s="197"/>
      <c r="AQ2927" s="197"/>
      <c r="AR2927" s="197"/>
      <c r="AS2927" s="197"/>
      <c r="AT2927" s="197"/>
      <c r="AU2927" s="197"/>
      <c r="AV2927" s="197"/>
      <c r="AW2927" s="197"/>
    </row>
    <row r="2928" spans="28:49" s="196" customFormat="1">
      <c r="AB2928" s="201"/>
      <c r="AC2928" s="201"/>
      <c r="AD2928" s="197"/>
      <c r="AE2928" s="197"/>
      <c r="AF2928" s="197"/>
      <c r="AG2928" s="197"/>
      <c r="AH2928" s="197"/>
      <c r="AI2928" s="197"/>
      <c r="AJ2928" s="197"/>
      <c r="AK2928" s="197"/>
      <c r="AL2928" s="197"/>
      <c r="AM2928" s="197"/>
      <c r="AN2928" s="197"/>
      <c r="AO2928" s="197"/>
      <c r="AP2928" s="197"/>
      <c r="AQ2928" s="197"/>
      <c r="AR2928" s="197"/>
      <c r="AS2928" s="197"/>
      <c r="AT2928" s="197"/>
      <c r="AU2928" s="197"/>
      <c r="AV2928" s="197"/>
      <c r="AW2928" s="197"/>
    </row>
    <row r="2929" spans="28:49" s="196" customFormat="1">
      <c r="AB2929" s="201"/>
      <c r="AC2929" s="201"/>
      <c r="AD2929" s="197"/>
      <c r="AE2929" s="197"/>
      <c r="AF2929" s="197"/>
      <c r="AG2929" s="197"/>
      <c r="AH2929" s="197"/>
      <c r="AI2929" s="197"/>
      <c r="AJ2929" s="197"/>
      <c r="AK2929" s="197"/>
      <c r="AL2929" s="197"/>
      <c r="AM2929" s="197"/>
      <c r="AN2929" s="197"/>
      <c r="AO2929" s="197"/>
      <c r="AP2929" s="197"/>
      <c r="AQ2929" s="197"/>
      <c r="AR2929" s="197"/>
      <c r="AS2929" s="197"/>
      <c r="AT2929" s="197"/>
      <c r="AU2929" s="197"/>
      <c r="AV2929" s="197"/>
      <c r="AW2929" s="197"/>
    </row>
    <row r="2930" spans="28:49" s="196" customFormat="1">
      <c r="AB2930" s="201"/>
      <c r="AC2930" s="201"/>
      <c r="AD2930" s="197"/>
      <c r="AE2930" s="197"/>
      <c r="AF2930" s="197"/>
      <c r="AG2930" s="197"/>
      <c r="AH2930" s="197"/>
      <c r="AI2930" s="197"/>
      <c r="AJ2930" s="197"/>
      <c r="AK2930" s="197"/>
      <c r="AL2930" s="197"/>
      <c r="AM2930" s="197"/>
      <c r="AN2930" s="197"/>
      <c r="AO2930" s="197"/>
      <c r="AP2930" s="197"/>
      <c r="AQ2930" s="197"/>
      <c r="AR2930" s="197"/>
      <c r="AS2930" s="197"/>
      <c r="AT2930" s="197"/>
      <c r="AU2930" s="197"/>
      <c r="AV2930" s="197"/>
      <c r="AW2930" s="197"/>
    </row>
    <row r="2931" spans="28:49" s="196" customFormat="1">
      <c r="AB2931" s="201"/>
      <c r="AC2931" s="201"/>
      <c r="AD2931" s="197"/>
      <c r="AE2931" s="197"/>
      <c r="AF2931" s="197"/>
      <c r="AG2931" s="197"/>
      <c r="AH2931" s="197"/>
      <c r="AI2931" s="197"/>
      <c r="AJ2931" s="197"/>
      <c r="AK2931" s="197"/>
      <c r="AL2931" s="197"/>
      <c r="AM2931" s="197"/>
      <c r="AN2931" s="197"/>
      <c r="AO2931" s="197"/>
      <c r="AP2931" s="197"/>
      <c r="AQ2931" s="197"/>
      <c r="AR2931" s="197"/>
      <c r="AS2931" s="197"/>
      <c r="AT2931" s="197"/>
      <c r="AU2931" s="197"/>
      <c r="AV2931" s="197"/>
      <c r="AW2931" s="197"/>
    </row>
    <row r="2932" spans="28:49" s="196" customFormat="1">
      <c r="AB2932" s="201"/>
      <c r="AC2932" s="201"/>
      <c r="AD2932" s="197"/>
      <c r="AE2932" s="197"/>
      <c r="AF2932" s="197"/>
      <c r="AG2932" s="197"/>
      <c r="AH2932" s="197"/>
      <c r="AI2932" s="197"/>
      <c r="AJ2932" s="197"/>
      <c r="AK2932" s="197"/>
      <c r="AL2932" s="197"/>
      <c r="AM2932" s="197"/>
      <c r="AN2932" s="197"/>
      <c r="AO2932" s="197"/>
      <c r="AP2932" s="197"/>
      <c r="AQ2932" s="197"/>
      <c r="AR2932" s="197"/>
      <c r="AS2932" s="197"/>
      <c r="AT2932" s="197"/>
      <c r="AU2932" s="197"/>
      <c r="AV2932" s="197"/>
      <c r="AW2932" s="197"/>
    </row>
    <row r="2933" spans="28:49" s="196" customFormat="1">
      <c r="AB2933" s="201"/>
      <c r="AC2933" s="201"/>
      <c r="AD2933" s="197"/>
      <c r="AE2933" s="197"/>
      <c r="AF2933" s="197"/>
      <c r="AG2933" s="197"/>
      <c r="AH2933" s="197"/>
      <c r="AI2933" s="197"/>
      <c r="AJ2933" s="197"/>
      <c r="AK2933" s="197"/>
      <c r="AL2933" s="197"/>
      <c r="AM2933" s="197"/>
      <c r="AN2933" s="197"/>
      <c r="AO2933" s="197"/>
      <c r="AP2933" s="197"/>
      <c r="AQ2933" s="197"/>
      <c r="AR2933" s="197"/>
      <c r="AS2933" s="197"/>
      <c r="AT2933" s="197"/>
      <c r="AU2933" s="197"/>
      <c r="AV2933" s="197"/>
      <c r="AW2933" s="197"/>
    </row>
    <row r="2934" spans="28:49" s="196" customFormat="1">
      <c r="AB2934" s="201"/>
      <c r="AC2934" s="201"/>
      <c r="AD2934" s="197"/>
      <c r="AE2934" s="197"/>
      <c r="AF2934" s="197"/>
      <c r="AG2934" s="197"/>
      <c r="AH2934" s="197"/>
      <c r="AI2934" s="197"/>
      <c r="AJ2934" s="197"/>
      <c r="AK2934" s="197"/>
      <c r="AL2934" s="197"/>
      <c r="AM2934" s="197"/>
      <c r="AN2934" s="197"/>
      <c r="AO2934" s="197"/>
      <c r="AP2934" s="197"/>
      <c r="AQ2934" s="197"/>
      <c r="AR2934" s="197"/>
      <c r="AS2934" s="197"/>
      <c r="AT2934" s="197"/>
      <c r="AU2934" s="197"/>
      <c r="AV2934" s="197"/>
      <c r="AW2934" s="197"/>
    </row>
    <row r="2935" spans="28:49" s="196" customFormat="1">
      <c r="AB2935" s="201"/>
      <c r="AC2935" s="201"/>
      <c r="AD2935" s="197"/>
      <c r="AE2935" s="197"/>
      <c r="AF2935" s="197"/>
      <c r="AG2935" s="197"/>
      <c r="AH2935" s="197"/>
      <c r="AI2935" s="197"/>
      <c r="AJ2935" s="197"/>
      <c r="AK2935" s="197"/>
      <c r="AL2935" s="197"/>
      <c r="AM2935" s="197"/>
      <c r="AN2935" s="197"/>
      <c r="AO2935" s="197"/>
      <c r="AP2935" s="197"/>
      <c r="AQ2935" s="197"/>
      <c r="AR2935" s="197"/>
      <c r="AS2935" s="197"/>
      <c r="AT2935" s="197"/>
      <c r="AU2935" s="197"/>
      <c r="AV2935" s="197"/>
      <c r="AW2935" s="197"/>
    </row>
    <row r="2936" spans="28:49" s="196" customFormat="1">
      <c r="AB2936" s="201"/>
      <c r="AC2936" s="201"/>
      <c r="AD2936" s="197"/>
      <c r="AE2936" s="197"/>
      <c r="AF2936" s="197"/>
      <c r="AG2936" s="197"/>
      <c r="AH2936" s="197"/>
      <c r="AI2936" s="197"/>
      <c r="AJ2936" s="197"/>
      <c r="AK2936" s="197"/>
      <c r="AL2936" s="197"/>
      <c r="AM2936" s="197"/>
      <c r="AN2936" s="197"/>
      <c r="AO2936" s="197"/>
      <c r="AP2936" s="197"/>
      <c r="AQ2936" s="197"/>
      <c r="AR2936" s="197"/>
      <c r="AS2936" s="197"/>
      <c r="AT2936" s="197"/>
      <c r="AU2936" s="197"/>
      <c r="AV2936" s="197"/>
      <c r="AW2936" s="197"/>
    </row>
    <row r="2937" spans="28:49" s="196" customFormat="1">
      <c r="AB2937" s="201"/>
      <c r="AC2937" s="201"/>
      <c r="AD2937" s="197"/>
      <c r="AE2937" s="197"/>
      <c r="AF2937" s="197"/>
      <c r="AG2937" s="197"/>
      <c r="AH2937" s="197"/>
      <c r="AI2937" s="197"/>
      <c r="AJ2937" s="197"/>
      <c r="AK2937" s="197"/>
      <c r="AL2937" s="197"/>
      <c r="AM2937" s="197"/>
      <c r="AN2937" s="197"/>
      <c r="AO2937" s="197"/>
      <c r="AP2937" s="197"/>
      <c r="AQ2937" s="197"/>
      <c r="AR2937" s="197"/>
      <c r="AS2937" s="197"/>
      <c r="AT2937" s="197"/>
      <c r="AU2937" s="197"/>
      <c r="AV2937" s="197"/>
      <c r="AW2937" s="197"/>
    </row>
    <row r="2938" spans="28:49" s="196" customFormat="1">
      <c r="AB2938" s="201"/>
      <c r="AC2938" s="201"/>
      <c r="AD2938" s="197"/>
      <c r="AE2938" s="197"/>
      <c r="AF2938" s="197"/>
      <c r="AG2938" s="197"/>
      <c r="AH2938" s="197"/>
      <c r="AI2938" s="197"/>
      <c r="AJ2938" s="197"/>
      <c r="AK2938" s="197"/>
      <c r="AL2938" s="197"/>
      <c r="AM2938" s="197"/>
      <c r="AN2938" s="197"/>
      <c r="AO2938" s="197"/>
      <c r="AP2938" s="197"/>
      <c r="AQ2938" s="197"/>
      <c r="AR2938" s="197"/>
      <c r="AS2938" s="197"/>
      <c r="AT2938" s="197"/>
      <c r="AU2938" s="197"/>
      <c r="AV2938" s="197"/>
      <c r="AW2938" s="197"/>
    </row>
    <row r="2939" spans="28:49" s="196" customFormat="1">
      <c r="AB2939" s="201"/>
      <c r="AC2939" s="201"/>
      <c r="AD2939" s="197"/>
      <c r="AE2939" s="197"/>
      <c r="AF2939" s="197"/>
      <c r="AG2939" s="197"/>
      <c r="AH2939" s="197"/>
      <c r="AI2939" s="197"/>
      <c r="AJ2939" s="197"/>
      <c r="AK2939" s="197"/>
      <c r="AL2939" s="197"/>
      <c r="AM2939" s="197"/>
      <c r="AN2939" s="197"/>
      <c r="AO2939" s="197"/>
      <c r="AP2939" s="197"/>
      <c r="AQ2939" s="197"/>
      <c r="AR2939" s="197"/>
      <c r="AS2939" s="197"/>
      <c r="AT2939" s="197"/>
      <c r="AU2939" s="197"/>
      <c r="AV2939" s="197"/>
      <c r="AW2939" s="197"/>
    </row>
    <row r="2940" spans="28:49" s="196" customFormat="1">
      <c r="AB2940" s="201"/>
      <c r="AC2940" s="201"/>
      <c r="AD2940" s="197"/>
      <c r="AE2940" s="197"/>
      <c r="AF2940" s="197"/>
      <c r="AG2940" s="197"/>
      <c r="AH2940" s="197"/>
      <c r="AI2940" s="197"/>
      <c r="AJ2940" s="197"/>
      <c r="AK2940" s="197"/>
      <c r="AL2940" s="197"/>
      <c r="AM2940" s="197"/>
      <c r="AN2940" s="197"/>
      <c r="AO2940" s="197"/>
      <c r="AP2940" s="197"/>
      <c r="AQ2940" s="197"/>
      <c r="AR2940" s="197"/>
      <c r="AS2940" s="197"/>
      <c r="AT2940" s="197"/>
      <c r="AU2940" s="197"/>
      <c r="AV2940" s="197"/>
      <c r="AW2940" s="197"/>
    </row>
    <row r="2941" spans="28:49" s="196" customFormat="1">
      <c r="AB2941" s="201"/>
      <c r="AC2941" s="201"/>
      <c r="AD2941" s="197"/>
      <c r="AE2941" s="197"/>
      <c r="AF2941" s="197"/>
      <c r="AG2941" s="197"/>
      <c r="AH2941" s="197"/>
      <c r="AI2941" s="197"/>
      <c r="AJ2941" s="197"/>
      <c r="AK2941" s="197"/>
      <c r="AL2941" s="197"/>
      <c r="AM2941" s="197"/>
      <c r="AN2941" s="197"/>
      <c r="AO2941" s="197"/>
      <c r="AP2941" s="197"/>
      <c r="AQ2941" s="197"/>
      <c r="AR2941" s="197"/>
      <c r="AS2941" s="197"/>
      <c r="AT2941" s="197"/>
      <c r="AU2941" s="197"/>
      <c r="AV2941" s="197"/>
      <c r="AW2941" s="197"/>
    </row>
    <row r="2942" spans="28:49" s="196" customFormat="1">
      <c r="AB2942" s="201"/>
      <c r="AC2942" s="201"/>
      <c r="AD2942" s="197"/>
      <c r="AE2942" s="197"/>
      <c r="AF2942" s="197"/>
      <c r="AG2942" s="197"/>
      <c r="AH2942" s="197"/>
      <c r="AI2942" s="197"/>
      <c r="AJ2942" s="197"/>
      <c r="AK2942" s="197"/>
      <c r="AL2942" s="197"/>
      <c r="AM2942" s="197"/>
      <c r="AN2942" s="197"/>
      <c r="AO2942" s="197"/>
      <c r="AP2942" s="197"/>
      <c r="AQ2942" s="197"/>
      <c r="AR2942" s="197"/>
      <c r="AS2942" s="197"/>
      <c r="AT2942" s="197"/>
      <c r="AU2942" s="197"/>
      <c r="AV2942" s="197"/>
      <c r="AW2942" s="197"/>
    </row>
    <row r="2943" spans="28:49" s="196" customFormat="1">
      <c r="AB2943" s="201"/>
      <c r="AC2943" s="201"/>
      <c r="AD2943" s="197"/>
      <c r="AE2943" s="197"/>
      <c r="AF2943" s="197"/>
      <c r="AG2943" s="197"/>
      <c r="AH2943" s="197"/>
      <c r="AI2943" s="197"/>
      <c r="AJ2943" s="197"/>
      <c r="AK2943" s="197"/>
      <c r="AL2943" s="197"/>
      <c r="AM2943" s="197"/>
      <c r="AN2943" s="197"/>
      <c r="AO2943" s="197"/>
      <c r="AP2943" s="197"/>
      <c r="AQ2943" s="197"/>
      <c r="AR2943" s="197"/>
      <c r="AS2943" s="197"/>
      <c r="AT2943" s="197"/>
      <c r="AU2943" s="197"/>
      <c r="AV2943" s="197"/>
      <c r="AW2943" s="197"/>
    </row>
    <row r="2944" spans="28:49" s="196" customFormat="1">
      <c r="AB2944" s="201"/>
      <c r="AC2944" s="201"/>
      <c r="AD2944" s="197"/>
      <c r="AE2944" s="197"/>
      <c r="AF2944" s="197"/>
      <c r="AG2944" s="197"/>
      <c r="AH2944" s="197"/>
      <c r="AI2944" s="197"/>
      <c r="AJ2944" s="197"/>
      <c r="AK2944" s="197"/>
      <c r="AL2944" s="197"/>
      <c r="AM2944" s="197"/>
      <c r="AN2944" s="197"/>
      <c r="AO2944" s="197"/>
      <c r="AP2944" s="197"/>
      <c r="AQ2944" s="197"/>
      <c r="AR2944" s="197"/>
      <c r="AS2944" s="197"/>
      <c r="AT2944" s="197"/>
      <c r="AU2944" s="197"/>
      <c r="AV2944" s="197"/>
      <c r="AW2944" s="197"/>
    </row>
    <row r="2945" spans="28:49" s="196" customFormat="1">
      <c r="AB2945" s="201"/>
      <c r="AC2945" s="201"/>
      <c r="AD2945" s="197"/>
      <c r="AE2945" s="197"/>
      <c r="AF2945" s="197"/>
      <c r="AG2945" s="197"/>
      <c r="AH2945" s="197"/>
      <c r="AI2945" s="197"/>
      <c r="AJ2945" s="197"/>
      <c r="AK2945" s="197"/>
      <c r="AL2945" s="197"/>
      <c r="AM2945" s="197"/>
      <c r="AN2945" s="197"/>
      <c r="AO2945" s="197"/>
      <c r="AP2945" s="197"/>
      <c r="AQ2945" s="197"/>
      <c r="AR2945" s="197"/>
      <c r="AS2945" s="197"/>
      <c r="AT2945" s="197"/>
      <c r="AU2945" s="197"/>
      <c r="AV2945" s="197"/>
      <c r="AW2945" s="197"/>
    </row>
    <row r="2946" spans="28:49" s="196" customFormat="1">
      <c r="AB2946" s="201"/>
      <c r="AC2946" s="201"/>
      <c r="AD2946" s="197"/>
      <c r="AE2946" s="197"/>
      <c r="AF2946" s="197"/>
      <c r="AG2946" s="197"/>
      <c r="AH2946" s="197"/>
      <c r="AI2946" s="197"/>
      <c r="AJ2946" s="197"/>
      <c r="AK2946" s="197"/>
      <c r="AL2946" s="197"/>
      <c r="AM2946" s="197"/>
      <c r="AN2946" s="197"/>
      <c r="AO2946" s="197"/>
      <c r="AP2946" s="197"/>
      <c r="AQ2946" s="197"/>
      <c r="AR2946" s="197"/>
      <c r="AS2946" s="197"/>
      <c r="AT2946" s="197"/>
      <c r="AU2946" s="197"/>
      <c r="AV2946" s="197"/>
      <c r="AW2946" s="197"/>
    </row>
    <row r="2947" spans="28:49" s="196" customFormat="1">
      <c r="AB2947" s="201"/>
      <c r="AC2947" s="201"/>
      <c r="AD2947" s="197"/>
      <c r="AE2947" s="197"/>
      <c r="AF2947" s="197"/>
      <c r="AG2947" s="197"/>
      <c r="AH2947" s="197"/>
      <c r="AI2947" s="197"/>
      <c r="AJ2947" s="197"/>
      <c r="AK2947" s="197"/>
      <c r="AL2947" s="197"/>
      <c r="AM2947" s="197"/>
      <c r="AN2947" s="197"/>
      <c r="AO2947" s="197"/>
      <c r="AP2947" s="197"/>
      <c r="AQ2947" s="197"/>
      <c r="AR2947" s="197"/>
      <c r="AS2947" s="197"/>
      <c r="AT2947" s="197"/>
      <c r="AU2947" s="197"/>
      <c r="AV2947" s="197"/>
      <c r="AW2947" s="197"/>
    </row>
    <row r="2948" spans="28:49" s="196" customFormat="1">
      <c r="AB2948" s="201"/>
      <c r="AC2948" s="201"/>
      <c r="AD2948" s="197"/>
      <c r="AE2948" s="197"/>
      <c r="AF2948" s="197"/>
      <c r="AG2948" s="197"/>
      <c r="AH2948" s="197"/>
      <c r="AI2948" s="197"/>
      <c r="AJ2948" s="197"/>
      <c r="AK2948" s="197"/>
      <c r="AL2948" s="197"/>
      <c r="AM2948" s="197"/>
      <c r="AN2948" s="197"/>
      <c r="AO2948" s="197"/>
      <c r="AP2948" s="197"/>
      <c r="AQ2948" s="197"/>
      <c r="AR2948" s="197"/>
      <c r="AS2948" s="197"/>
      <c r="AT2948" s="197"/>
      <c r="AU2948" s="197"/>
      <c r="AV2948" s="197"/>
      <c r="AW2948" s="197"/>
    </row>
    <row r="2949" spans="28:49" s="196" customFormat="1">
      <c r="AB2949" s="201"/>
      <c r="AC2949" s="201"/>
      <c r="AD2949" s="197"/>
      <c r="AE2949" s="197"/>
      <c r="AF2949" s="197"/>
      <c r="AG2949" s="197"/>
      <c r="AH2949" s="197"/>
      <c r="AI2949" s="197"/>
      <c r="AJ2949" s="197"/>
      <c r="AK2949" s="197"/>
      <c r="AL2949" s="197"/>
      <c r="AM2949" s="197"/>
      <c r="AN2949" s="197"/>
      <c r="AO2949" s="197"/>
      <c r="AP2949" s="197"/>
      <c r="AQ2949" s="197"/>
      <c r="AR2949" s="197"/>
      <c r="AS2949" s="197"/>
      <c r="AT2949" s="197"/>
      <c r="AU2949" s="197"/>
      <c r="AV2949" s="197"/>
      <c r="AW2949" s="197"/>
    </row>
    <row r="2950" spans="28:49" s="196" customFormat="1">
      <c r="AB2950" s="201"/>
      <c r="AC2950" s="201"/>
      <c r="AD2950" s="197"/>
      <c r="AE2950" s="197"/>
      <c r="AF2950" s="197"/>
      <c r="AG2950" s="197"/>
      <c r="AH2950" s="197"/>
      <c r="AI2950" s="197"/>
      <c r="AJ2950" s="197"/>
      <c r="AK2950" s="197"/>
      <c r="AL2950" s="197"/>
      <c r="AM2950" s="197"/>
      <c r="AN2950" s="197"/>
      <c r="AO2950" s="197"/>
      <c r="AP2950" s="197"/>
      <c r="AQ2950" s="197"/>
      <c r="AR2950" s="197"/>
      <c r="AS2950" s="197"/>
      <c r="AT2950" s="197"/>
      <c r="AU2950" s="197"/>
      <c r="AV2950" s="197"/>
      <c r="AW2950" s="197"/>
    </row>
    <row r="2951" spans="28:49" s="196" customFormat="1">
      <c r="AB2951" s="201"/>
      <c r="AC2951" s="201"/>
      <c r="AD2951" s="197"/>
      <c r="AE2951" s="197"/>
      <c r="AF2951" s="197"/>
      <c r="AG2951" s="197"/>
      <c r="AH2951" s="197"/>
      <c r="AI2951" s="197"/>
      <c r="AJ2951" s="197"/>
      <c r="AK2951" s="197"/>
      <c r="AL2951" s="197"/>
      <c r="AM2951" s="197"/>
      <c r="AN2951" s="197"/>
      <c r="AO2951" s="197"/>
      <c r="AP2951" s="197"/>
      <c r="AQ2951" s="197"/>
      <c r="AR2951" s="197"/>
      <c r="AS2951" s="197"/>
      <c r="AT2951" s="197"/>
      <c r="AU2951" s="197"/>
      <c r="AV2951" s="197"/>
      <c r="AW2951" s="197"/>
    </row>
    <row r="2952" spans="28:49" s="196" customFormat="1">
      <c r="AB2952" s="201"/>
      <c r="AC2952" s="201"/>
      <c r="AD2952" s="197"/>
      <c r="AE2952" s="197"/>
      <c r="AF2952" s="197"/>
      <c r="AG2952" s="197"/>
      <c r="AH2952" s="197"/>
      <c r="AI2952" s="197"/>
      <c r="AJ2952" s="197"/>
      <c r="AK2952" s="197"/>
      <c r="AL2952" s="197"/>
      <c r="AM2952" s="197"/>
      <c r="AN2952" s="197"/>
      <c r="AO2952" s="197"/>
      <c r="AP2952" s="197"/>
      <c r="AQ2952" s="197"/>
      <c r="AR2952" s="197"/>
      <c r="AS2952" s="197"/>
      <c r="AT2952" s="197"/>
      <c r="AU2952" s="197"/>
      <c r="AV2952" s="197"/>
      <c r="AW2952" s="197"/>
    </row>
    <row r="2953" spans="28:49" s="196" customFormat="1">
      <c r="AB2953" s="201"/>
      <c r="AC2953" s="201"/>
      <c r="AD2953" s="197"/>
      <c r="AE2953" s="197"/>
      <c r="AF2953" s="197"/>
      <c r="AG2953" s="197"/>
      <c r="AH2953" s="197"/>
      <c r="AI2953" s="197"/>
      <c r="AJ2953" s="197"/>
      <c r="AK2953" s="197"/>
      <c r="AL2953" s="197"/>
      <c r="AM2953" s="197"/>
      <c r="AN2953" s="197"/>
      <c r="AO2953" s="197"/>
      <c r="AP2953" s="197"/>
      <c r="AQ2953" s="197"/>
      <c r="AR2953" s="197"/>
      <c r="AS2953" s="197"/>
      <c r="AT2953" s="197"/>
      <c r="AU2953" s="197"/>
      <c r="AV2953" s="197"/>
      <c r="AW2953" s="197"/>
    </row>
    <row r="2954" spans="28:49" s="196" customFormat="1">
      <c r="AB2954" s="201"/>
      <c r="AC2954" s="201"/>
      <c r="AD2954" s="197"/>
      <c r="AE2954" s="197"/>
      <c r="AF2954" s="197"/>
      <c r="AG2954" s="197"/>
      <c r="AH2954" s="197"/>
      <c r="AI2954" s="197"/>
      <c r="AJ2954" s="197"/>
      <c r="AK2954" s="197"/>
      <c r="AL2954" s="197"/>
      <c r="AM2954" s="197"/>
      <c r="AN2954" s="197"/>
      <c r="AO2954" s="197"/>
      <c r="AP2954" s="197"/>
      <c r="AQ2954" s="197"/>
      <c r="AR2954" s="197"/>
      <c r="AS2954" s="197"/>
      <c r="AT2954" s="197"/>
      <c r="AU2954" s="197"/>
      <c r="AV2954" s="197"/>
      <c r="AW2954" s="197"/>
    </row>
    <row r="2955" spans="28:49" s="196" customFormat="1">
      <c r="AB2955" s="201"/>
      <c r="AC2955" s="201"/>
      <c r="AD2955" s="197"/>
      <c r="AE2955" s="197"/>
      <c r="AF2955" s="197"/>
      <c r="AG2955" s="197"/>
      <c r="AH2955" s="197"/>
      <c r="AI2955" s="197"/>
      <c r="AJ2955" s="197"/>
      <c r="AK2955" s="197"/>
      <c r="AL2955" s="197"/>
      <c r="AM2955" s="197"/>
      <c r="AN2955" s="197"/>
      <c r="AO2955" s="197"/>
      <c r="AP2955" s="197"/>
      <c r="AQ2955" s="197"/>
      <c r="AR2955" s="197"/>
      <c r="AS2955" s="197"/>
      <c r="AT2955" s="197"/>
      <c r="AU2955" s="197"/>
      <c r="AV2955" s="197"/>
      <c r="AW2955" s="197"/>
    </row>
    <row r="2956" spans="28:49" s="196" customFormat="1">
      <c r="AB2956" s="201"/>
      <c r="AC2956" s="201"/>
      <c r="AD2956" s="197"/>
      <c r="AE2956" s="197"/>
      <c r="AF2956" s="197"/>
      <c r="AG2956" s="197"/>
      <c r="AH2956" s="197"/>
      <c r="AI2956" s="197"/>
      <c r="AJ2956" s="197"/>
      <c r="AK2956" s="197"/>
      <c r="AL2956" s="197"/>
      <c r="AM2956" s="197"/>
      <c r="AN2956" s="197"/>
      <c r="AO2956" s="197"/>
      <c r="AP2956" s="197"/>
      <c r="AQ2956" s="197"/>
      <c r="AR2956" s="197"/>
      <c r="AS2956" s="197"/>
      <c r="AT2956" s="197"/>
      <c r="AU2956" s="197"/>
      <c r="AV2956" s="197"/>
      <c r="AW2956" s="197"/>
    </row>
    <row r="2957" spans="28:49" s="196" customFormat="1">
      <c r="AB2957" s="201"/>
      <c r="AC2957" s="201"/>
      <c r="AD2957" s="197"/>
      <c r="AE2957" s="197"/>
      <c r="AF2957" s="197"/>
      <c r="AG2957" s="197"/>
      <c r="AH2957" s="197"/>
      <c r="AI2957" s="197"/>
      <c r="AJ2957" s="197"/>
      <c r="AK2957" s="197"/>
      <c r="AL2957" s="197"/>
      <c r="AM2957" s="197"/>
      <c r="AN2957" s="197"/>
      <c r="AO2957" s="197"/>
      <c r="AP2957" s="197"/>
      <c r="AQ2957" s="197"/>
      <c r="AR2957" s="197"/>
      <c r="AS2957" s="197"/>
      <c r="AT2957" s="197"/>
      <c r="AU2957" s="197"/>
      <c r="AV2957" s="197"/>
      <c r="AW2957" s="197"/>
    </row>
    <row r="2958" spans="28:49" s="196" customFormat="1">
      <c r="AB2958" s="201"/>
      <c r="AC2958" s="201"/>
      <c r="AD2958" s="197"/>
      <c r="AE2958" s="197"/>
      <c r="AF2958" s="197"/>
      <c r="AG2958" s="197"/>
      <c r="AH2958" s="197"/>
      <c r="AI2958" s="197"/>
      <c r="AJ2958" s="197"/>
      <c r="AK2958" s="197"/>
      <c r="AL2958" s="197"/>
      <c r="AM2958" s="197"/>
      <c r="AN2958" s="197"/>
      <c r="AO2958" s="197"/>
      <c r="AP2958" s="197"/>
      <c r="AQ2958" s="197"/>
      <c r="AR2958" s="197"/>
      <c r="AS2958" s="197"/>
      <c r="AT2958" s="197"/>
      <c r="AU2958" s="197"/>
      <c r="AV2958" s="197"/>
      <c r="AW2958" s="197"/>
    </row>
    <row r="2959" spans="28:49" s="196" customFormat="1">
      <c r="AB2959" s="201"/>
      <c r="AC2959" s="201"/>
      <c r="AD2959" s="197"/>
      <c r="AE2959" s="197"/>
      <c r="AF2959" s="197"/>
      <c r="AG2959" s="197"/>
      <c r="AH2959" s="197"/>
      <c r="AI2959" s="197"/>
      <c r="AJ2959" s="197"/>
      <c r="AK2959" s="197"/>
      <c r="AL2959" s="197"/>
      <c r="AM2959" s="197"/>
      <c r="AN2959" s="197"/>
      <c r="AO2959" s="197"/>
      <c r="AP2959" s="197"/>
      <c r="AQ2959" s="197"/>
      <c r="AR2959" s="197"/>
      <c r="AS2959" s="197"/>
      <c r="AT2959" s="197"/>
      <c r="AU2959" s="197"/>
      <c r="AV2959" s="197"/>
      <c r="AW2959" s="197"/>
    </row>
    <row r="2960" spans="28:49" s="196" customFormat="1">
      <c r="AB2960" s="201"/>
      <c r="AC2960" s="201"/>
      <c r="AD2960" s="197"/>
      <c r="AE2960" s="197"/>
      <c r="AF2960" s="197"/>
      <c r="AG2960" s="197"/>
      <c r="AH2960" s="197"/>
      <c r="AI2960" s="197"/>
      <c r="AJ2960" s="197"/>
      <c r="AK2960" s="197"/>
      <c r="AL2960" s="197"/>
      <c r="AM2960" s="197"/>
      <c r="AN2960" s="197"/>
      <c r="AO2960" s="197"/>
      <c r="AP2960" s="197"/>
      <c r="AQ2960" s="197"/>
      <c r="AR2960" s="197"/>
      <c r="AS2960" s="197"/>
      <c r="AT2960" s="197"/>
      <c r="AU2960" s="197"/>
      <c r="AV2960" s="197"/>
      <c r="AW2960" s="197"/>
    </row>
    <row r="2961" spans="28:49" s="196" customFormat="1">
      <c r="AB2961" s="201"/>
      <c r="AC2961" s="201"/>
      <c r="AD2961" s="197"/>
      <c r="AE2961" s="197"/>
      <c r="AF2961" s="197"/>
      <c r="AG2961" s="197"/>
      <c r="AH2961" s="197"/>
      <c r="AI2961" s="197"/>
      <c r="AJ2961" s="197"/>
      <c r="AK2961" s="197"/>
      <c r="AL2961" s="197"/>
      <c r="AM2961" s="197"/>
      <c r="AN2961" s="197"/>
      <c r="AO2961" s="197"/>
      <c r="AP2961" s="197"/>
      <c r="AQ2961" s="197"/>
      <c r="AR2961" s="197"/>
      <c r="AS2961" s="197"/>
      <c r="AT2961" s="197"/>
      <c r="AU2961" s="197"/>
      <c r="AV2961" s="197"/>
      <c r="AW2961" s="197"/>
    </row>
    <row r="2962" spans="28:49" s="196" customFormat="1">
      <c r="AB2962" s="201"/>
      <c r="AC2962" s="201"/>
      <c r="AD2962" s="197"/>
      <c r="AE2962" s="197"/>
      <c r="AF2962" s="197"/>
      <c r="AG2962" s="197"/>
      <c r="AH2962" s="197"/>
      <c r="AI2962" s="197"/>
      <c r="AJ2962" s="197"/>
      <c r="AK2962" s="197"/>
      <c r="AL2962" s="197"/>
      <c r="AM2962" s="197"/>
      <c r="AN2962" s="197"/>
      <c r="AO2962" s="197"/>
      <c r="AP2962" s="197"/>
      <c r="AQ2962" s="197"/>
      <c r="AR2962" s="197"/>
      <c r="AS2962" s="197"/>
      <c r="AT2962" s="197"/>
      <c r="AU2962" s="197"/>
      <c r="AV2962" s="197"/>
      <c r="AW2962" s="197"/>
    </row>
    <row r="2963" spans="28:49" s="196" customFormat="1">
      <c r="AB2963" s="201"/>
      <c r="AC2963" s="201"/>
      <c r="AD2963" s="197"/>
      <c r="AE2963" s="197"/>
      <c r="AF2963" s="197"/>
      <c r="AG2963" s="197"/>
      <c r="AH2963" s="197"/>
      <c r="AI2963" s="197"/>
      <c r="AJ2963" s="197"/>
      <c r="AK2963" s="197"/>
      <c r="AL2963" s="197"/>
      <c r="AM2963" s="197"/>
      <c r="AN2963" s="197"/>
      <c r="AO2963" s="197"/>
      <c r="AP2963" s="197"/>
      <c r="AQ2963" s="197"/>
      <c r="AR2963" s="197"/>
      <c r="AS2963" s="197"/>
      <c r="AT2963" s="197"/>
      <c r="AU2963" s="197"/>
      <c r="AV2963" s="197"/>
      <c r="AW2963" s="197"/>
    </row>
    <row r="2964" spans="28:49" s="196" customFormat="1">
      <c r="AB2964" s="201"/>
      <c r="AC2964" s="201"/>
      <c r="AD2964" s="197"/>
      <c r="AE2964" s="197"/>
      <c r="AF2964" s="197"/>
      <c r="AG2964" s="197"/>
      <c r="AH2964" s="197"/>
      <c r="AI2964" s="197"/>
      <c r="AJ2964" s="197"/>
      <c r="AK2964" s="197"/>
      <c r="AL2964" s="197"/>
      <c r="AM2964" s="197"/>
      <c r="AN2964" s="197"/>
      <c r="AO2964" s="197"/>
      <c r="AP2964" s="197"/>
      <c r="AQ2964" s="197"/>
      <c r="AR2964" s="197"/>
      <c r="AS2964" s="197"/>
      <c r="AT2964" s="197"/>
      <c r="AU2964" s="197"/>
      <c r="AV2964" s="197"/>
      <c r="AW2964" s="197"/>
    </row>
    <row r="2965" spans="28:49" s="196" customFormat="1">
      <c r="AB2965" s="201"/>
      <c r="AC2965" s="201"/>
      <c r="AD2965" s="197"/>
      <c r="AE2965" s="197"/>
      <c r="AF2965" s="197"/>
      <c r="AG2965" s="197"/>
      <c r="AH2965" s="197"/>
      <c r="AI2965" s="197"/>
      <c r="AJ2965" s="197"/>
      <c r="AK2965" s="197"/>
      <c r="AL2965" s="197"/>
      <c r="AM2965" s="197"/>
      <c r="AN2965" s="197"/>
      <c r="AO2965" s="197"/>
      <c r="AP2965" s="197"/>
      <c r="AQ2965" s="197"/>
      <c r="AR2965" s="197"/>
      <c r="AS2965" s="197"/>
      <c r="AT2965" s="197"/>
      <c r="AU2965" s="197"/>
      <c r="AV2965" s="197"/>
      <c r="AW2965" s="197"/>
    </row>
    <row r="2966" spans="28:49" s="196" customFormat="1">
      <c r="AB2966" s="201"/>
      <c r="AC2966" s="201"/>
      <c r="AD2966" s="197"/>
      <c r="AE2966" s="197"/>
      <c r="AF2966" s="197"/>
      <c r="AG2966" s="197"/>
      <c r="AH2966" s="197"/>
      <c r="AI2966" s="197"/>
      <c r="AJ2966" s="197"/>
      <c r="AK2966" s="197"/>
      <c r="AL2966" s="197"/>
      <c r="AM2966" s="197"/>
      <c r="AN2966" s="197"/>
      <c r="AO2966" s="197"/>
      <c r="AP2966" s="197"/>
      <c r="AQ2966" s="197"/>
      <c r="AR2966" s="197"/>
      <c r="AS2966" s="197"/>
      <c r="AT2966" s="197"/>
      <c r="AU2966" s="197"/>
      <c r="AV2966" s="197"/>
      <c r="AW2966" s="197"/>
    </row>
    <row r="2967" spans="28:49" s="196" customFormat="1">
      <c r="AB2967" s="201"/>
      <c r="AC2967" s="201"/>
      <c r="AD2967" s="197"/>
      <c r="AE2967" s="197"/>
      <c r="AF2967" s="197"/>
      <c r="AG2967" s="197"/>
      <c r="AH2967" s="197"/>
      <c r="AI2967" s="197"/>
      <c r="AJ2967" s="197"/>
      <c r="AK2967" s="197"/>
      <c r="AL2967" s="197"/>
      <c r="AM2967" s="197"/>
      <c r="AN2967" s="197"/>
      <c r="AO2967" s="197"/>
      <c r="AP2967" s="197"/>
      <c r="AQ2967" s="197"/>
      <c r="AR2967" s="197"/>
      <c r="AS2967" s="197"/>
      <c r="AT2967" s="197"/>
      <c r="AU2967" s="197"/>
      <c r="AV2967" s="197"/>
      <c r="AW2967" s="197"/>
    </row>
    <row r="2968" spans="28:49" s="196" customFormat="1">
      <c r="AB2968" s="201"/>
      <c r="AC2968" s="201"/>
      <c r="AD2968" s="197"/>
      <c r="AE2968" s="197"/>
      <c r="AF2968" s="197"/>
      <c r="AG2968" s="197"/>
      <c r="AH2968" s="197"/>
      <c r="AI2968" s="197"/>
      <c r="AJ2968" s="197"/>
      <c r="AK2968" s="197"/>
      <c r="AL2968" s="197"/>
      <c r="AM2968" s="197"/>
      <c r="AN2968" s="197"/>
      <c r="AO2968" s="197"/>
      <c r="AP2968" s="197"/>
      <c r="AQ2968" s="197"/>
      <c r="AR2968" s="197"/>
      <c r="AS2968" s="197"/>
      <c r="AT2968" s="197"/>
      <c r="AU2968" s="197"/>
      <c r="AV2968" s="197"/>
      <c r="AW2968" s="197"/>
    </row>
    <row r="2969" spans="28:49" s="196" customFormat="1">
      <c r="AB2969" s="201"/>
      <c r="AC2969" s="201"/>
      <c r="AD2969" s="197"/>
      <c r="AE2969" s="197"/>
      <c r="AF2969" s="197"/>
      <c r="AG2969" s="197"/>
      <c r="AH2969" s="197"/>
      <c r="AI2969" s="197"/>
      <c r="AJ2969" s="197"/>
      <c r="AK2969" s="197"/>
      <c r="AL2969" s="197"/>
      <c r="AM2969" s="197"/>
      <c r="AN2969" s="197"/>
      <c r="AO2969" s="197"/>
      <c r="AP2969" s="197"/>
      <c r="AQ2969" s="197"/>
      <c r="AR2969" s="197"/>
      <c r="AS2969" s="197"/>
      <c r="AT2969" s="197"/>
      <c r="AU2969" s="197"/>
      <c r="AV2969" s="197"/>
      <c r="AW2969" s="197"/>
    </row>
    <row r="2970" spans="28:49" s="196" customFormat="1">
      <c r="AB2970" s="201"/>
      <c r="AC2970" s="201"/>
      <c r="AD2970" s="197"/>
      <c r="AE2970" s="197"/>
      <c r="AF2970" s="197"/>
      <c r="AG2970" s="197"/>
      <c r="AH2970" s="197"/>
      <c r="AI2970" s="197"/>
      <c r="AJ2970" s="197"/>
      <c r="AK2970" s="197"/>
      <c r="AL2970" s="197"/>
      <c r="AM2970" s="197"/>
      <c r="AN2970" s="197"/>
      <c r="AO2970" s="197"/>
      <c r="AP2970" s="197"/>
      <c r="AQ2970" s="197"/>
      <c r="AR2970" s="197"/>
      <c r="AS2970" s="197"/>
      <c r="AT2970" s="197"/>
      <c r="AU2970" s="197"/>
      <c r="AV2970" s="197"/>
      <c r="AW2970" s="197"/>
    </row>
    <row r="2971" spans="28:49" s="196" customFormat="1">
      <c r="AB2971" s="201"/>
      <c r="AC2971" s="201"/>
      <c r="AD2971" s="197"/>
      <c r="AE2971" s="197"/>
      <c r="AF2971" s="197"/>
      <c r="AG2971" s="197"/>
      <c r="AH2971" s="197"/>
      <c r="AI2971" s="197"/>
      <c r="AJ2971" s="197"/>
      <c r="AK2971" s="197"/>
      <c r="AL2971" s="197"/>
      <c r="AM2971" s="197"/>
      <c r="AN2971" s="197"/>
      <c r="AO2971" s="197"/>
      <c r="AP2971" s="197"/>
      <c r="AQ2971" s="197"/>
      <c r="AR2971" s="197"/>
      <c r="AS2971" s="197"/>
      <c r="AT2971" s="197"/>
      <c r="AU2971" s="197"/>
      <c r="AV2971" s="197"/>
      <c r="AW2971" s="197"/>
    </row>
    <row r="2972" spans="28:49" s="196" customFormat="1">
      <c r="AB2972" s="201"/>
      <c r="AC2972" s="201"/>
      <c r="AD2972" s="197"/>
      <c r="AE2972" s="197"/>
      <c r="AF2972" s="197"/>
      <c r="AG2972" s="197"/>
      <c r="AH2972" s="197"/>
      <c r="AI2972" s="197"/>
      <c r="AJ2972" s="197"/>
      <c r="AK2972" s="197"/>
      <c r="AL2972" s="197"/>
      <c r="AM2972" s="197"/>
      <c r="AN2972" s="197"/>
      <c r="AO2972" s="197"/>
      <c r="AP2972" s="197"/>
      <c r="AQ2972" s="197"/>
      <c r="AR2972" s="197"/>
      <c r="AS2972" s="197"/>
      <c r="AT2972" s="197"/>
      <c r="AU2972" s="197"/>
      <c r="AV2972" s="197"/>
      <c r="AW2972" s="197"/>
    </row>
    <row r="2973" spans="28:49" s="196" customFormat="1">
      <c r="AB2973" s="201"/>
      <c r="AC2973" s="201"/>
      <c r="AD2973" s="197"/>
      <c r="AE2973" s="197"/>
      <c r="AF2973" s="197"/>
      <c r="AG2973" s="197"/>
      <c r="AH2973" s="197"/>
      <c r="AI2973" s="197"/>
      <c r="AJ2973" s="197"/>
      <c r="AK2973" s="197"/>
      <c r="AL2973" s="197"/>
      <c r="AM2973" s="197"/>
      <c r="AN2973" s="197"/>
      <c r="AO2973" s="197"/>
      <c r="AP2973" s="197"/>
      <c r="AQ2973" s="197"/>
      <c r="AR2973" s="197"/>
      <c r="AS2973" s="197"/>
      <c r="AT2973" s="197"/>
      <c r="AU2973" s="197"/>
      <c r="AV2973" s="197"/>
      <c r="AW2973" s="197"/>
    </row>
    <row r="2974" spans="28:49" s="196" customFormat="1">
      <c r="AB2974" s="201"/>
      <c r="AC2974" s="201"/>
      <c r="AD2974" s="197"/>
      <c r="AE2974" s="197"/>
      <c r="AF2974" s="197"/>
      <c r="AG2974" s="197"/>
      <c r="AH2974" s="197"/>
      <c r="AI2974" s="197"/>
      <c r="AJ2974" s="197"/>
      <c r="AK2974" s="197"/>
      <c r="AL2974" s="197"/>
      <c r="AM2974" s="197"/>
      <c r="AN2974" s="197"/>
      <c r="AO2974" s="197"/>
      <c r="AP2974" s="197"/>
      <c r="AQ2974" s="197"/>
      <c r="AR2974" s="197"/>
      <c r="AS2974" s="197"/>
      <c r="AT2974" s="197"/>
      <c r="AU2974" s="197"/>
      <c r="AV2974" s="197"/>
      <c r="AW2974" s="197"/>
    </row>
    <row r="2975" spans="28:49" s="196" customFormat="1">
      <c r="AB2975" s="201"/>
      <c r="AC2975" s="201"/>
      <c r="AD2975" s="197"/>
      <c r="AE2975" s="197"/>
      <c r="AF2975" s="197"/>
      <c r="AG2975" s="197"/>
      <c r="AH2975" s="197"/>
      <c r="AI2975" s="197"/>
      <c r="AJ2975" s="197"/>
      <c r="AK2975" s="197"/>
      <c r="AL2975" s="197"/>
      <c r="AM2975" s="197"/>
      <c r="AN2975" s="197"/>
      <c r="AO2975" s="197"/>
      <c r="AP2975" s="197"/>
      <c r="AQ2975" s="197"/>
      <c r="AR2975" s="197"/>
      <c r="AS2975" s="197"/>
      <c r="AT2975" s="197"/>
      <c r="AU2975" s="197"/>
      <c r="AV2975" s="197"/>
      <c r="AW2975" s="197"/>
    </row>
    <row r="2976" spans="28:49" s="196" customFormat="1">
      <c r="AB2976" s="201"/>
      <c r="AC2976" s="201"/>
      <c r="AD2976" s="197"/>
      <c r="AE2976" s="197"/>
      <c r="AF2976" s="197"/>
      <c r="AG2976" s="197"/>
      <c r="AH2976" s="197"/>
      <c r="AI2976" s="197"/>
      <c r="AJ2976" s="197"/>
      <c r="AK2976" s="197"/>
      <c r="AL2976" s="197"/>
      <c r="AM2976" s="197"/>
      <c r="AN2976" s="197"/>
      <c r="AO2976" s="197"/>
      <c r="AP2976" s="197"/>
      <c r="AQ2976" s="197"/>
      <c r="AR2976" s="197"/>
      <c r="AS2976" s="197"/>
      <c r="AT2976" s="197"/>
      <c r="AU2976" s="197"/>
      <c r="AV2976" s="197"/>
      <c r="AW2976" s="197"/>
    </row>
    <row r="2977" spans="28:49" s="196" customFormat="1">
      <c r="AB2977" s="201"/>
      <c r="AC2977" s="201"/>
      <c r="AD2977" s="197"/>
      <c r="AE2977" s="197"/>
      <c r="AF2977" s="197"/>
      <c r="AG2977" s="197"/>
      <c r="AH2977" s="197"/>
      <c r="AI2977" s="197"/>
      <c r="AJ2977" s="197"/>
      <c r="AK2977" s="197"/>
      <c r="AL2977" s="197"/>
      <c r="AM2977" s="197"/>
      <c r="AN2977" s="197"/>
      <c r="AO2977" s="197"/>
      <c r="AP2977" s="197"/>
      <c r="AQ2977" s="197"/>
      <c r="AR2977" s="197"/>
      <c r="AS2977" s="197"/>
      <c r="AT2977" s="197"/>
      <c r="AU2977" s="197"/>
      <c r="AV2977" s="197"/>
      <c r="AW2977" s="197"/>
    </row>
    <row r="2978" spans="28:49" s="196" customFormat="1">
      <c r="AB2978" s="201"/>
      <c r="AC2978" s="201"/>
      <c r="AD2978" s="197"/>
      <c r="AE2978" s="197"/>
      <c r="AF2978" s="197"/>
      <c r="AG2978" s="197"/>
      <c r="AH2978" s="197"/>
      <c r="AI2978" s="197"/>
      <c r="AJ2978" s="197"/>
      <c r="AK2978" s="197"/>
      <c r="AL2978" s="197"/>
      <c r="AM2978" s="197"/>
      <c r="AN2978" s="197"/>
      <c r="AO2978" s="197"/>
      <c r="AP2978" s="197"/>
      <c r="AQ2978" s="197"/>
      <c r="AR2978" s="197"/>
      <c r="AS2978" s="197"/>
      <c r="AT2978" s="197"/>
      <c r="AU2978" s="197"/>
      <c r="AV2978" s="197"/>
      <c r="AW2978" s="197"/>
    </row>
    <row r="2979" spans="28:49" s="196" customFormat="1">
      <c r="AB2979" s="201"/>
      <c r="AC2979" s="201"/>
      <c r="AD2979" s="197"/>
      <c r="AE2979" s="197"/>
      <c r="AF2979" s="197"/>
      <c r="AG2979" s="197"/>
      <c r="AH2979" s="197"/>
      <c r="AI2979" s="197"/>
      <c r="AJ2979" s="197"/>
      <c r="AK2979" s="197"/>
      <c r="AL2979" s="197"/>
      <c r="AM2979" s="197"/>
      <c r="AN2979" s="197"/>
      <c r="AO2979" s="197"/>
      <c r="AP2979" s="197"/>
      <c r="AQ2979" s="197"/>
      <c r="AR2979" s="197"/>
      <c r="AS2979" s="197"/>
      <c r="AT2979" s="197"/>
      <c r="AU2979" s="197"/>
      <c r="AV2979" s="197"/>
      <c r="AW2979" s="197"/>
    </row>
    <row r="2980" spans="28:49" s="196" customFormat="1">
      <c r="AB2980" s="201"/>
      <c r="AC2980" s="201"/>
      <c r="AD2980" s="197"/>
      <c r="AE2980" s="197"/>
      <c r="AF2980" s="197"/>
      <c r="AG2980" s="197"/>
      <c r="AH2980" s="197"/>
      <c r="AI2980" s="197"/>
      <c r="AJ2980" s="197"/>
      <c r="AK2980" s="197"/>
      <c r="AL2980" s="197"/>
      <c r="AM2980" s="197"/>
      <c r="AN2980" s="197"/>
      <c r="AO2980" s="197"/>
      <c r="AP2980" s="197"/>
      <c r="AQ2980" s="197"/>
      <c r="AR2980" s="197"/>
      <c r="AS2980" s="197"/>
      <c r="AT2980" s="197"/>
      <c r="AU2980" s="197"/>
      <c r="AV2980" s="197"/>
      <c r="AW2980" s="197"/>
    </row>
    <row r="2981" spans="28:49" s="196" customFormat="1">
      <c r="AB2981" s="201"/>
      <c r="AC2981" s="201"/>
      <c r="AD2981" s="197"/>
      <c r="AE2981" s="197"/>
      <c r="AF2981" s="197"/>
      <c r="AG2981" s="197"/>
      <c r="AH2981" s="197"/>
      <c r="AI2981" s="197"/>
      <c r="AJ2981" s="197"/>
      <c r="AK2981" s="197"/>
      <c r="AL2981" s="197"/>
      <c r="AM2981" s="197"/>
      <c r="AN2981" s="197"/>
      <c r="AO2981" s="197"/>
      <c r="AP2981" s="197"/>
      <c r="AQ2981" s="197"/>
      <c r="AR2981" s="197"/>
      <c r="AS2981" s="197"/>
      <c r="AT2981" s="197"/>
      <c r="AU2981" s="197"/>
      <c r="AV2981" s="197"/>
      <c r="AW2981" s="197"/>
    </row>
    <row r="2982" spans="28:49" s="196" customFormat="1">
      <c r="AB2982" s="201"/>
      <c r="AC2982" s="201"/>
      <c r="AD2982" s="197"/>
      <c r="AE2982" s="197"/>
      <c r="AF2982" s="197"/>
      <c r="AG2982" s="197"/>
      <c r="AH2982" s="197"/>
      <c r="AI2982" s="197"/>
      <c r="AJ2982" s="197"/>
      <c r="AK2982" s="197"/>
      <c r="AL2982" s="197"/>
      <c r="AM2982" s="197"/>
      <c r="AN2982" s="197"/>
      <c r="AO2982" s="197"/>
      <c r="AP2982" s="197"/>
      <c r="AQ2982" s="197"/>
      <c r="AR2982" s="197"/>
      <c r="AS2982" s="197"/>
      <c r="AT2982" s="197"/>
      <c r="AU2982" s="197"/>
      <c r="AV2982" s="197"/>
      <c r="AW2982" s="197"/>
    </row>
    <row r="2983" spans="28:49" s="196" customFormat="1">
      <c r="AB2983" s="201"/>
      <c r="AC2983" s="201"/>
      <c r="AD2983" s="197"/>
      <c r="AE2983" s="197"/>
      <c r="AF2983" s="197"/>
      <c r="AG2983" s="197"/>
      <c r="AH2983" s="197"/>
      <c r="AI2983" s="197"/>
      <c r="AJ2983" s="197"/>
      <c r="AK2983" s="197"/>
      <c r="AL2983" s="197"/>
      <c r="AM2983" s="197"/>
      <c r="AN2983" s="197"/>
      <c r="AO2983" s="197"/>
      <c r="AP2983" s="197"/>
      <c r="AQ2983" s="197"/>
      <c r="AR2983" s="197"/>
      <c r="AS2983" s="197"/>
      <c r="AT2983" s="197"/>
      <c r="AU2983" s="197"/>
      <c r="AV2983" s="197"/>
      <c r="AW2983" s="197"/>
    </row>
    <row r="2984" spans="28:49" s="196" customFormat="1">
      <c r="AB2984" s="201"/>
      <c r="AC2984" s="201"/>
      <c r="AD2984" s="197"/>
      <c r="AE2984" s="197"/>
      <c r="AF2984" s="197"/>
      <c r="AG2984" s="197"/>
      <c r="AH2984" s="197"/>
      <c r="AI2984" s="197"/>
      <c r="AJ2984" s="197"/>
      <c r="AK2984" s="197"/>
      <c r="AL2984" s="197"/>
      <c r="AM2984" s="197"/>
      <c r="AN2984" s="197"/>
      <c r="AO2984" s="197"/>
      <c r="AP2984" s="197"/>
      <c r="AQ2984" s="197"/>
      <c r="AR2984" s="197"/>
      <c r="AS2984" s="197"/>
      <c r="AT2984" s="197"/>
      <c r="AU2984" s="197"/>
      <c r="AV2984" s="197"/>
      <c r="AW2984" s="197"/>
    </row>
    <row r="2985" spans="28:49" s="196" customFormat="1">
      <c r="AB2985" s="201"/>
      <c r="AC2985" s="201"/>
      <c r="AD2985" s="197"/>
      <c r="AE2985" s="197"/>
      <c r="AF2985" s="197"/>
      <c r="AG2985" s="197"/>
      <c r="AH2985" s="197"/>
      <c r="AI2985" s="197"/>
      <c r="AJ2985" s="197"/>
      <c r="AK2985" s="197"/>
      <c r="AL2985" s="197"/>
      <c r="AM2985" s="197"/>
      <c r="AN2985" s="197"/>
      <c r="AO2985" s="197"/>
      <c r="AP2985" s="197"/>
      <c r="AQ2985" s="197"/>
      <c r="AR2985" s="197"/>
      <c r="AS2985" s="197"/>
      <c r="AT2985" s="197"/>
      <c r="AU2985" s="197"/>
      <c r="AV2985" s="197"/>
      <c r="AW2985" s="197"/>
    </row>
    <row r="2986" spans="28:49" s="196" customFormat="1">
      <c r="AB2986" s="201"/>
      <c r="AC2986" s="201"/>
      <c r="AD2986" s="197"/>
      <c r="AE2986" s="197"/>
      <c r="AF2986" s="197"/>
      <c r="AG2986" s="197"/>
      <c r="AH2986" s="197"/>
      <c r="AI2986" s="197"/>
      <c r="AJ2986" s="197"/>
      <c r="AK2986" s="197"/>
      <c r="AL2986" s="197"/>
      <c r="AM2986" s="197"/>
      <c r="AN2986" s="197"/>
      <c r="AO2986" s="197"/>
      <c r="AP2986" s="197"/>
      <c r="AQ2986" s="197"/>
      <c r="AR2986" s="197"/>
      <c r="AS2986" s="197"/>
      <c r="AT2986" s="197"/>
      <c r="AU2986" s="197"/>
      <c r="AV2986" s="197"/>
      <c r="AW2986" s="197"/>
    </row>
    <row r="2987" spans="28:49" s="196" customFormat="1">
      <c r="AB2987" s="201"/>
      <c r="AC2987" s="201"/>
      <c r="AD2987" s="197"/>
      <c r="AE2987" s="197"/>
      <c r="AF2987" s="197"/>
      <c r="AG2987" s="197"/>
      <c r="AH2987" s="197"/>
      <c r="AI2987" s="197"/>
      <c r="AJ2987" s="197"/>
      <c r="AK2987" s="197"/>
      <c r="AL2987" s="197"/>
      <c r="AM2987" s="197"/>
      <c r="AN2987" s="197"/>
      <c r="AO2987" s="197"/>
      <c r="AP2987" s="197"/>
      <c r="AQ2987" s="197"/>
      <c r="AR2987" s="197"/>
      <c r="AS2987" s="197"/>
      <c r="AT2987" s="197"/>
      <c r="AU2987" s="197"/>
      <c r="AV2987" s="197"/>
      <c r="AW2987" s="197"/>
    </row>
    <row r="2988" spans="28:49" s="196" customFormat="1">
      <c r="AB2988" s="201"/>
      <c r="AC2988" s="201"/>
      <c r="AD2988" s="197"/>
      <c r="AE2988" s="197"/>
      <c r="AF2988" s="197"/>
      <c r="AG2988" s="197"/>
      <c r="AH2988" s="197"/>
      <c r="AI2988" s="197"/>
      <c r="AJ2988" s="197"/>
      <c r="AK2988" s="197"/>
      <c r="AL2988" s="197"/>
      <c r="AM2988" s="197"/>
      <c r="AN2988" s="197"/>
      <c r="AO2988" s="197"/>
      <c r="AP2988" s="197"/>
      <c r="AQ2988" s="197"/>
      <c r="AR2988" s="197"/>
      <c r="AS2988" s="197"/>
      <c r="AT2988" s="197"/>
      <c r="AU2988" s="197"/>
      <c r="AV2988" s="197"/>
      <c r="AW2988" s="197"/>
    </row>
    <row r="2989" spans="28:49" s="196" customFormat="1">
      <c r="AB2989" s="201"/>
      <c r="AC2989" s="201"/>
      <c r="AD2989" s="197"/>
      <c r="AE2989" s="197"/>
      <c r="AF2989" s="197"/>
      <c r="AG2989" s="197"/>
      <c r="AH2989" s="197"/>
      <c r="AI2989" s="197"/>
      <c r="AJ2989" s="197"/>
      <c r="AK2989" s="197"/>
      <c r="AL2989" s="197"/>
      <c r="AM2989" s="197"/>
      <c r="AN2989" s="197"/>
      <c r="AO2989" s="197"/>
      <c r="AP2989" s="197"/>
      <c r="AQ2989" s="197"/>
      <c r="AR2989" s="197"/>
      <c r="AS2989" s="197"/>
      <c r="AT2989" s="197"/>
      <c r="AU2989" s="197"/>
      <c r="AV2989" s="197"/>
      <c r="AW2989" s="197"/>
    </row>
    <row r="2990" spans="28:49" s="196" customFormat="1">
      <c r="AB2990" s="201"/>
      <c r="AC2990" s="201"/>
      <c r="AD2990" s="197"/>
      <c r="AE2990" s="197"/>
      <c r="AF2990" s="197"/>
      <c r="AG2990" s="197"/>
      <c r="AH2990" s="197"/>
      <c r="AI2990" s="197"/>
      <c r="AJ2990" s="197"/>
      <c r="AK2990" s="197"/>
      <c r="AL2990" s="197"/>
      <c r="AM2990" s="197"/>
      <c r="AN2990" s="197"/>
      <c r="AO2990" s="197"/>
      <c r="AP2990" s="197"/>
      <c r="AQ2990" s="197"/>
      <c r="AR2990" s="197"/>
      <c r="AS2990" s="197"/>
      <c r="AT2990" s="197"/>
      <c r="AU2990" s="197"/>
      <c r="AV2990" s="197"/>
      <c r="AW2990" s="197"/>
    </row>
    <row r="2991" spans="28:49" s="196" customFormat="1">
      <c r="AB2991" s="201"/>
      <c r="AC2991" s="201"/>
      <c r="AD2991" s="197"/>
      <c r="AE2991" s="197"/>
      <c r="AF2991" s="197"/>
      <c r="AG2991" s="197"/>
      <c r="AH2991" s="197"/>
      <c r="AI2991" s="197"/>
      <c r="AJ2991" s="197"/>
      <c r="AK2991" s="197"/>
      <c r="AL2991" s="197"/>
      <c r="AM2991" s="197"/>
      <c r="AN2991" s="197"/>
      <c r="AO2991" s="197"/>
      <c r="AP2991" s="197"/>
      <c r="AQ2991" s="197"/>
      <c r="AR2991" s="197"/>
      <c r="AS2991" s="197"/>
      <c r="AT2991" s="197"/>
      <c r="AU2991" s="197"/>
      <c r="AV2991" s="197"/>
      <c r="AW2991" s="197"/>
    </row>
    <row r="2992" spans="28:49" s="196" customFormat="1">
      <c r="AB2992" s="201"/>
      <c r="AC2992" s="201"/>
      <c r="AD2992" s="197"/>
      <c r="AE2992" s="197"/>
      <c r="AF2992" s="197"/>
      <c r="AG2992" s="197"/>
      <c r="AH2992" s="197"/>
      <c r="AI2992" s="197"/>
      <c r="AJ2992" s="197"/>
      <c r="AK2992" s="197"/>
      <c r="AL2992" s="197"/>
      <c r="AM2992" s="197"/>
      <c r="AN2992" s="197"/>
      <c r="AO2992" s="197"/>
      <c r="AP2992" s="197"/>
      <c r="AQ2992" s="197"/>
      <c r="AR2992" s="197"/>
      <c r="AS2992" s="197"/>
      <c r="AT2992" s="197"/>
      <c r="AU2992" s="197"/>
      <c r="AV2992" s="197"/>
      <c r="AW2992" s="197"/>
    </row>
    <row r="2993" spans="28:49" s="196" customFormat="1">
      <c r="AB2993" s="201"/>
      <c r="AC2993" s="201"/>
      <c r="AD2993" s="197"/>
      <c r="AE2993" s="197"/>
      <c r="AF2993" s="197"/>
      <c r="AG2993" s="197"/>
      <c r="AH2993" s="197"/>
      <c r="AI2993" s="197"/>
      <c r="AJ2993" s="197"/>
      <c r="AK2993" s="197"/>
      <c r="AL2993" s="197"/>
      <c r="AM2993" s="197"/>
      <c r="AN2993" s="197"/>
      <c r="AO2993" s="197"/>
      <c r="AP2993" s="197"/>
      <c r="AQ2993" s="197"/>
      <c r="AR2993" s="197"/>
      <c r="AS2993" s="197"/>
      <c r="AT2993" s="197"/>
      <c r="AU2993" s="197"/>
      <c r="AV2993" s="197"/>
      <c r="AW2993" s="197"/>
    </row>
    <row r="2994" spans="28:49" s="196" customFormat="1">
      <c r="AB2994" s="201"/>
      <c r="AC2994" s="201"/>
      <c r="AD2994" s="197"/>
      <c r="AE2994" s="197"/>
      <c r="AF2994" s="197"/>
      <c r="AG2994" s="197"/>
      <c r="AH2994" s="197"/>
      <c r="AI2994" s="197"/>
      <c r="AJ2994" s="197"/>
      <c r="AK2994" s="197"/>
      <c r="AL2994" s="197"/>
      <c r="AM2994" s="197"/>
      <c r="AN2994" s="197"/>
      <c r="AO2994" s="197"/>
      <c r="AP2994" s="197"/>
      <c r="AQ2994" s="197"/>
      <c r="AR2994" s="197"/>
      <c r="AS2994" s="197"/>
      <c r="AT2994" s="197"/>
      <c r="AU2994" s="197"/>
      <c r="AV2994" s="197"/>
      <c r="AW2994" s="197"/>
    </row>
    <row r="2995" spans="28:49" s="196" customFormat="1">
      <c r="AB2995" s="201"/>
      <c r="AC2995" s="201"/>
      <c r="AD2995" s="197"/>
      <c r="AE2995" s="197"/>
      <c r="AF2995" s="197"/>
      <c r="AG2995" s="197"/>
      <c r="AH2995" s="197"/>
      <c r="AI2995" s="197"/>
      <c r="AJ2995" s="197"/>
      <c r="AK2995" s="197"/>
      <c r="AL2995" s="197"/>
      <c r="AM2995" s="197"/>
      <c r="AN2995" s="197"/>
      <c r="AO2995" s="197"/>
      <c r="AP2995" s="197"/>
      <c r="AQ2995" s="197"/>
      <c r="AR2995" s="197"/>
      <c r="AS2995" s="197"/>
      <c r="AT2995" s="197"/>
      <c r="AU2995" s="197"/>
      <c r="AV2995" s="197"/>
      <c r="AW2995" s="197"/>
    </row>
    <row r="2996" spans="28:49" s="196" customFormat="1">
      <c r="AB2996" s="201"/>
      <c r="AC2996" s="201"/>
      <c r="AD2996" s="197"/>
      <c r="AE2996" s="197"/>
      <c r="AF2996" s="197"/>
      <c r="AG2996" s="197"/>
      <c r="AH2996" s="197"/>
      <c r="AI2996" s="197"/>
      <c r="AJ2996" s="197"/>
      <c r="AK2996" s="197"/>
      <c r="AL2996" s="197"/>
      <c r="AM2996" s="197"/>
      <c r="AN2996" s="197"/>
      <c r="AO2996" s="197"/>
      <c r="AP2996" s="197"/>
      <c r="AQ2996" s="197"/>
      <c r="AR2996" s="197"/>
      <c r="AS2996" s="197"/>
      <c r="AT2996" s="197"/>
      <c r="AU2996" s="197"/>
      <c r="AV2996" s="197"/>
      <c r="AW2996" s="197"/>
    </row>
    <row r="2997" spans="28:49" s="196" customFormat="1">
      <c r="AB2997" s="201"/>
      <c r="AC2997" s="201"/>
      <c r="AD2997" s="197"/>
      <c r="AE2997" s="197"/>
      <c r="AF2997" s="197"/>
      <c r="AG2997" s="197"/>
      <c r="AH2997" s="197"/>
      <c r="AI2997" s="197"/>
      <c r="AJ2997" s="197"/>
      <c r="AK2997" s="197"/>
      <c r="AL2997" s="197"/>
      <c r="AM2997" s="197"/>
      <c r="AN2997" s="197"/>
      <c r="AO2997" s="197"/>
      <c r="AP2997" s="197"/>
      <c r="AQ2997" s="197"/>
      <c r="AR2997" s="197"/>
      <c r="AS2997" s="197"/>
      <c r="AT2997" s="197"/>
      <c r="AU2997" s="197"/>
      <c r="AV2997" s="197"/>
      <c r="AW2997" s="197"/>
    </row>
    <row r="2998" spans="28:49" s="196" customFormat="1">
      <c r="AB2998" s="201"/>
      <c r="AC2998" s="201"/>
      <c r="AD2998" s="197"/>
      <c r="AE2998" s="197"/>
      <c r="AF2998" s="197"/>
      <c r="AG2998" s="197"/>
      <c r="AH2998" s="197"/>
      <c r="AI2998" s="197"/>
      <c r="AJ2998" s="197"/>
      <c r="AK2998" s="197"/>
      <c r="AL2998" s="197"/>
      <c r="AM2998" s="197"/>
      <c r="AN2998" s="197"/>
      <c r="AO2998" s="197"/>
      <c r="AP2998" s="197"/>
      <c r="AQ2998" s="197"/>
      <c r="AR2998" s="197"/>
      <c r="AS2998" s="197"/>
      <c r="AT2998" s="197"/>
      <c r="AU2998" s="197"/>
      <c r="AV2998" s="197"/>
      <c r="AW2998" s="197"/>
    </row>
    <row r="2999" spans="28:49" s="196" customFormat="1">
      <c r="AB2999" s="201"/>
      <c r="AC2999" s="201"/>
      <c r="AD2999" s="197"/>
      <c r="AE2999" s="197"/>
      <c r="AF2999" s="197"/>
      <c r="AG2999" s="197"/>
      <c r="AH2999" s="197"/>
      <c r="AI2999" s="197"/>
      <c r="AJ2999" s="197"/>
      <c r="AK2999" s="197"/>
      <c r="AL2999" s="197"/>
      <c r="AM2999" s="197"/>
      <c r="AN2999" s="197"/>
      <c r="AO2999" s="197"/>
      <c r="AP2999" s="197"/>
      <c r="AQ2999" s="197"/>
      <c r="AR2999" s="197"/>
      <c r="AS2999" s="197"/>
      <c r="AT2999" s="197"/>
      <c r="AU2999" s="197"/>
      <c r="AV2999" s="197"/>
      <c r="AW2999" s="197"/>
    </row>
    <row r="3000" spans="28:49" s="196" customFormat="1">
      <c r="AB3000" s="201"/>
      <c r="AC3000" s="201"/>
      <c r="AD3000" s="197"/>
      <c r="AE3000" s="197"/>
      <c r="AF3000" s="197"/>
      <c r="AG3000" s="197"/>
      <c r="AH3000" s="197"/>
      <c r="AI3000" s="197"/>
      <c r="AJ3000" s="197"/>
      <c r="AK3000" s="197"/>
      <c r="AL3000" s="197"/>
      <c r="AM3000" s="197"/>
      <c r="AN3000" s="197"/>
      <c r="AO3000" s="197"/>
      <c r="AP3000" s="197"/>
      <c r="AQ3000" s="197"/>
      <c r="AR3000" s="197"/>
      <c r="AS3000" s="197"/>
      <c r="AT3000" s="197"/>
      <c r="AU3000" s="197"/>
      <c r="AV3000" s="197"/>
      <c r="AW3000" s="197"/>
    </row>
    <row r="3001" spans="28:49" s="196" customFormat="1">
      <c r="AB3001" s="201"/>
      <c r="AC3001" s="201"/>
      <c r="AD3001" s="197"/>
      <c r="AE3001" s="197"/>
      <c r="AF3001" s="197"/>
      <c r="AG3001" s="197"/>
      <c r="AH3001" s="197"/>
      <c r="AI3001" s="197"/>
      <c r="AJ3001" s="197"/>
      <c r="AK3001" s="197"/>
      <c r="AL3001" s="197"/>
      <c r="AM3001" s="197"/>
      <c r="AN3001" s="197"/>
      <c r="AO3001" s="197"/>
      <c r="AP3001" s="197"/>
      <c r="AQ3001" s="197"/>
      <c r="AR3001" s="197"/>
      <c r="AS3001" s="197"/>
      <c r="AT3001" s="197"/>
      <c r="AU3001" s="197"/>
      <c r="AV3001" s="197"/>
      <c r="AW3001" s="197"/>
    </row>
    <row r="3002" spans="28:49" s="196" customFormat="1">
      <c r="AB3002" s="201"/>
      <c r="AC3002" s="201"/>
      <c r="AD3002" s="197"/>
      <c r="AE3002" s="197"/>
      <c r="AF3002" s="197"/>
      <c r="AG3002" s="197"/>
      <c r="AH3002" s="197"/>
      <c r="AI3002" s="197"/>
      <c r="AJ3002" s="197"/>
      <c r="AK3002" s="197"/>
      <c r="AL3002" s="197"/>
      <c r="AM3002" s="197"/>
      <c r="AN3002" s="197"/>
      <c r="AO3002" s="197"/>
      <c r="AP3002" s="197"/>
      <c r="AQ3002" s="197"/>
      <c r="AR3002" s="197"/>
      <c r="AS3002" s="197"/>
      <c r="AT3002" s="197"/>
      <c r="AU3002" s="197"/>
      <c r="AV3002" s="197"/>
      <c r="AW3002" s="197"/>
    </row>
    <row r="3003" spans="28:49" s="196" customFormat="1">
      <c r="AB3003" s="201"/>
      <c r="AC3003" s="201"/>
      <c r="AD3003" s="197"/>
      <c r="AE3003" s="197"/>
      <c r="AF3003" s="197"/>
      <c r="AG3003" s="197"/>
      <c r="AH3003" s="197"/>
      <c r="AI3003" s="197"/>
      <c r="AJ3003" s="197"/>
      <c r="AK3003" s="197"/>
      <c r="AL3003" s="197"/>
      <c r="AM3003" s="197"/>
      <c r="AN3003" s="197"/>
      <c r="AO3003" s="197"/>
      <c r="AP3003" s="197"/>
      <c r="AQ3003" s="197"/>
      <c r="AR3003" s="197"/>
      <c r="AS3003" s="197"/>
      <c r="AT3003" s="197"/>
      <c r="AU3003" s="197"/>
      <c r="AV3003" s="197"/>
      <c r="AW3003" s="197"/>
    </row>
    <row r="3004" spans="28:49" s="196" customFormat="1">
      <c r="AB3004" s="201"/>
      <c r="AC3004" s="201"/>
      <c r="AD3004" s="197"/>
      <c r="AE3004" s="197"/>
      <c r="AF3004" s="197"/>
      <c r="AG3004" s="197"/>
      <c r="AH3004" s="197"/>
      <c r="AI3004" s="197"/>
      <c r="AJ3004" s="197"/>
      <c r="AK3004" s="197"/>
      <c r="AL3004" s="197"/>
      <c r="AM3004" s="197"/>
      <c r="AN3004" s="197"/>
      <c r="AO3004" s="197"/>
      <c r="AP3004" s="197"/>
      <c r="AQ3004" s="197"/>
      <c r="AR3004" s="197"/>
      <c r="AS3004" s="197"/>
      <c r="AT3004" s="197"/>
      <c r="AU3004" s="197"/>
      <c r="AV3004" s="197"/>
      <c r="AW3004" s="197"/>
    </row>
    <row r="3005" spans="28:49" s="196" customFormat="1">
      <c r="AB3005" s="201"/>
      <c r="AC3005" s="201"/>
      <c r="AD3005" s="197"/>
      <c r="AE3005" s="197"/>
      <c r="AF3005" s="197"/>
      <c r="AG3005" s="197"/>
      <c r="AH3005" s="197"/>
      <c r="AI3005" s="197"/>
      <c r="AJ3005" s="197"/>
      <c r="AK3005" s="197"/>
      <c r="AL3005" s="197"/>
      <c r="AM3005" s="197"/>
      <c r="AN3005" s="197"/>
      <c r="AO3005" s="197"/>
      <c r="AP3005" s="197"/>
      <c r="AQ3005" s="197"/>
      <c r="AR3005" s="197"/>
      <c r="AS3005" s="197"/>
      <c r="AT3005" s="197"/>
      <c r="AU3005" s="197"/>
      <c r="AV3005" s="197"/>
      <c r="AW3005" s="197"/>
    </row>
    <row r="3006" spans="28:49" s="196" customFormat="1">
      <c r="AB3006" s="201"/>
      <c r="AC3006" s="201"/>
      <c r="AD3006" s="197"/>
      <c r="AE3006" s="197"/>
      <c r="AF3006" s="197"/>
      <c r="AG3006" s="197"/>
      <c r="AH3006" s="197"/>
      <c r="AI3006" s="197"/>
      <c r="AJ3006" s="197"/>
      <c r="AK3006" s="197"/>
      <c r="AL3006" s="197"/>
      <c r="AM3006" s="197"/>
      <c r="AN3006" s="197"/>
      <c r="AO3006" s="197"/>
      <c r="AP3006" s="197"/>
      <c r="AQ3006" s="197"/>
      <c r="AR3006" s="197"/>
      <c r="AS3006" s="197"/>
      <c r="AT3006" s="197"/>
      <c r="AU3006" s="197"/>
      <c r="AV3006" s="197"/>
      <c r="AW3006" s="197"/>
    </row>
    <row r="3007" spans="28:49" s="196" customFormat="1">
      <c r="AB3007" s="201"/>
      <c r="AC3007" s="201"/>
      <c r="AD3007" s="197"/>
      <c r="AE3007" s="197"/>
      <c r="AF3007" s="197"/>
      <c r="AG3007" s="197"/>
      <c r="AH3007" s="197"/>
      <c r="AI3007" s="197"/>
      <c r="AJ3007" s="197"/>
      <c r="AK3007" s="197"/>
      <c r="AL3007" s="197"/>
      <c r="AM3007" s="197"/>
      <c r="AN3007" s="197"/>
      <c r="AO3007" s="197"/>
      <c r="AP3007" s="197"/>
      <c r="AQ3007" s="197"/>
      <c r="AR3007" s="197"/>
      <c r="AS3007" s="197"/>
      <c r="AT3007" s="197"/>
      <c r="AU3007" s="197"/>
      <c r="AV3007" s="197"/>
      <c r="AW3007" s="197"/>
    </row>
    <row r="3008" spans="28:49" s="196" customFormat="1">
      <c r="AB3008" s="201"/>
      <c r="AC3008" s="201"/>
      <c r="AD3008" s="197"/>
      <c r="AE3008" s="197"/>
      <c r="AF3008" s="197"/>
      <c r="AG3008" s="197"/>
      <c r="AH3008" s="197"/>
      <c r="AI3008" s="197"/>
      <c r="AJ3008" s="197"/>
      <c r="AK3008" s="197"/>
      <c r="AL3008" s="197"/>
      <c r="AM3008" s="197"/>
      <c r="AN3008" s="197"/>
      <c r="AO3008" s="197"/>
      <c r="AP3008" s="197"/>
      <c r="AQ3008" s="197"/>
      <c r="AR3008" s="197"/>
      <c r="AS3008" s="197"/>
      <c r="AT3008" s="197"/>
      <c r="AU3008" s="197"/>
      <c r="AV3008" s="197"/>
      <c r="AW3008" s="197"/>
    </row>
    <row r="3009" spans="28:49" s="196" customFormat="1">
      <c r="AB3009" s="201"/>
      <c r="AC3009" s="201"/>
      <c r="AD3009" s="197"/>
      <c r="AE3009" s="197"/>
      <c r="AF3009" s="197"/>
      <c r="AG3009" s="197"/>
      <c r="AH3009" s="197"/>
      <c r="AI3009" s="197"/>
      <c r="AJ3009" s="197"/>
      <c r="AK3009" s="197"/>
      <c r="AL3009" s="197"/>
      <c r="AM3009" s="197"/>
      <c r="AN3009" s="197"/>
      <c r="AO3009" s="197"/>
      <c r="AP3009" s="197"/>
      <c r="AQ3009" s="197"/>
      <c r="AR3009" s="197"/>
      <c r="AS3009" s="197"/>
      <c r="AT3009" s="197"/>
      <c r="AU3009" s="197"/>
      <c r="AV3009" s="197"/>
      <c r="AW3009" s="197"/>
    </row>
    <row r="3010" spans="28:49" s="196" customFormat="1">
      <c r="AB3010" s="201"/>
      <c r="AC3010" s="201"/>
      <c r="AD3010" s="197"/>
      <c r="AE3010" s="197"/>
      <c r="AF3010" s="197"/>
      <c r="AG3010" s="197"/>
      <c r="AH3010" s="197"/>
      <c r="AI3010" s="197"/>
      <c r="AJ3010" s="197"/>
      <c r="AK3010" s="197"/>
      <c r="AL3010" s="197"/>
      <c r="AM3010" s="197"/>
      <c r="AN3010" s="197"/>
      <c r="AO3010" s="197"/>
      <c r="AP3010" s="197"/>
      <c r="AQ3010" s="197"/>
      <c r="AR3010" s="197"/>
      <c r="AS3010" s="197"/>
      <c r="AT3010" s="197"/>
      <c r="AU3010" s="197"/>
      <c r="AV3010" s="197"/>
      <c r="AW3010" s="197"/>
    </row>
    <row r="3011" spans="28:49" s="196" customFormat="1">
      <c r="AB3011" s="201"/>
      <c r="AC3011" s="201"/>
      <c r="AD3011" s="197"/>
      <c r="AE3011" s="197"/>
      <c r="AF3011" s="197"/>
      <c r="AG3011" s="197"/>
      <c r="AH3011" s="197"/>
      <c r="AI3011" s="197"/>
      <c r="AJ3011" s="197"/>
      <c r="AK3011" s="197"/>
      <c r="AL3011" s="197"/>
      <c r="AM3011" s="197"/>
      <c r="AN3011" s="197"/>
      <c r="AO3011" s="197"/>
      <c r="AP3011" s="197"/>
      <c r="AQ3011" s="197"/>
      <c r="AR3011" s="197"/>
      <c r="AS3011" s="197"/>
      <c r="AT3011" s="197"/>
      <c r="AU3011" s="197"/>
      <c r="AV3011" s="197"/>
      <c r="AW3011" s="197"/>
    </row>
    <row r="3012" spans="28:49" s="196" customFormat="1">
      <c r="AB3012" s="201"/>
      <c r="AC3012" s="201"/>
      <c r="AD3012" s="197"/>
      <c r="AE3012" s="197"/>
      <c r="AF3012" s="197"/>
      <c r="AG3012" s="197"/>
      <c r="AH3012" s="197"/>
      <c r="AI3012" s="197"/>
      <c r="AJ3012" s="197"/>
      <c r="AK3012" s="197"/>
      <c r="AL3012" s="197"/>
      <c r="AM3012" s="197"/>
      <c r="AN3012" s="197"/>
      <c r="AO3012" s="197"/>
      <c r="AP3012" s="197"/>
      <c r="AQ3012" s="197"/>
      <c r="AR3012" s="197"/>
      <c r="AS3012" s="197"/>
      <c r="AT3012" s="197"/>
      <c r="AU3012" s="197"/>
      <c r="AV3012" s="197"/>
      <c r="AW3012" s="197"/>
    </row>
    <row r="3013" spans="28:49" s="196" customFormat="1">
      <c r="AB3013" s="201"/>
      <c r="AC3013" s="201"/>
      <c r="AD3013" s="197"/>
      <c r="AE3013" s="197"/>
      <c r="AF3013" s="197"/>
      <c r="AG3013" s="197"/>
      <c r="AH3013" s="197"/>
      <c r="AI3013" s="197"/>
      <c r="AJ3013" s="197"/>
      <c r="AK3013" s="197"/>
      <c r="AL3013" s="197"/>
      <c r="AM3013" s="197"/>
      <c r="AN3013" s="197"/>
      <c r="AO3013" s="197"/>
      <c r="AP3013" s="197"/>
      <c r="AQ3013" s="197"/>
      <c r="AR3013" s="197"/>
      <c r="AS3013" s="197"/>
      <c r="AT3013" s="197"/>
      <c r="AU3013" s="197"/>
      <c r="AV3013" s="197"/>
      <c r="AW3013" s="197"/>
    </row>
    <row r="3014" spans="28:49" s="196" customFormat="1">
      <c r="AB3014" s="201"/>
      <c r="AC3014" s="201"/>
      <c r="AD3014" s="197"/>
      <c r="AE3014" s="197"/>
      <c r="AF3014" s="197"/>
      <c r="AG3014" s="197"/>
      <c r="AH3014" s="197"/>
      <c r="AI3014" s="197"/>
      <c r="AJ3014" s="197"/>
      <c r="AK3014" s="197"/>
      <c r="AL3014" s="197"/>
      <c r="AM3014" s="197"/>
      <c r="AN3014" s="197"/>
      <c r="AO3014" s="197"/>
      <c r="AP3014" s="197"/>
      <c r="AQ3014" s="197"/>
      <c r="AR3014" s="197"/>
      <c r="AS3014" s="197"/>
      <c r="AT3014" s="197"/>
      <c r="AU3014" s="197"/>
      <c r="AV3014" s="197"/>
      <c r="AW3014" s="197"/>
    </row>
    <row r="3015" spans="28:49" s="196" customFormat="1">
      <c r="AB3015" s="201"/>
      <c r="AC3015" s="201"/>
      <c r="AD3015" s="197"/>
      <c r="AE3015" s="197"/>
      <c r="AF3015" s="197"/>
      <c r="AG3015" s="197"/>
      <c r="AH3015" s="197"/>
      <c r="AI3015" s="197"/>
      <c r="AJ3015" s="197"/>
      <c r="AK3015" s="197"/>
      <c r="AL3015" s="197"/>
      <c r="AM3015" s="197"/>
      <c r="AN3015" s="197"/>
      <c r="AO3015" s="197"/>
      <c r="AP3015" s="197"/>
      <c r="AQ3015" s="197"/>
      <c r="AR3015" s="197"/>
      <c r="AS3015" s="197"/>
      <c r="AT3015" s="197"/>
      <c r="AU3015" s="197"/>
      <c r="AV3015" s="197"/>
      <c r="AW3015" s="197"/>
    </row>
    <row r="3016" spans="28:49" s="196" customFormat="1">
      <c r="AB3016" s="201"/>
      <c r="AC3016" s="201"/>
      <c r="AD3016" s="197"/>
      <c r="AE3016" s="197"/>
      <c r="AF3016" s="197"/>
      <c r="AG3016" s="197"/>
      <c r="AH3016" s="197"/>
      <c r="AI3016" s="197"/>
      <c r="AJ3016" s="197"/>
      <c r="AK3016" s="197"/>
      <c r="AL3016" s="197"/>
      <c r="AM3016" s="197"/>
      <c r="AN3016" s="197"/>
      <c r="AO3016" s="197"/>
      <c r="AP3016" s="197"/>
      <c r="AQ3016" s="197"/>
      <c r="AR3016" s="197"/>
      <c r="AS3016" s="197"/>
      <c r="AT3016" s="197"/>
      <c r="AU3016" s="197"/>
      <c r="AV3016" s="197"/>
      <c r="AW3016" s="197"/>
    </row>
    <row r="3017" spans="28:49" s="196" customFormat="1">
      <c r="AB3017" s="201"/>
      <c r="AC3017" s="201"/>
      <c r="AD3017" s="197"/>
      <c r="AE3017" s="197"/>
      <c r="AF3017" s="197"/>
      <c r="AG3017" s="197"/>
      <c r="AH3017" s="197"/>
      <c r="AI3017" s="197"/>
      <c r="AJ3017" s="197"/>
      <c r="AK3017" s="197"/>
      <c r="AL3017" s="197"/>
      <c r="AM3017" s="197"/>
      <c r="AN3017" s="197"/>
      <c r="AO3017" s="197"/>
      <c r="AP3017" s="197"/>
      <c r="AQ3017" s="197"/>
      <c r="AR3017" s="197"/>
      <c r="AS3017" s="197"/>
      <c r="AT3017" s="197"/>
      <c r="AU3017" s="197"/>
      <c r="AV3017" s="197"/>
      <c r="AW3017" s="197"/>
    </row>
    <row r="3018" spans="28:49" s="196" customFormat="1">
      <c r="AB3018" s="201"/>
      <c r="AC3018" s="201"/>
      <c r="AD3018" s="197"/>
      <c r="AE3018" s="197"/>
      <c r="AF3018" s="197"/>
      <c r="AG3018" s="197"/>
      <c r="AH3018" s="197"/>
      <c r="AI3018" s="197"/>
      <c r="AJ3018" s="197"/>
      <c r="AK3018" s="197"/>
      <c r="AL3018" s="197"/>
      <c r="AM3018" s="197"/>
      <c r="AN3018" s="197"/>
      <c r="AO3018" s="197"/>
      <c r="AP3018" s="197"/>
      <c r="AQ3018" s="197"/>
      <c r="AR3018" s="197"/>
      <c r="AS3018" s="197"/>
      <c r="AT3018" s="197"/>
      <c r="AU3018" s="197"/>
      <c r="AV3018" s="197"/>
      <c r="AW3018" s="197"/>
    </row>
    <row r="3019" spans="28:49" s="196" customFormat="1">
      <c r="AB3019" s="201"/>
      <c r="AC3019" s="201"/>
      <c r="AD3019" s="197"/>
      <c r="AE3019" s="197"/>
      <c r="AF3019" s="197"/>
      <c r="AG3019" s="197"/>
      <c r="AH3019" s="197"/>
      <c r="AI3019" s="197"/>
      <c r="AJ3019" s="197"/>
      <c r="AK3019" s="197"/>
      <c r="AL3019" s="197"/>
      <c r="AM3019" s="197"/>
      <c r="AN3019" s="197"/>
      <c r="AO3019" s="197"/>
      <c r="AP3019" s="197"/>
      <c r="AQ3019" s="197"/>
      <c r="AR3019" s="197"/>
      <c r="AS3019" s="197"/>
      <c r="AT3019" s="197"/>
      <c r="AU3019" s="197"/>
      <c r="AV3019" s="197"/>
      <c r="AW3019" s="197"/>
    </row>
    <row r="3020" spans="28:49" s="196" customFormat="1">
      <c r="AB3020" s="201"/>
      <c r="AC3020" s="201"/>
      <c r="AD3020" s="197"/>
      <c r="AE3020" s="197"/>
      <c r="AF3020" s="197"/>
      <c r="AG3020" s="197"/>
      <c r="AH3020" s="197"/>
      <c r="AI3020" s="197"/>
      <c r="AJ3020" s="197"/>
      <c r="AK3020" s="197"/>
      <c r="AL3020" s="197"/>
      <c r="AM3020" s="197"/>
      <c r="AN3020" s="197"/>
      <c r="AO3020" s="197"/>
      <c r="AP3020" s="197"/>
      <c r="AQ3020" s="197"/>
      <c r="AR3020" s="197"/>
      <c r="AS3020" s="197"/>
      <c r="AT3020" s="197"/>
      <c r="AU3020" s="197"/>
      <c r="AV3020" s="197"/>
      <c r="AW3020" s="197"/>
    </row>
    <row r="3021" spans="28:49" s="196" customFormat="1">
      <c r="AB3021" s="201"/>
      <c r="AC3021" s="201"/>
      <c r="AD3021" s="197"/>
      <c r="AE3021" s="197"/>
      <c r="AF3021" s="197"/>
      <c r="AG3021" s="197"/>
      <c r="AH3021" s="197"/>
      <c r="AI3021" s="197"/>
      <c r="AJ3021" s="197"/>
      <c r="AK3021" s="197"/>
      <c r="AL3021" s="197"/>
      <c r="AM3021" s="197"/>
      <c r="AN3021" s="197"/>
      <c r="AO3021" s="197"/>
      <c r="AP3021" s="197"/>
      <c r="AQ3021" s="197"/>
      <c r="AR3021" s="197"/>
      <c r="AS3021" s="197"/>
      <c r="AT3021" s="197"/>
      <c r="AU3021" s="197"/>
      <c r="AV3021" s="197"/>
      <c r="AW3021" s="197"/>
    </row>
    <row r="3022" spans="28:49" s="196" customFormat="1">
      <c r="AB3022" s="201"/>
      <c r="AC3022" s="201"/>
      <c r="AD3022" s="197"/>
      <c r="AE3022" s="197"/>
      <c r="AF3022" s="197"/>
      <c r="AG3022" s="197"/>
      <c r="AH3022" s="197"/>
      <c r="AI3022" s="197"/>
      <c r="AJ3022" s="197"/>
      <c r="AK3022" s="197"/>
      <c r="AL3022" s="197"/>
      <c r="AM3022" s="197"/>
      <c r="AN3022" s="197"/>
      <c r="AO3022" s="197"/>
      <c r="AP3022" s="197"/>
      <c r="AQ3022" s="197"/>
      <c r="AR3022" s="197"/>
      <c r="AS3022" s="197"/>
      <c r="AT3022" s="197"/>
      <c r="AU3022" s="197"/>
      <c r="AV3022" s="197"/>
      <c r="AW3022" s="197"/>
    </row>
    <row r="3023" spans="28:49" s="196" customFormat="1">
      <c r="AB3023" s="201"/>
      <c r="AC3023" s="201"/>
      <c r="AD3023" s="197"/>
      <c r="AE3023" s="197"/>
      <c r="AF3023" s="197"/>
      <c r="AG3023" s="197"/>
      <c r="AH3023" s="197"/>
      <c r="AI3023" s="197"/>
      <c r="AJ3023" s="197"/>
      <c r="AK3023" s="197"/>
      <c r="AL3023" s="197"/>
      <c r="AM3023" s="197"/>
      <c r="AN3023" s="197"/>
      <c r="AO3023" s="197"/>
      <c r="AP3023" s="197"/>
      <c r="AQ3023" s="197"/>
      <c r="AR3023" s="197"/>
      <c r="AS3023" s="197"/>
      <c r="AT3023" s="197"/>
      <c r="AU3023" s="197"/>
      <c r="AV3023" s="197"/>
      <c r="AW3023" s="197"/>
    </row>
    <row r="3024" spans="28:49" s="196" customFormat="1">
      <c r="AB3024" s="201"/>
      <c r="AC3024" s="201"/>
      <c r="AD3024" s="197"/>
      <c r="AE3024" s="197"/>
      <c r="AF3024" s="197"/>
      <c r="AG3024" s="197"/>
      <c r="AH3024" s="197"/>
      <c r="AI3024" s="197"/>
      <c r="AJ3024" s="197"/>
      <c r="AK3024" s="197"/>
      <c r="AL3024" s="197"/>
      <c r="AM3024" s="197"/>
      <c r="AN3024" s="197"/>
      <c r="AO3024" s="197"/>
      <c r="AP3024" s="197"/>
      <c r="AQ3024" s="197"/>
      <c r="AR3024" s="197"/>
      <c r="AS3024" s="197"/>
      <c r="AT3024" s="197"/>
      <c r="AU3024" s="197"/>
      <c r="AV3024" s="197"/>
      <c r="AW3024" s="197"/>
    </row>
    <row r="3025" spans="28:49" s="196" customFormat="1">
      <c r="AB3025" s="201"/>
      <c r="AC3025" s="201"/>
      <c r="AD3025" s="197"/>
      <c r="AE3025" s="197"/>
      <c r="AF3025" s="197"/>
      <c r="AG3025" s="197"/>
      <c r="AH3025" s="197"/>
      <c r="AI3025" s="197"/>
      <c r="AJ3025" s="197"/>
      <c r="AK3025" s="197"/>
      <c r="AL3025" s="197"/>
      <c r="AM3025" s="197"/>
      <c r="AN3025" s="197"/>
      <c r="AO3025" s="197"/>
      <c r="AP3025" s="197"/>
      <c r="AQ3025" s="197"/>
      <c r="AR3025" s="197"/>
      <c r="AS3025" s="197"/>
      <c r="AT3025" s="197"/>
      <c r="AU3025" s="197"/>
      <c r="AV3025" s="197"/>
      <c r="AW3025" s="197"/>
    </row>
    <row r="3026" spans="28:49" s="196" customFormat="1">
      <c r="AB3026" s="201"/>
      <c r="AC3026" s="201"/>
      <c r="AD3026" s="197"/>
      <c r="AE3026" s="197"/>
      <c r="AF3026" s="197"/>
      <c r="AG3026" s="197"/>
      <c r="AH3026" s="197"/>
      <c r="AI3026" s="197"/>
      <c r="AJ3026" s="197"/>
      <c r="AK3026" s="197"/>
      <c r="AL3026" s="197"/>
      <c r="AM3026" s="197"/>
      <c r="AN3026" s="197"/>
      <c r="AO3026" s="197"/>
      <c r="AP3026" s="197"/>
      <c r="AQ3026" s="197"/>
      <c r="AR3026" s="197"/>
      <c r="AS3026" s="197"/>
      <c r="AT3026" s="197"/>
      <c r="AU3026" s="197"/>
      <c r="AV3026" s="197"/>
      <c r="AW3026" s="197"/>
    </row>
    <row r="3027" spans="28:49" s="196" customFormat="1">
      <c r="AB3027" s="201"/>
      <c r="AC3027" s="201"/>
      <c r="AD3027" s="197"/>
      <c r="AE3027" s="197"/>
      <c r="AF3027" s="197"/>
      <c r="AG3027" s="197"/>
      <c r="AH3027" s="197"/>
      <c r="AI3027" s="197"/>
      <c r="AJ3027" s="197"/>
      <c r="AK3027" s="197"/>
      <c r="AL3027" s="197"/>
      <c r="AM3027" s="197"/>
      <c r="AN3027" s="197"/>
      <c r="AO3027" s="197"/>
      <c r="AP3027" s="197"/>
      <c r="AQ3027" s="197"/>
      <c r="AR3027" s="197"/>
      <c r="AS3027" s="197"/>
      <c r="AT3027" s="197"/>
      <c r="AU3027" s="197"/>
      <c r="AV3027" s="197"/>
      <c r="AW3027" s="197"/>
    </row>
    <row r="3028" spans="28:49" s="196" customFormat="1">
      <c r="AB3028" s="201"/>
      <c r="AC3028" s="201"/>
      <c r="AD3028" s="197"/>
      <c r="AE3028" s="197"/>
      <c r="AF3028" s="197"/>
      <c r="AG3028" s="197"/>
      <c r="AH3028" s="197"/>
      <c r="AI3028" s="197"/>
      <c r="AJ3028" s="197"/>
      <c r="AK3028" s="197"/>
      <c r="AL3028" s="197"/>
      <c r="AM3028" s="197"/>
      <c r="AN3028" s="197"/>
      <c r="AO3028" s="197"/>
      <c r="AP3028" s="197"/>
      <c r="AQ3028" s="197"/>
      <c r="AR3028" s="197"/>
      <c r="AS3028" s="197"/>
      <c r="AT3028" s="197"/>
      <c r="AU3028" s="197"/>
      <c r="AV3028" s="197"/>
      <c r="AW3028" s="197"/>
    </row>
    <row r="3029" spans="28:49" s="196" customFormat="1">
      <c r="AB3029" s="201"/>
      <c r="AC3029" s="201"/>
      <c r="AD3029" s="197"/>
      <c r="AE3029" s="197"/>
      <c r="AF3029" s="197"/>
      <c r="AG3029" s="197"/>
      <c r="AH3029" s="197"/>
      <c r="AI3029" s="197"/>
      <c r="AJ3029" s="197"/>
      <c r="AK3029" s="197"/>
      <c r="AL3029" s="197"/>
      <c r="AM3029" s="197"/>
      <c r="AN3029" s="197"/>
      <c r="AO3029" s="197"/>
      <c r="AP3029" s="197"/>
      <c r="AQ3029" s="197"/>
      <c r="AR3029" s="197"/>
      <c r="AS3029" s="197"/>
      <c r="AT3029" s="197"/>
      <c r="AU3029" s="197"/>
      <c r="AV3029" s="197"/>
      <c r="AW3029" s="197"/>
    </row>
    <row r="3030" spans="28:49" s="196" customFormat="1">
      <c r="AB3030" s="201"/>
      <c r="AC3030" s="201"/>
      <c r="AD3030" s="197"/>
      <c r="AE3030" s="197"/>
      <c r="AF3030" s="197"/>
      <c r="AG3030" s="197"/>
      <c r="AH3030" s="197"/>
      <c r="AI3030" s="197"/>
      <c r="AJ3030" s="197"/>
      <c r="AK3030" s="197"/>
      <c r="AL3030" s="197"/>
      <c r="AM3030" s="197"/>
      <c r="AN3030" s="197"/>
      <c r="AO3030" s="197"/>
      <c r="AP3030" s="197"/>
      <c r="AQ3030" s="197"/>
      <c r="AR3030" s="197"/>
      <c r="AS3030" s="197"/>
      <c r="AT3030" s="197"/>
      <c r="AU3030" s="197"/>
      <c r="AV3030" s="197"/>
      <c r="AW3030" s="197"/>
    </row>
    <row r="3031" spans="28:49" s="196" customFormat="1">
      <c r="AB3031" s="201"/>
      <c r="AC3031" s="201"/>
      <c r="AD3031" s="197"/>
      <c r="AE3031" s="197"/>
      <c r="AF3031" s="197"/>
      <c r="AG3031" s="197"/>
      <c r="AH3031" s="197"/>
      <c r="AI3031" s="197"/>
      <c r="AJ3031" s="197"/>
      <c r="AK3031" s="197"/>
      <c r="AL3031" s="197"/>
      <c r="AM3031" s="197"/>
      <c r="AN3031" s="197"/>
      <c r="AO3031" s="197"/>
      <c r="AP3031" s="197"/>
      <c r="AQ3031" s="197"/>
      <c r="AR3031" s="197"/>
      <c r="AS3031" s="197"/>
      <c r="AT3031" s="197"/>
      <c r="AU3031" s="197"/>
      <c r="AV3031" s="197"/>
      <c r="AW3031" s="197"/>
    </row>
    <row r="3032" spans="28:49" s="196" customFormat="1">
      <c r="AB3032" s="201"/>
      <c r="AC3032" s="201"/>
      <c r="AD3032" s="197"/>
      <c r="AE3032" s="197"/>
      <c r="AF3032" s="197"/>
      <c r="AG3032" s="197"/>
      <c r="AH3032" s="197"/>
      <c r="AI3032" s="197"/>
      <c r="AJ3032" s="197"/>
      <c r="AK3032" s="197"/>
      <c r="AL3032" s="197"/>
      <c r="AM3032" s="197"/>
      <c r="AN3032" s="197"/>
      <c r="AO3032" s="197"/>
      <c r="AP3032" s="197"/>
      <c r="AQ3032" s="197"/>
      <c r="AR3032" s="197"/>
      <c r="AS3032" s="197"/>
      <c r="AT3032" s="197"/>
      <c r="AU3032" s="197"/>
      <c r="AV3032" s="197"/>
      <c r="AW3032" s="197"/>
    </row>
    <row r="3033" spans="28:49" s="196" customFormat="1">
      <c r="AB3033" s="201"/>
      <c r="AC3033" s="201"/>
      <c r="AD3033" s="197"/>
      <c r="AE3033" s="197"/>
      <c r="AF3033" s="197"/>
      <c r="AG3033" s="197"/>
      <c r="AH3033" s="197"/>
      <c r="AI3033" s="197"/>
      <c r="AJ3033" s="197"/>
      <c r="AK3033" s="197"/>
      <c r="AL3033" s="197"/>
      <c r="AM3033" s="197"/>
      <c r="AN3033" s="197"/>
      <c r="AO3033" s="197"/>
      <c r="AP3033" s="197"/>
      <c r="AQ3033" s="197"/>
      <c r="AR3033" s="197"/>
      <c r="AS3033" s="197"/>
      <c r="AT3033" s="197"/>
      <c r="AU3033" s="197"/>
      <c r="AV3033" s="197"/>
      <c r="AW3033" s="197"/>
    </row>
    <row r="3034" spans="28:49" s="196" customFormat="1">
      <c r="AB3034" s="201"/>
      <c r="AC3034" s="201"/>
      <c r="AD3034" s="197"/>
      <c r="AE3034" s="197"/>
      <c r="AF3034" s="197"/>
      <c r="AG3034" s="197"/>
      <c r="AH3034" s="197"/>
      <c r="AI3034" s="197"/>
      <c r="AJ3034" s="197"/>
      <c r="AK3034" s="197"/>
      <c r="AL3034" s="197"/>
      <c r="AM3034" s="197"/>
      <c r="AN3034" s="197"/>
      <c r="AO3034" s="197"/>
      <c r="AP3034" s="197"/>
      <c r="AQ3034" s="197"/>
      <c r="AR3034" s="197"/>
      <c r="AS3034" s="197"/>
      <c r="AT3034" s="197"/>
      <c r="AU3034" s="197"/>
      <c r="AV3034" s="197"/>
      <c r="AW3034" s="197"/>
    </row>
    <row r="3035" spans="28:49" s="196" customFormat="1">
      <c r="AB3035" s="201"/>
      <c r="AC3035" s="201"/>
      <c r="AD3035" s="197"/>
      <c r="AE3035" s="197"/>
      <c r="AF3035" s="197"/>
      <c r="AG3035" s="197"/>
      <c r="AH3035" s="197"/>
      <c r="AI3035" s="197"/>
      <c r="AJ3035" s="197"/>
      <c r="AK3035" s="197"/>
      <c r="AL3035" s="197"/>
      <c r="AM3035" s="197"/>
      <c r="AN3035" s="197"/>
      <c r="AO3035" s="197"/>
      <c r="AP3035" s="197"/>
      <c r="AQ3035" s="197"/>
      <c r="AR3035" s="197"/>
      <c r="AS3035" s="197"/>
      <c r="AT3035" s="197"/>
      <c r="AU3035" s="197"/>
      <c r="AV3035" s="197"/>
      <c r="AW3035" s="197"/>
    </row>
    <row r="3036" spans="28:49" s="196" customFormat="1">
      <c r="AB3036" s="201"/>
      <c r="AC3036" s="201"/>
      <c r="AD3036" s="197"/>
      <c r="AE3036" s="197"/>
      <c r="AF3036" s="197"/>
      <c r="AG3036" s="197"/>
      <c r="AH3036" s="197"/>
      <c r="AI3036" s="197"/>
      <c r="AJ3036" s="197"/>
      <c r="AK3036" s="197"/>
      <c r="AL3036" s="197"/>
      <c r="AM3036" s="197"/>
      <c r="AN3036" s="197"/>
      <c r="AO3036" s="197"/>
      <c r="AP3036" s="197"/>
      <c r="AQ3036" s="197"/>
      <c r="AR3036" s="197"/>
      <c r="AS3036" s="197"/>
      <c r="AT3036" s="197"/>
      <c r="AU3036" s="197"/>
      <c r="AV3036" s="197"/>
      <c r="AW3036" s="197"/>
    </row>
    <row r="3037" spans="28:49" s="196" customFormat="1">
      <c r="AB3037" s="201"/>
      <c r="AC3037" s="201"/>
      <c r="AD3037" s="197"/>
      <c r="AE3037" s="197"/>
      <c r="AF3037" s="197"/>
      <c r="AG3037" s="197"/>
      <c r="AH3037" s="197"/>
      <c r="AI3037" s="197"/>
      <c r="AJ3037" s="197"/>
      <c r="AK3037" s="197"/>
      <c r="AL3037" s="197"/>
      <c r="AM3037" s="197"/>
      <c r="AN3037" s="197"/>
      <c r="AO3037" s="197"/>
      <c r="AP3037" s="197"/>
      <c r="AQ3037" s="197"/>
      <c r="AR3037" s="197"/>
      <c r="AS3037" s="197"/>
      <c r="AT3037" s="197"/>
      <c r="AU3037" s="197"/>
      <c r="AV3037" s="197"/>
      <c r="AW3037" s="197"/>
    </row>
    <row r="3038" spans="28:49" s="196" customFormat="1">
      <c r="AB3038" s="201"/>
      <c r="AC3038" s="201"/>
      <c r="AD3038" s="197"/>
      <c r="AE3038" s="197"/>
      <c r="AF3038" s="197"/>
      <c r="AG3038" s="197"/>
      <c r="AH3038" s="197"/>
      <c r="AI3038" s="197"/>
      <c r="AJ3038" s="197"/>
      <c r="AK3038" s="197"/>
      <c r="AL3038" s="197"/>
      <c r="AM3038" s="197"/>
      <c r="AN3038" s="197"/>
      <c r="AO3038" s="197"/>
      <c r="AP3038" s="197"/>
      <c r="AQ3038" s="197"/>
      <c r="AR3038" s="197"/>
      <c r="AS3038" s="197"/>
      <c r="AT3038" s="197"/>
      <c r="AU3038" s="197"/>
      <c r="AV3038" s="197"/>
      <c r="AW3038" s="197"/>
    </row>
    <row r="3039" spans="28:49" s="196" customFormat="1">
      <c r="AB3039" s="201"/>
      <c r="AC3039" s="201"/>
      <c r="AD3039" s="197"/>
      <c r="AE3039" s="197"/>
      <c r="AF3039" s="197"/>
      <c r="AG3039" s="197"/>
      <c r="AH3039" s="197"/>
      <c r="AI3039" s="197"/>
      <c r="AJ3039" s="197"/>
      <c r="AK3039" s="197"/>
      <c r="AL3039" s="197"/>
      <c r="AM3039" s="197"/>
      <c r="AN3039" s="197"/>
      <c r="AO3039" s="197"/>
      <c r="AP3039" s="197"/>
      <c r="AQ3039" s="197"/>
      <c r="AR3039" s="197"/>
      <c r="AS3039" s="197"/>
      <c r="AT3039" s="197"/>
      <c r="AU3039" s="197"/>
      <c r="AV3039" s="197"/>
      <c r="AW3039" s="197"/>
    </row>
    <row r="3040" spans="28:49" s="196" customFormat="1">
      <c r="AB3040" s="201"/>
      <c r="AC3040" s="201"/>
      <c r="AD3040" s="197"/>
      <c r="AE3040" s="197"/>
      <c r="AF3040" s="197"/>
      <c r="AG3040" s="197"/>
      <c r="AH3040" s="197"/>
      <c r="AI3040" s="197"/>
      <c r="AJ3040" s="197"/>
      <c r="AK3040" s="197"/>
      <c r="AL3040" s="197"/>
      <c r="AM3040" s="197"/>
      <c r="AN3040" s="197"/>
      <c r="AO3040" s="197"/>
      <c r="AP3040" s="197"/>
      <c r="AQ3040" s="197"/>
      <c r="AR3040" s="197"/>
      <c r="AS3040" s="197"/>
      <c r="AT3040" s="197"/>
      <c r="AU3040" s="197"/>
      <c r="AV3040" s="197"/>
      <c r="AW3040" s="197"/>
    </row>
    <row r="3041" spans="28:49" s="196" customFormat="1">
      <c r="AB3041" s="201"/>
      <c r="AC3041" s="201"/>
      <c r="AD3041" s="197"/>
      <c r="AE3041" s="197"/>
      <c r="AF3041" s="197"/>
      <c r="AG3041" s="197"/>
      <c r="AH3041" s="197"/>
      <c r="AI3041" s="197"/>
      <c r="AJ3041" s="197"/>
      <c r="AK3041" s="197"/>
      <c r="AL3041" s="197"/>
      <c r="AM3041" s="197"/>
      <c r="AN3041" s="197"/>
      <c r="AO3041" s="197"/>
      <c r="AP3041" s="197"/>
      <c r="AQ3041" s="197"/>
      <c r="AR3041" s="197"/>
      <c r="AS3041" s="197"/>
      <c r="AT3041" s="197"/>
      <c r="AU3041" s="197"/>
      <c r="AV3041" s="197"/>
      <c r="AW3041" s="197"/>
    </row>
    <row r="3042" spans="28:49" s="196" customFormat="1">
      <c r="AB3042" s="201"/>
      <c r="AC3042" s="201"/>
      <c r="AD3042" s="197"/>
      <c r="AE3042" s="197"/>
      <c r="AF3042" s="197"/>
      <c r="AG3042" s="197"/>
      <c r="AH3042" s="197"/>
      <c r="AI3042" s="197"/>
      <c r="AJ3042" s="197"/>
      <c r="AK3042" s="197"/>
      <c r="AL3042" s="197"/>
      <c r="AM3042" s="197"/>
      <c r="AN3042" s="197"/>
      <c r="AO3042" s="197"/>
      <c r="AP3042" s="197"/>
      <c r="AQ3042" s="197"/>
      <c r="AR3042" s="197"/>
      <c r="AS3042" s="197"/>
      <c r="AT3042" s="197"/>
      <c r="AU3042" s="197"/>
      <c r="AV3042" s="197"/>
      <c r="AW3042" s="197"/>
    </row>
    <row r="3043" spans="28:49" s="196" customFormat="1">
      <c r="AB3043" s="201"/>
      <c r="AC3043" s="201"/>
      <c r="AD3043" s="197"/>
      <c r="AE3043" s="197"/>
      <c r="AF3043" s="197"/>
      <c r="AG3043" s="197"/>
      <c r="AH3043" s="197"/>
      <c r="AI3043" s="197"/>
      <c r="AJ3043" s="197"/>
      <c r="AK3043" s="197"/>
      <c r="AL3043" s="197"/>
      <c r="AM3043" s="197"/>
      <c r="AN3043" s="197"/>
      <c r="AO3043" s="197"/>
      <c r="AP3043" s="197"/>
      <c r="AQ3043" s="197"/>
      <c r="AR3043" s="197"/>
      <c r="AS3043" s="197"/>
      <c r="AT3043" s="197"/>
      <c r="AU3043" s="197"/>
      <c r="AV3043" s="197"/>
      <c r="AW3043" s="197"/>
    </row>
    <row r="3044" spans="28:49" s="196" customFormat="1">
      <c r="AB3044" s="201"/>
      <c r="AC3044" s="201"/>
      <c r="AD3044" s="197"/>
      <c r="AE3044" s="197"/>
      <c r="AF3044" s="197"/>
      <c r="AG3044" s="197"/>
      <c r="AH3044" s="197"/>
      <c r="AI3044" s="197"/>
      <c r="AJ3044" s="197"/>
      <c r="AK3044" s="197"/>
      <c r="AL3044" s="197"/>
      <c r="AM3044" s="197"/>
      <c r="AN3044" s="197"/>
      <c r="AO3044" s="197"/>
      <c r="AP3044" s="197"/>
      <c r="AQ3044" s="197"/>
      <c r="AR3044" s="197"/>
      <c r="AS3044" s="197"/>
      <c r="AT3044" s="197"/>
      <c r="AU3044" s="197"/>
      <c r="AV3044" s="197"/>
      <c r="AW3044" s="197"/>
    </row>
    <row r="3045" spans="28:49" s="196" customFormat="1">
      <c r="AB3045" s="201"/>
      <c r="AC3045" s="201"/>
      <c r="AD3045" s="197"/>
      <c r="AE3045" s="197"/>
      <c r="AF3045" s="197"/>
      <c r="AG3045" s="197"/>
      <c r="AH3045" s="197"/>
      <c r="AI3045" s="197"/>
      <c r="AJ3045" s="197"/>
      <c r="AK3045" s="197"/>
      <c r="AL3045" s="197"/>
      <c r="AM3045" s="197"/>
      <c r="AN3045" s="197"/>
      <c r="AO3045" s="197"/>
      <c r="AP3045" s="197"/>
      <c r="AQ3045" s="197"/>
      <c r="AR3045" s="197"/>
      <c r="AS3045" s="197"/>
      <c r="AT3045" s="197"/>
      <c r="AU3045" s="197"/>
      <c r="AV3045" s="197"/>
      <c r="AW3045" s="197"/>
    </row>
    <row r="3046" spans="28:49" s="196" customFormat="1">
      <c r="AB3046" s="201"/>
      <c r="AC3046" s="201"/>
      <c r="AD3046" s="197"/>
      <c r="AE3046" s="197"/>
      <c r="AF3046" s="197"/>
      <c r="AG3046" s="197"/>
      <c r="AH3046" s="197"/>
      <c r="AI3046" s="197"/>
      <c r="AJ3046" s="197"/>
      <c r="AK3046" s="197"/>
      <c r="AL3046" s="197"/>
      <c r="AM3046" s="197"/>
      <c r="AN3046" s="197"/>
      <c r="AO3046" s="197"/>
      <c r="AP3046" s="197"/>
      <c r="AQ3046" s="197"/>
      <c r="AR3046" s="197"/>
      <c r="AS3046" s="197"/>
      <c r="AT3046" s="197"/>
      <c r="AU3046" s="197"/>
      <c r="AV3046" s="197"/>
      <c r="AW3046" s="197"/>
    </row>
    <row r="3047" spans="28:49" s="196" customFormat="1">
      <c r="AB3047" s="201"/>
      <c r="AC3047" s="201"/>
      <c r="AD3047" s="197"/>
      <c r="AE3047" s="197"/>
      <c r="AF3047" s="197"/>
      <c r="AG3047" s="197"/>
      <c r="AH3047" s="197"/>
      <c r="AI3047" s="197"/>
      <c r="AJ3047" s="197"/>
      <c r="AK3047" s="197"/>
      <c r="AL3047" s="197"/>
      <c r="AM3047" s="197"/>
      <c r="AN3047" s="197"/>
      <c r="AO3047" s="197"/>
      <c r="AP3047" s="197"/>
      <c r="AQ3047" s="197"/>
      <c r="AR3047" s="197"/>
      <c r="AS3047" s="197"/>
      <c r="AT3047" s="197"/>
      <c r="AU3047" s="197"/>
      <c r="AV3047" s="197"/>
      <c r="AW3047" s="197"/>
    </row>
    <row r="3048" spans="28:49" s="196" customFormat="1">
      <c r="AB3048" s="201"/>
      <c r="AC3048" s="201"/>
      <c r="AD3048" s="197"/>
      <c r="AE3048" s="197"/>
      <c r="AF3048" s="197"/>
      <c r="AG3048" s="197"/>
      <c r="AH3048" s="197"/>
      <c r="AI3048" s="197"/>
      <c r="AJ3048" s="197"/>
      <c r="AK3048" s="197"/>
      <c r="AL3048" s="197"/>
      <c r="AM3048" s="197"/>
      <c r="AN3048" s="197"/>
      <c r="AO3048" s="197"/>
      <c r="AP3048" s="197"/>
      <c r="AQ3048" s="197"/>
      <c r="AR3048" s="197"/>
      <c r="AS3048" s="197"/>
      <c r="AT3048" s="197"/>
      <c r="AU3048" s="197"/>
      <c r="AV3048" s="197"/>
      <c r="AW3048" s="197"/>
    </row>
    <row r="3049" spans="28:49" s="196" customFormat="1">
      <c r="AB3049" s="201"/>
      <c r="AC3049" s="201"/>
      <c r="AD3049" s="197"/>
      <c r="AE3049" s="197"/>
      <c r="AF3049" s="197"/>
      <c r="AG3049" s="197"/>
      <c r="AH3049" s="197"/>
      <c r="AI3049" s="197"/>
      <c r="AJ3049" s="197"/>
      <c r="AK3049" s="197"/>
      <c r="AL3049" s="197"/>
      <c r="AM3049" s="197"/>
      <c r="AN3049" s="197"/>
      <c r="AO3049" s="197"/>
      <c r="AP3049" s="197"/>
      <c r="AQ3049" s="197"/>
      <c r="AR3049" s="197"/>
      <c r="AS3049" s="197"/>
      <c r="AT3049" s="197"/>
      <c r="AU3049" s="197"/>
      <c r="AV3049" s="197"/>
      <c r="AW3049" s="197"/>
    </row>
    <row r="3050" spans="28:49" s="196" customFormat="1">
      <c r="AB3050" s="201"/>
      <c r="AC3050" s="201"/>
      <c r="AD3050" s="197"/>
      <c r="AE3050" s="197"/>
      <c r="AF3050" s="197"/>
      <c r="AG3050" s="197"/>
      <c r="AH3050" s="197"/>
      <c r="AI3050" s="197"/>
      <c r="AJ3050" s="197"/>
      <c r="AK3050" s="197"/>
      <c r="AL3050" s="197"/>
      <c r="AM3050" s="197"/>
      <c r="AN3050" s="197"/>
      <c r="AO3050" s="197"/>
      <c r="AP3050" s="197"/>
      <c r="AQ3050" s="197"/>
      <c r="AR3050" s="197"/>
      <c r="AS3050" s="197"/>
      <c r="AT3050" s="197"/>
      <c r="AU3050" s="197"/>
      <c r="AV3050" s="197"/>
      <c r="AW3050" s="197"/>
    </row>
    <row r="3051" spans="28:49" s="196" customFormat="1">
      <c r="AB3051" s="201"/>
      <c r="AC3051" s="201"/>
      <c r="AD3051" s="197"/>
      <c r="AE3051" s="197"/>
      <c r="AF3051" s="197"/>
      <c r="AG3051" s="197"/>
      <c r="AH3051" s="197"/>
      <c r="AI3051" s="197"/>
      <c r="AJ3051" s="197"/>
      <c r="AK3051" s="197"/>
      <c r="AL3051" s="197"/>
      <c r="AM3051" s="197"/>
      <c r="AN3051" s="197"/>
      <c r="AO3051" s="197"/>
      <c r="AP3051" s="197"/>
      <c r="AQ3051" s="197"/>
      <c r="AR3051" s="197"/>
      <c r="AS3051" s="197"/>
      <c r="AT3051" s="197"/>
      <c r="AU3051" s="197"/>
      <c r="AV3051" s="197"/>
      <c r="AW3051" s="197"/>
    </row>
    <row r="3052" spans="28:49" s="196" customFormat="1">
      <c r="AB3052" s="201"/>
      <c r="AC3052" s="201"/>
      <c r="AD3052" s="197"/>
      <c r="AE3052" s="197"/>
      <c r="AF3052" s="197"/>
      <c r="AG3052" s="197"/>
      <c r="AH3052" s="197"/>
      <c r="AI3052" s="197"/>
      <c r="AJ3052" s="197"/>
      <c r="AK3052" s="197"/>
      <c r="AL3052" s="197"/>
      <c r="AM3052" s="197"/>
      <c r="AN3052" s="197"/>
      <c r="AO3052" s="197"/>
      <c r="AP3052" s="197"/>
      <c r="AQ3052" s="197"/>
      <c r="AR3052" s="197"/>
      <c r="AS3052" s="197"/>
      <c r="AT3052" s="197"/>
      <c r="AU3052" s="197"/>
      <c r="AV3052" s="197"/>
      <c r="AW3052" s="197"/>
    </row>
    <row r="3053" spans="28:49" s="196" customFormat="1">
      <c r="AB3053" s="201"/>
      <c r="AC3053" s="201"/>
      <c r="AD3053" s="197"/>
      <c r="AE3053" s="197"/>
      <c r="AF3053" s="197"/>
      <c r="AG3053" s="197"/>
      <c r="AH3053" s="197"/>
      <c r="AI3053" s="197"/>
      <c r="AJ3053" s="197"/>
      <c r="AK3053" s="197"/>
      <c r="AL3053" s="197"/>
      <c r="AM3053" s="197"/>
      <c r="AN3053" s="197"/>
      <c r="AO3053" s="197"/>
      <c r="AP3053" s="197"/>
      <c r="AQ3053" s="197"/>
      <c r="AR3053" s="197"/>
      <c r="AS3053" s="197"/>
      <c r="AT3053" s="197"/>
      <c r="AU3053" s="197"/>
      <c r="AV3053" s="197"/>
      <c r="AW3053" s="197"/>
    </row>
    <row r="3054" spans="28:49" s="196" customFormat="1">
      <c r="AB3054" s="201"/>
      <c r="AC3054" s="201"/>
      <c r="AD3054" s="197"/>
      <c r="AE3054" s="197"/>
      <c r="AF3054" s="197"/>
      <c r="AG3054" s="197"/>
      <c r="AH3054" s="197"/>
      <c r="AI3054" s="197"/>
      <c r="AJ3054" s="197"/>
      <c r="AK3054" s="197"/>
      <c r="AL3054" s="197"/>
      <c r="AM3054" s="197"/>
      <c r="AN3054" s="197"/>
      <c r="AO3054" s="197"/>
      <c r="AP3054" s="197"/>
      <c r="AQ3054" s="197"/>
      <c r="AR3054" s="197"/>
      <c r="AS3054" s="197"/>
      <c r="AT3054" s="197"/>
      <c r="AU3054" s="197"/>
      <c r="AV3054" s="197"/>
      <c r="AW3054" s="197"/>
    </row>
    <row r="3055" spans="28:49" s="196" customFormat="1">
      <c r="AB3055" s="201"/>
      <c r="AC3055" s="201"/>
      <c r="AD3055" s="197"/>
      <c r="AE3055" s="197"/>
      <c r="AF3055" s="197"/>
      <c r="AG3055" s="197"/>
      <c r="AH3055" s="197"/>
      <c r="AI3055" s="197"/>
      <c r="AJ3055" s="197"/>
      <c r="AK3055" s="197"/>
      <c r="AL3055" s="197"/>
      <c r="AM3055" s="197"/>
      <c r="AN3055" s="197"/>
      <c r="AO3055" s="197"/>
      <c r="AP3055" s="197"/>
      <c r="AQ3055" s="197"/>
      <c r="AR3055" s="197"/>
      <c r="AS3055" s="197"/>
      <c r="AT3055" s="197"/>
      <c r="AU3055" s="197"/>
      <c r="AV3055" s="197"/>
      <c r="AW3055" s="197"/>
    </row>
    <row r="3056" spans="28:49" s="196" customFormat="1">
      <c r="AB3056" s="201"/>
      <c r="AC3056" s="201"/>
      <c r="AD3056" s="197"/>
      <c r="AE3056" s="197"/>
      <c r="AF3056" s="197"/>
      <c r="AG3056" s="197"/>
      <c r="AH3056" s="197"/>
      <c r="AI3056" s="197"/>
      <c r="AJ3056" s="197"/>
      <c r="AK3056" s="197"/>
      <c r="AL3056" s="197"/>
      <c r="AM3056" s="197"/>
      <c r="AN3056" s="197"/>
      <c r="AO3056" s="197"/>
      <c r="AP3056" s="197"/>
      <c r="AQ3056" s="197"/>
      <c r="AR3056" s="197"/>
      <c r="AS3056" s="197"/>
      <c r="AT3056" s="197"/>
      <c r="AU3056" s="197"/>
      <c r="AV3056" s="197"/>
      <c r="AW3056" s="197"/>
    </row>
    <row r="3057" spans="28:49" s="196" customFormat="1">
      <c r="AB3057" s="201"/>
      <c r="AC3057" s="201"/>
      <c r="AD3057" s="197"/>
      <c r="AE3057" s="197"/>
      <c r="AF3057" s="197"/>
      <c r="AG3057" s="197"/>
      <c r="AH3057" s="197"/>
      <c r="AI3057" s="197"/>
      <c r="AJ3057" s="197"/>
      <c r="AK3057" s="197"/>
      <c r="AL3057" s="197"/>
      <c r="AM3057" s="197"/>
      <c r="AN3057" s="197"/>
      <c r="AO3057" s="197"/>
      <c r="AP3057" s="197"/>
      <c r="AQ3057" s="197"/>
      <c r="AR3057" s="197"/>
      <c r="AS3057" s="197"/>
      <c r="AT3057" s="197"/>
      <c r="AU3057" s="197"/>
      <c r="AV3057" s="197"/>
      <c r="AW3057" s="197"/>
    </row>
    <row r="3058" spans="28:49" s="196" customFormat="1">
      <c r="AB3058" s="201"/>
      <c r="AC3058" s="201"/>
      <c r="AD3058" s="197"/>
      <c r="AE3058" s="197"/>
      <c r="AF3058" s="197"/>
      <c r="AG3058" s="197"/>
      <c r="AH3058" s="197"/>
      <c r="AI3058" s="197"/>
      <c r="AJ3058" s="197"/>
      <c r="AK3058" s="197"/>
      <c r="AL3058" s="197"/>
      <c r="AM3058" s="197"/>
      <c r="AN3058" s="197"/>
      <c r="AO3058" s="197"/>
      <c r="AP3058" s="197"/>
      <c r="AQ3058" s="197"/>
      <c r="AR3058" s="197"/>
      <c r="AS3058" s="197"/>
      <c r="AT3058" s="197"/>
      <c r="AU3058" s="197"/>
      <c r="AV3058" s="197"/>
      <c r="AW3058" s="197"/>
    </row>
    <row r="3059" spans="28:49" s="196" customFormat="1">
      <c r="AB3059" s="201"/>
      <c r="AC3059" s="201"/>
      <c r="AD3059" s="197"/>
      <c r="AE3059" s="197"/>
      <c r="AF3059" s="197"/>
      <c r="AG3059" s="197"/>
      <c r="AH3059" s="197"/>
      <c r="AI3059" s="197"/>
      <c r="AJ3059" s="197"/>
      <c r="AK3059" s="197"/>
      <c r="AL3059" s="197"/>
      <c r="AM3059" s="197"/>
      <c r="AN3059" s="197"/>
      <c r="AO3059" s="197"/>
      <c r="AP3059" s="197"/>
      <c r="AQ3059" s="197"/>
      <c r="AR3059" s="197"/>
      <c r="AS3059" s="197"/>
      <c r="AT3059" s="197"/>
      <c r="AU3059" s="197"/>
      <c r="AV3059" s="197"/>
      <c r="AW3059" s="197"/>
    </row>
    <row r="3060" spans="28:49" s="196" customFormat="1">
      <c r="AB3060" s="201"/>
      <c r="AC3060" s="201"/>
      <c r="AD3060" s="197"/>
      <c r="AE3060" s="197"/>
      <c r="AF3060" s="197"/>
      <c r="AG3060" s="197"/>
      <c r="AH3060" s="197"/>
      <c r="AI3060" s="197"/>
      <c r="AJ3060" s="197"/>
      <c r="AK3060" s="197"/>
      <c r="AL3060" s="197"/>
      <c r="AM3060" s="197"/>
      <c r="AN3060" s="197"/>
      <c r="AO3060" s="197"/>
      <c r="AP3060" s="197"/>
      <c r="AQ3060" s="197"/>
      <c r="AR3060" s="197"/>
      <c r="AS3060" s="197"/>
      <c r="AT3060" s="197"/>
      <c r="AU3060" s="197"/>
      <c r="AV3060" s="197"/>
      <c r="AW3060" s="197"/>
    </row>
    <row r="3061" spans="28:49" s="196" customFormat="1">
      <c r="AB3061" s="201"/>
      <c r="AC3061" s="201"/>
      <c r="AD3061" s="197"/>
      <c r="AE3061" s="197"/>
      <c r="AF3061" s="197"/>
      <c r="AG3061" s="197"/>
      <c r="AH3061" s="197"/>
      <c r="AI3061" s="197"/>
      <c r="AJ3061" s="197"/>
      <c r="AK3061" s="197"/>
      <c r="AL3061" s="197"/>
      <c r="AM3061" s="197"/>
      <c r="AN3061" s="197"/>
      <c r="AO3061" s="197"/>
      <c r="AP3061" s="197"/>
      <c r="AQ3061" s="197"/>
      <c r="AR3061" s="197"/>
      <c r="AS3061" s="197"/>
      <c r="AT3061" s="197"/>
      <c r="AU3061" s="197"/>
      <c r="AV3061" s="197"/>
      <c r="AW3061" s="197"/>
    </row>
    <row r="3062" spans="28:49" s="196" customFormat="1">
      <c r="AB3062" s="201"/>
      <c r="AC3062" s="201"/>
      <c r="AD3062" s="197"/>
      <c r="AE3062" s="197"/>
      <c r="AF3062" s="197"/>
      <c r="AG3062" s="197"/>
      <c r="AH3062" s="197"/>
      <c r="AI3062" s="197"/>
      <c r="AJ3062" s="197"/>
      <c r="AK3062" s="197"/>
      <c r="AL3062" s="197"/>
      <c r="AM3062" s="197"/>
      <c r="AN3062" s="197"/>
      <c r="AO3062" s="197"/>
      <c r="AP3062" s="197"/>
      <c r="AQ3062" s="197"/>
      <c r="AR3062" s="197"/>
      <c r="AS3062" s="197"/>
      <c r="AT3062" s="197"/>
      <c r="AU3062" s="197"/>
      <c r="AV3062" s="197"/>
      <c r="AW3062" s="197"/>
    </row>
    <row r="3063" spans="28:49" s="196" customFormat="1">
      <c r="AB3063" s="201"/>
      <c r="AC3063" s="201"/>
      <c r="AD3063" s="197"/>
      <c r="AE3063" s="197"/>
      <c r="AF3063" s="197"/>
      <c r="AG3063" s="197"/>
      <c r="AH3063" s="197"/>
      <c r="AI3063" s="197"/>
      <c r="AJ3063" s="197"/>
      <c r="AK3063" s="197"/>
      <c r="AL3063" s="197"/>
      <c r="AM3063" s="197"/>
      <c r="AN3063" s="197"/>
      <c r="AO3063" s="197"/>
      <c r="AP3063" s="197"/>
      <c r="AQ3063" s="197"/>
      <c r="AR3063" s="197"/>
      <c r="AS3063" s="197"/>
      <c r="AT3063" s="197"/>
      <c r="AU3063" s="197"/>
      <c r="AV3063" s="197"/>
      <c r="AW3063" s="197"/>
    </row>
    <row r="3064" spans="28:49" s="196" customFormat="1">
      <c r="AB3064" s="201"/>
      <c r="AC3064" s="201"/>
      <c r="AD3064" s="197"/>
      <c r="AE3064" s="197"/>
      <c r="AF3064" s="197"/>
      <c r="AG3064" s="197"/>
      <c r="AH3064" s="197"/>
      <c r="AI3064" s="197"/>
      <c r="AJ3064" s="197"/>
      <c r="AK3064" s="197"/>
      <c r="AL3064" s="197"/>
      <c r="AM3064" s="197"/>
      <c r="AN3064" s="197"/>
      <c r="AO3064" s="197"/>
      <c r="AP3064" s="197"/>
      <c r="AQ3064" s="197"/>
      <c r="AR3064" s="197"/>
      <c r="AS3064" s="197"/>
      <c r="AT3064" s="197"/>
      <c r="AU3064" s="197"/>
      <c r="AV3064" s="197"/>
      <c r="AW3064" s="197"/>
    </row>
    <row r="3065" spans="28:49" s="196" customFormat="1">
      <c r="AB3065" s="201"/>
      <c r="AC3065" s="201"/>
      <c r="AD3065" s="197"/>
      <c r="AE3065" s="197"/>
      <c r="AF3065" s="197"/>
      <c r="AG3065" s="197"/>
      <c r="AH3065" s="197"/>
      <c r="AI3065" s="197"/>
      <c r="AJ3065" s="197"/>
      <c r="AK3065" s="197"/>
      <c r="AL3065" s="197"/>
      <c r="AM3065" s="197"/>
      <c r="AN3065" s="197"/>
      <c r="AO3065" s="197"/>
      <c r="AP3065" s="197"/>
      <c r="AQ3065" s="197"/>
      <c r="AR3065" s="197"/>
      <c r="AS3065" s="197"/>
      <c r="AT3065" s="197"/>
      <c r="AU3065" s="197"/>
      <c r="AV3065" s="197"/>
      <c r="AW3065" s="197"/>
    </row>
    <row r="3066" spans="28:49" s="196" customFormat="1">
      <c r="AB3066" s="201"/>
      <c r="AC3066" s="201"/>
      <c r="AD3066" s="197"/>
      <c r="AE3066" s="197"/>
      <c r="AF3066" s="197"/>
      <c r="AG3066" s="197"/>
      <c r="AH3066" s="197"/>
      <c r="AI3066" s="197"/>
      <c r="AJ3066" s="197"/>
      <c r="AK3066" s="197"/>
      <c r="AL3066" s="197"/>
      <c r="AM3066" s="197"/>
      <c r="AN3066" s="197"/>
      <c r="AO3066" s="197"/>
      <c r="AP3066" s="197"/>
      <c r="AQ3066" s="197"/>
      <c r="AR3066" s="197"/>
      <c r="AS3066" s="197"/>
      <c r="AT3066" s="197"/>
      <c r="AU3066" s="197"/>
      <c r="AV3066" s="197"/>
      <c r="AW3066" s="197"/>
    </row>
    <row r="3067" spans="28:49" s="196" customFormat="1">
      <c r="AB3067" s="201"/>
      <c r="AC3067" s="201"/>
      <c r="AD3067" s="197"/>
      <c r="AE3067" s="197"/>
      <c r="AF3067" s="197"/>
      <c r="AG3067" s="197"/>
      <c r="AH3067" s="197"/>
      <c r="AI3067" s="197"/>
      <c r="AJ3067" s="197"/>
      <c r="AK3067" s="197"/>
      <c r="AL3067" s="197"/>
      <c r="AM3067" s="197"/>
      <c r="AN3067" s="197"/>
      <c r="AO3067" s="197"/>
      <c r="AP3067" s="197"/>
      <c r="AQ3067" s="197"/>
      <c r="AR3067" s="197"/>
      <c r="AS3067" s="197"/>
      <c r="AT3067" s="197"/>
      <c r="AU3067" s="197"/>
      <c r="AV3067" s="197"/>
      <c r="AW3067" s="197"/>
    </row>
    <row r="3068" spans="28:49" s="196" customFormat="1">
      <c r="AB3068" s="201"/>
      <c r="AC3068" s="201"/>
      <c r="AD3068" s="197"/>
      <c r="AE3068" s="197"/>
      <c r="AF3068" s="197"/>
      <c r="AG3068" s="197"/>
      <c r="AH3068" s="197"/>
      <c r="AI3068" s="197"/>
      <c r="AJ3068" s="197"/>
      <c r="AK3068" s="197"/>
      <c r="AL3068" s="197"/>
      <c r="AM3068" s="197"/>
      <c r="AN3068" s="197"/>
      <c r="AO3068" s="197"/>
      <c r="AP3068" s="197"/>
      <c r="AQ3068" s="197"/>
      <c r="AR3068" s="197"/>
      <c r="AS3068" s="197"/>
      <c r="AT3068" s="197"/>
      <c r="AU3068" s="197"/>
      <c r="AV3068" s="197"/>
      <c r="AW3068" s="197"/>
    </row>
    <row r="3069" spans="28:49" s="196" customFormat="1">
      <c r="AB3069" s="201"/>
      <c r="AC3069" s="201"/>
      <c r="AD3069" s="197"/>
      <c r="AE3069" s="197"/>
      <c r="AF3069" s="197"/>
      <c r="AG3069" s="197"/>
      <c r="AH3069" s="197"/>
      <c r="AI3069" s="197"/>
      <c r="AJ3069" s="197"/>
      <c r="AK3069" s="197"/>
      <c r="AL3069" s="197"/>
      <c r="AM3069" s="197"/>
      <c r="AN3069" s="197"/>
      <c r="AO3069" s="197"/>
      <c r="AP3069" s="197"/>
      <c r="AQ3069" s="197"/>
      <c r="AR3069" s="197"/>
      <c r="AS3069" s="197"/>
      <c r="AT3069" s="197"/>
      <c r="AU3069" s="197"/>
      <c r="AV3069" s="197"/>
      <c r="AW3069" s="197"/>
    </row>
    <row r="3070" spans="28:49" s="196" customFormat="1">
      <c r="AB3070" s="201"/>
      <c r="AC3070" s="201"/>
      <c r="AD3070" s="197"/>
      <c r="AE3070" s="197"/>
      <c r="AF3070" s="197"/>
      <c r="AG3070" s="197"/>
      <c r="AH3070" s="197"/>
      <c r="AI3070" s="197"/>
      <c r="AJ3070" s="197"/>
      <c r="AK3070" s="197"/>
      <c r="AL3070" s="197"/>
      <c r="AM3070" s="197"/>
      <c r="AN3070" s="197"/>
      <c r="AO3070" s="197"/>
      <c r="AP3070" s="197"/>
      <c r="AQ3070" s="197"/>
      <c r="AR3070" s="197"/>
      <c r="AS3070" s="197"/>
      <c r="AT3070" s="197"/>
      <c r="AU3070" s="197"/>
      <c r="AV3070" s="197"/>
      <c r="AW3070" s="197"/>
    </row>
    <row r="3071" spans="28:49" s="196" customFormat="1">
      <c r="AB3071" s="201"/>
      <c r="AC3071" s="201"/>
      <c r="AD3071" s="197"/>
      <c r="AE3071" s="197"/>
      <c r="AF3071" s="197"/>
      <c r="AG3071" s="197"/>
      <c r="AH3071" s="197"/>
      <c r="AI3071" s="197"/>
      <c r="AJ3071" s="197"/>
      <c r="AK3071" s="197"/>
      <c r="AL3071" s="197"/>
      <c r="AM3071" s="197"/>
      <c r="AN3071" s="197"/>
      <c r="AO3071" s="197"/>
      <c r="AP3071" s="197"/>
      <c r="AQ3071" s="197"/>
      <c r="AR3071" s="197"/>
      <c r="AS3071" s="197"/>
      <c r="AT3071" s="197"/>
      <c r="AU3071" s="197"/>
      <c r="AV3071" s="197"/>
      <c r="AW3071" s="197"/>
    </row>
    <row r="3072" spans="28:49" s="196" customFormat="1">
      <c r="AB3072" s="201"/>
      <c r="AC3072" s="201"/>
      <c r="AD3072" s="197"/>
      <c r="AE3072" s="197"/>
      <c r="AF3072" s="197"/>
      <c r="AG3072" s="197"/>
      <c r="AH3072" s="197"/>
      <c r="AI3072" s="197"/>
      <c r="AJ3072" s="197"/>
      <c r="AK3072" s="197"/>
      <c r="AL3072" s="197"/>
      <c r="AM3072" s="197"/>
      <c r="AN3072" s="197"/>
      <c r="AO3072" s="197"/>
      <c r="AP3072" s="197"/>
      <c r="AQ3072" s="197"/>
      <c r="AR3072" s="197"/>
      <c r="AS3072" s="197"/>
      <c r="AT3072" s="197"/>
      <c r="AU3072" s="197"/>
      <c r="AV3072" s="197"/>
      <c r="AW3072" s="197"/>
    </row>
    <row r="3073" spans="28:49" s="196" customFormat="1">
      <c r="AB3073" s="201"/>
      <c r="AC3073" s="201"/>
      <c r="AD3073" s="197"/>
      <c r="AE3073" s="197"/>
      <c r="AF3073" s="197"/>
      <c r="AG3073" s="197"/>
      <c r="AH3073" s="197"/>
      <c r="AI3073" s="197"/>
      <c r="AJ3073" s="197"/>
      <c r="AK3073" s="197"/>
      <c r="AL3073" s="197"/>
      <c r="AM3073" s="197"/>
      <c r="AN3073" s="197"/>
      <c r="AO3073" s="197"/>
      <c r="AP3073" s="197"/>
      <c r="AQ3073" s="197"/>
      <c r="AR3073" s="197"/>
      <c r="AS3073" s="197"/>
      <c r="AT3073" s="197"/>
      <c r="AU3073" s="197"/>
      <c r="AV3073" s="197"/>
      <c r="AW3073" s="197"/>
    </row>
    <row r="3074" spans="28:49" s="196" customFormat="1">
      <c r="AB3074" s="201"/>
      <c r="AC3074" s="201"/>
      <c r="AD3074" s="197"/>
      <c r="AE3074" s="197"/>
      <c r="AF3074" s="197"/>
      <c r="AG3074" s="197"/>
      <c r="AH3074" s="197"/>
      <c r="AI3074" s="197"/>
      <c r="AJ3074" s="197"/>
      <c r="AK3074" s="197"/>
      <c r="AL3074" s="197"/>
      <c r="AM3074" s="197"/>
      <c r="AN3074" s="197"/>
      <c r="AO3074" s="197"/>
      <c r="AP3074" s="197"/>
      <c r="AQ3074" s="197"/>
      <c r="AR3074" s="197"/>
      <c r="AS3074" s="197"/>
      <c r="AT3074" s="197"/>
      <c r="AU3074" s="197"/>
      <c r="AV3074" s="197"/>
      <c r="AW3074" s="197"/>
    </row>
    <row r="3075" spans="28:49" s="196" customFormat="1">
      <c r="AB3075" s="201"/>
      <c r="AC3075" s="201"/>
      <c r="AD3075" s="197"/>
      <c r="AE3075" s="197"/>
      <c r="AF3075" s="197"/>
      <c r="AG3075" s="197"/>
      <c r="AH3075" s="197"/>
      <c r="AI3075" s="197"/>
      <c r="AJ3075" s="197"/>
      <c r="AK3075" s="197"/>
      <c r="AL3075" s="197"/>
      <c r="AM3075" s="197"/>
      <c r="AN3075" s="197"/>
      <c r="AO3075" s="197"/>
      <c r="AP3075" s="197"/>
      <c r="AQ3075" s="197"/>
      <c r="AR3075" s="197"/>
      <c r="AS3075" s="197"/>
      <c r="AT3075" s="197"/>
      <c r="AU3075" s="197"/>
      <c r="AV3075" s="197"/>
      <c r="AW3075" s="197"/>
    </row>
    <row r="3076" spans="28:49" s="196" customFormat="1">
      <c r="AB3076" s="201"/>
      <c r="AC3076" s="201"/>
      <c r="AD3076" s="197"/>
      <c r="AE3076" s="197"/>
      <c r="AF3076" s="197"/>
      <c r="AG3076" s="197"/>
      <c r="AH3076" s="197"/>
      <c r="AI3076" s="197"/>
      <c r="AJ3076" s="197"/>
      <c r="AK3076" s="197"/>
      <c r="AL3076" s="197"/>
      <c r="AM3076" s="197"/>
      <c r="AN3076" s="197"/>
      <c r="AO3076" s="197"/>
      <c r="AP3076" s="197"/>
      <c r="AQ3076" s="197"/>
      <c r="AR3076" s="197"/>
      <c r="AS3076" s="197"/>
      <c r="AT3076" s="197"/>
      <c r="AU3076" s="197"/>
      <c r="AV3076" s="197"/>
      <c r="AW3076" s="197"/>
    </row>
    <row r="3077" spans="28:49" s="196" customFormat="1">
      <c r="AB3077" s="201"/>
      <c r="AC3077" s="201"/>
      <c r="AD3077" s="197"/>
      <c r="AE3077" s="197"/>
      <c r="AF3077" s="197"/>
      <c r="AG3077" s="197"/>
      <c r="AH3077" s="197"/>
      <c r="AI3077" s="197"/>
      <c r="AJ3077" s="197"/>
      <c r="AK3077" s="197"/>
      <c r="AL3077" s="197"/>
      <c r="AM3077" s="197"/>
      <c r="AN3077" s="197"/>
      <c r="AO3077" s="197"/>
      <c r="AP3077" s="197"/>
      <c r="AQ3077" s="197"/>
      <c r="AR3077" s="197"/>
      <c r="AS3077" s="197"/>
      <c r="AT3077" s="197"/>
      <c r="AU3077" s="197"/>
      <c r="AV3077" s="197"/>
      <c r="AW3077" s="197"/>
    </row>
    <row r="3078" spans="28:49" s="196" customFormat="1">
      <c r="AB3078" s="201"/>
      <c r="AC3078" s="201"/>
      <c r="AD3078" s="197"/>
      <c r="AE3078" s="197"/>
      <c r="AF3078" s="197"/>
      <c r="AG3078" s="197"/>
      <c r="AH3078" s="197"/>
      <c r="AI3078" s="197"/>
      <c r="AJ3078" s="197"/>
      <c r="AK3078" s="197"/>
      <c r="AL3078" s="197"/>
      <c r="AM3078" s="197"/>
      <c r="AN3078" s="197"/>
      <c r="AO3078" s="197"/>
      <c r="AP3078" s="197"/>
      <c r="AQ3078" s="197"/>
      <c r="AR3078" s="197"/>
      <c r="AS3078" s="197"/>
      <c r="AT3078" s="197"/>
      <c r="AU3078" s="197"/>
      <c r="AV3078" s="197"/>
      <c r="AW3078" s="197"/>
    </row>
    <row r="3079" spans="28:49" s="196" customFormat="1">
      <c r="AB3079" s="201"/>
      <c r="AC3079" s="201"/>
      <c r="AD3079" s="197"/>
      <c r="AE3079" s="197"/>
      <c r="AF3079" s="197"/>
      <c r="AG3079" s="197"/>
      <c r="AH3079" s="197"/>
      <c r="AI3079" s="197"/>
      <c r="AJ3079" s="197"/>
      <c r="AK3079" s="197"/>
      <c r="AL3079" s="197"/>
      <c r="AM3079" s="197"/>
      <c r="AN3079" s="197"/>
      <c r="AO3079" s="197"/>
      <c r="AP3079" s="197"/>
      <c r="AQ3079" s="197"/>
      <c r="AR3079" s="197"/>
      <c r="AS3079" s="197"/>
      <c r="AT3079" s="197"/>
      <c r="AU3079" s="197"/>
      <c r="AV3079" s="197"/>
      <c r="AW3079" s="197"/>
    </row>
    <row r="3080" spans="28:49" s="196" customFormat="1">
      <c r="AB3080" s="201"/>
      <c r="AC3080" s="201"/>
      <c r="AD3080" s="197"/>
      <c r="AE3080" s="197"/>
      <c r="AF3080" s="197"/>
      <c r="AG3080" s="197"/>
      <c r="AH3080" s="197"/>
      <c r="AI3080" s="197"/>
      <c r="AJ3080" s="197"/>
      <c r="AK3080" s="197"/>
      <c r="AL3080" s="197"/>
      <c r="AM3080" s="197"/>
      <c r="AN3080" s="197"/>
      <c r="AO3080" s="197"/>
      <c r="AP3080" s="197"/>
      <c r="AQ3080" s="197"/>
      <c r="AR3080" s="197"/>
      <c r="AS3080" s="197"/>
      <c r="AT3080" s="197"/>
      <c r="AU3080" s="197"/>
      <c r="AV3080" s="197"/>
      <c r="AW3080" s="197"/>
    </row>
    <row r="3081" spans="28:49" s="196" customFormat="1">
      <c r="AB3081" s="201"/>
      <c r="AC3081" s="201"/>
      <c r="AD3081" s="197"/>
      <c r="AE3081" s="197"/>
      <c r="AF3081" s="197"/>
      <c r="AG3081" s="197"/>
      <c r="AH3081" s="197"/>
      <c r="AI3081" s="197"/>
      <c r="AJ3081" s="197"/>
      <c r="AK3081" s="197"/>
      <c r="AL3081" s="197"/>
      <c r="AM3081" s="197"/>
      <c r="AN3081" s="197"/>
      <c r="AO3081" s="197"/>
      <c r="AP3081" s="197"/>
      <c r="AQ3081" s="197"/>
      <c r="AR3081" s="197"/>
      <c r="AS3081" s="197"/>
      <c r="AT3081" s="197"/>
      <c r="AU3081" s="197"/>
      <c r="AV3081" s="197"/>
      <c r="AW3081" s="197"/>
    </row>
    <row r="3082" spans="28:49" s="196" customFormat="1">
      <c r="AB3082" s="201"/>
      <c r="AC3082" s="201"/>
      <c r="AD3082" s="197"/>
      <c r="AE3082" s="197"/>
      <c r="AF3082" s="197"/>
      <c r="AG3082" s="197"/>
      <c r="AH3082" s="197"/>
      <c r="AI3082" s="197"/>
      <c r="AJ3082" s="197"/>
      <c r="AK3082" s="197"/>
      <c r="AL3082" s="197"/>
      <c r="AM3082" s="197"/>
      <c r="AN3082" s="197"/>
      <c r="AO3082" s="197"/>
      <c r="AP3082" s="197"/>
      <c r="AQ3082" s="197"/>
      <c r="AR3082" s="197"/>
      <c r="AS3082" s="197"/>
      <c r="AT3082" s="197"/>
      <c r="AU3082" s="197"/>
      <c r="AV3082" s="197"/>
      <c r="AW3082" s="197"/>
    </row>
    <row r="3083" spans="28:49" s="196" customFormat="1">
      <c r="AB3083" s="201"/>
      <c r="AC3083" s="201"/>
      <c r="AD3083" s="197"/>
      <c r="AE3083" s="197"/>
      <c r="AF3083" s="197"/>
      <c r="AG3083" s="197"/>
      <c r="AH3083" s="197"/>
      <c r="AI3083" s="197"/>
      <c r="AJ3083" s="197"/>
      <c r="AK3083" s="197"/>
      <c r="AL3083" s="197"/>
      <c r="AM3083" s="197"/>
      <c r="AN3083" s="197"/>
      <c r="AO3083" s="197"/>
      <c r="AP3083" s="197"/>
      <c r="AQ3083" s="197"/>
      <c r="AR3083" s="197"/>
      <c r="AS3083" s="197"/>
      <c r="AT3083" s="197"/>
      <c r="AU3083" s="197"/>
      <c r="AV3083" s="197"/>
      <c r="AW3083" s="197"/>
    </row>
    <row r="3084" spans="28:49" s="196" customFormat="1">
      <c r="AB3084" s="201"/>
      <c r="AC3084" s="201"/>
      <c r="AD3084" s="197"/>
      <c r="AE3084" s="197"/>
      <c r="AF3084" s="197"/>
      <c r="AG3084" s="197"/>
      <c r="AH3084" s="197"/>
      <c r="AI3084" s="197"/>
      <c r="AJ3084" s="197"/>
      <c r="AK3084" s="197"/>
      <c r="AL3084" s="197"/>
      <c r="AM3084" s="197"/>
      <c r="AN3084" s="197"/>
      <c r="AO3084" s="197"/>
      <c r="AP3084" s="197"/>
      <c r="AQ3084" s="197"/>
      <c r="AR3084" s="197"/>
      <c r="AS3084" s="197"/>
      <c r="AT3084" s="197"/>
      <c r="AU3084" s="197"/>
      <c r="AV3084" s="197"/>
      <c r="AW3084" s="197"/>
    </row>
    <row r="3085" spans="28:49" s="196" customFormat="1">
      <c r="AB3085" s="201"/>
      <c r="AC3085" s="201"/>
      <c r="AD3085" s="197"/>
      <c r="AE3085" s="197"/>
      <c r="AF3085" s="197"/>
      <c r="AG3085" s="197"/>
      <c r="AH3085" s="197"/>
      <c r="AI3085" s="197"/>
      <c r="AJ3085" s="197"/>
      <c r="AK3085" s="197"/>
      <c r="AL3085" s="197"/>
      <c r="AM3085" s="197"/>
      <c r="AN3085" s="197"/>
      <c r="AO3085" s="197"/>
      <c r="AP3085" s="197"/>
      <c r="AQ3085" s="197"/>
      <c r="AR3085" s="197"/>
      <c r="AS3085" s="197"/>
      <c r="AT3085" s="197"/>
      <c r="AU3085" s="197"/>
      <c r="AV3085" s="197"/>
      <c r="AW3085" s="197"/>
    </row>
    <row r="3086" spans="28:49" s="196" customFormat="1">
      <c r="AB3086" s="201"/>
      <c r="AC3086" s="201"/>
      <c r="AD3086" s="197"/>
      <c r="AE3086" s="197"/>
      <c r="AF3086" s="197"/>
      <c r="AG3086" s="197"/>
      <c r="AH3086" s="197"/>
      <c r="AI3086" s="197"/>
      <c r="AJ3086" s="197"/>
      <c r="AK3086" s="197"/>
      <c r="AL3086" s="197"/>
      <c r="AM3086" s="197"/>
      <c r="AN3086" s="197"/>
      <c r="AO3086" s="197"/>
      <c r="AP3086" s="197"/>
      <c r="AQ3086" s="197"/>
      <c r="AR3086" s="197"/>
      <c r="AS3086" s="197"/>
      <c r="AT3086" s="197"/>
      <c r="AU3086" s="197"/>
      <c r="AV3086" s="197"/>
      <c r="AW3086" s="197"/>
    </row>
    <row r="3087" spans="28:49" s="196" customFormat="1">
      <c r="AB3087" s="201"/>
      <c r="AC3087" s="201"/>
      <c r="AD3087" s="197"/>
      <c r="AE3087" s="197"/>
      <c r="AF3087" s="197"/>
      <c r="AG3087" s="197"/>
      <c r="AH3087" s="197"/>
      <c r="AI3087" s="197"/>
      <c r="AJ3087" s="197"/>
      <c r="AK3087" s="197"/>
      <c r="AL3087" s="197"/>
      <c r="AM3087" s="197"/>
      <c r="AN3087" s="197"/>
      <c r="AO3087" s="197"/>
      <c r="AP3087" s="197"/>
      <c r="AQ3087" s="197"/>
      <c r="AR3087" s="197"/>
      <c r="AS3087" s="197"/>
      <c r="AT3087" s="197"/>
      <c r="AU3087" s="197"/>
      <c r="AV3087" s="197"/>
      <c r="AW3087" s="197"/>
    </row>
    <row r="3088" spans="28:49" s="196" customFormat="1">
      <c r="AB3088" s="201"/>
      <c r="AC3088" s="201"/>
      <c r="AD3088" s="197"/>
      <c r="AE3088" s="197"/>
      <c r="AF3088" s="197"/>
      <c r="AG3088" s="197"/>
      <c r="AH3088" s="197"/>
      <c r="AI3088" s="197"/>
      <c r="AJ3088" s="197"/>
      <c r="AK3088" s="197"/>
      <c r="AL3088" s="197"/>
      <c r="AM3088" s="197"/>
      <c r="AN3088" s="197"/>
      <c r="AO3088" s="197"/>
      <c r="AP3088" s="197"/>
      <c r="AQ3088" s="197"/>
      <c r="AR3088" s="197"/>
      <c r="AS3088" s="197"/>
      <c r="AT3088" s="197"/>
      <c r="AU3088" s="197"/>
      <c r="AV3088" s="197"/>
      <c r="AW3088" s="197"/>
    </row>
    <row r="3089" spans="28:49" s="196" customFormat="1">
      <c r="AB3089" s="201"/>
      <c r="AC3089" s="201"/>
      <c r="AD3089" s="197"/>
      <c r="AE3089" s="197"/>
      <c r="AF3089" s="197"/>
      <c r="AG3089" s="197"/>
      <c r="AH3089" s="197"/>
      <c r="AI3089" s="197"/>
      <c r="AJ3089" s="197"/>
      <c r="AK3089" s="197"/>
      <c r="AL3089" s="197"/>
      <c r="AM3089" s="197"/>
      <c r="AN3089" s="197"/>
      <c r="AO3089" s="197"/>
      <c r="AP3089" s="197"/>
      <c r="AQ3089" s="197"/>
      <c r="AR3089" s="197"/>
      <c r="AS3089" s="197"/>
      <c r="AT3089" s="197"/>
      <c r="AU3089" s="197"/>
      <c r="AV3089" s="197"/>
      <c r="AW3089" s="197"/>
    </row>
    <row r="3090" spans="28:49" s="196" customFormat="1">
      <c r="AB3090" s="201"/>
      <c r="AC3090" s="201"/>
      <c r="AD3090" s="197"/>
      <c r="AE3090" s="197"/>
      <c r="AF3090" s="197"/>
      <c r="AG3090" s="197"/>
      <c r="AH3090" s="197"/>
      <c r="AI3090" s="197"/>
      <c r="AJ3090" s="197"/>
      <c r="AK3090" s="197"/>
      <c r="AL3090" s="197"/>
      <c r="AM3090" s="197"/>
      <c r="AN3090" s="197"/>
      <c r="AO3090" s="197"/>
      <c r="AP3090" s="197"/>
      <c r="AQ3090" s="197"/>
      <c r="AR3090" s="197"/>
      <c r="AS3090" s="197"/>
      <c r="AT3090" s="197"/>
      <c r="AU3090" s="197"/>
      <c r="AV3090" s="197"/>
      <c r="AW3090" s="197"/>
    </row>
    <row r="3091" spans="28:49" s="196" customFormat="1">
      <c r="AB3091" s="201"/>
      <c r="AC3091" s="201"/>
      <c r="AD3091" s="197"/>
      <c r="AE3091" s="197"/>
      <c r="AF3091" s="197"/>
      <c r="AG3091" s="197"/>
      <c r="AH3091" s="197"/>
      <c r="AI3091" s="197"/>
      <c r="AJ3091" s="197"/>
      <c r="AK3091" s="197"/>
      <c r="AL3091" s="197"/>
      <c r="AM3091" s="197"/>
      <c r="AN3091" s="197"/>
      <c r="AO3091" s="197"/>
      <c r="AP3091" s="197"/>
      <c r="AQ3091" s="197"/>
      <c r="AR3091" s="197"/>
      <c r="AS3091" s="197"/>
      <c r="AT3091" s="197"/>
      <c r="AU3091" s="197"/>
      <c r="AV3091" s="197"/>
      <c r="AW3091" s="197"/>
    </row>
    <row r="3092" spans="28:49" s="196" customFormat="1">
      <c r="AB3092" s="201"/>
      <c r="AC3092" s="201"/>
      <c r="AD3092" s="197"/>
      <c r="AE3092" s="197"/>
      <c r="AF3092" s="197"/>
      <c r="AG3092" s="197"/>
      <c r="AH3092" s="197"/>
      <c r="AI3092" s="197"/>
      <c r="AJ3092" s="197"/>
      <c r="AK3092" s="197"/>
      <c r="AL3092" s="197"/>
      <c r="AM3092" s="197"/>
      <c r="AN3092" s="197"/>
      <c r="AO3092" s="197"/>
      <c r="AP3092" s="197"/>
      <c r="AQ3092" s="197"/>
      <c r="AR3092" s="197"/>
      <c r="AS3092" s="197"/>
      <c r="AT3092" s="197"/>
      <c r="AU3092" s="197"/>
      <c r="AV3092" s="197"/>
      <c r="AW3092" s="197"/>
    </row>
    <row r="3093" spans="28:49" s="196" customFormat="1">
      <c r="AB3093" s="201"/>
      <c r="AC3093" s="201"/>
      <c r="AD3093" s="197"/>
      <c r="AE3093" s="197"/>
      <c r="AF3093" s="197"/>
      <c r="AG3093" s="197"/>
      <c r="AH3093" s="197"/>
      <c r="AI3093" s="197"/>
      <c r="AJ3093" s="197"/>
      <c r="AK3093" s="197"/>
      <c r="AL3093" s="197"/>
      <c r="AM3093" s="197"/>
      <c r="AN3093" s="197"/>
      <c r="AO3093" s="197"/>
      <c r="AP3093" s="197"/>
      <c r="AQ3093" s="197"/>
      <c r="AR3093" s="197"/>
      <c r="AS3093" s="197"/>
      <c r="AT3093" s="197"/>
      <c r="AU3093" s="197"/>
      <c r="AV3093" s="197"/>
      <c r="AW3093" s="197"/>
    </row>
    <row r="3094" spans="28:49" s="196" customFormat="1">
      <c r="AB3094" s="201"/>
      <c r="AC3094" s="201"/>
      <c r="AD3094" s="197"/>
      <c r="AE3094" s="197"/>
      <c r="AF3094" s="197"/>
      <c r="AG3094" s="197"/>
      <c r="AH3094" s="197"/>
      <c r="AI3094" s="197"/>
      <c r="AJ3094" s="197"/>
      <c r="AK3094" s="197"/>
      <c r="AL3094" s="197"/>
      <c r="AM3094" s="197"/>
      <c r="AN3094" s="197"/>
      <c r="AO3094" s="197"/>
      <c r="AP3094" s="197"/>
      <c r="AQ3094" s="197"/>
      <c r="AR3094" s="197"/>
      <c r="AS3094" s="197"/>
      <c r="AT3094" s="197"/>
      <c r="AU3094" s="197"/>
      <c r="AV3094" s="197"/>
      <c r="AW3094" s="197"/>
    </row>
    <row r="3095" spans="28:49" s="196" customFormat="1">
      <c r="AB3095" s="201"/>
      <c r="AC3095" s="201"/>
      <c r="AD3095" s="197"/>
      <c r="AE3095" s="197"/>
      <c r="AF3095" s="197"/>
      <c r="AG3095" s="197"/>
      <c r="AH3095" s="197"/>
      <c r="AI3095" s="197"/>
      <c r="AJ3095" s="197"/>
      <c r="AK3095" s="197"/>
      <c r="AL3095" s="197"/>
      <c r="AM3095" s="197"/>
      <c r="AN3095" s="197"/>
      <c r="AO3095" s="197"/>
      <c r="AP3095" s="197"/>
      <c r="AQ3095" s="197"/>
      <c r="AR3095" s="197"/>
      <c r="AS3095" s="197"/>
      <c r="AT3095" s="197"/>
      <c r="AU3095" s="197"/>
      <c r="AV3095" s="197"/>
      <c r="AW3095" s="197"/>
    </row>
    <row r="3096" spans="28:49" s="196" customFormat="1">
      <c r="AB3096" s="201"/>
      <c r="AC3096" s="201"/>
      <c r="AD3096" s="197"/>
      <c r="AE3096" s="197"/>
      <c r="AF3096" s="197"/>
      <c r="AG3096" s="197"/>
      <c r="AH3096" s="197"/>
      <c r="AI3096" s="197"/>
      <c r="AJ3096" s="197"/>
      <c r="AK3096" s="197"/>
      <c r="AL3096" s="197"/>
      <c r="AM3096" s="197"/>
      <c r="AN3096" s="197"/>
      <c r="AO3096" s="197"/>
      <c r="AP3096" s="197"/>
      <c r="AQ3096" s="197"/>
      <c r="AR3096" s="197"/>
      <c r="AS3096" s="197"/>
      <c r="AT3096" s="197"/>
      <c r="AU3096" s="197"/>
      <c r="AV3096" s="197"/>
      <c r="AW3096" s="197"/>
    </row>
    <row r="3097" spans="28:49" s="196" customFormat="1">
      <c r="AB3097" s="201"/>
      <c r="AC3097" s="201"/>
      <c r="AD3097" s="197"/>
      <c r="AE3097" s="197"/>
      <c r="AF3097" s="197"/>
      <c r="AG3097" s="197"/>
      <c r="AH3097" s="197"/>
      <c r="AI3097" s="197"/>
      <c r="AJ3097" s="197"/>
      <c r="AK3097" s="197"/>
      <c r="AL3097" s="197"/>
      <c r="AM3097" s="197"/>
      <c r="AN3097" s="197"/>
      <c r="AO3097" s="197"/>
      <c r="AP3097" s="197"/>
      <c r="AQ3097" s="197"/>
      <c r="AR3097" s="197"/>
      <c r="AS3097" s="197"/>
      <c r="AT3097" s="197"/>
      <c r="AU3097" s="197"/>
      <c r="AV3097" s="197"/>
      <c r="AW3097" s="197"/>
    </row>
    <row r="3098" spans="28:49" s="196" customFormat="1">
      <c r="AB3098" s="201"/>
      <c r="AC3098" s="201"/>
      <c r="AD3098" s="197"/>
      <c r="AE3098" s="197"/>
      <c r="AF3098" s="197"/>
      <c r="AG3098" s="197"/>
      <c r="AH3098" s="197"/>
      <c r="AI3098" s="197"/>
      <c r="AJ3098" s="197"/>
      <c r="AK3098" s="197"/>
      <c r="AL3098" s="197"/>
      <c r="AM3098" s="197"/>
      <c r="AN3098" s="197"/>
      <c r="AO3098" s="197"/>
      <c r="AP3098" s="197"/>
      <c r="AQ3098" s="197"/>
      <c r="AR3098" s="197"/>
      <c r="AS3098" s="197"/>
      <c r="AT3098" s="197"/>
      <c r="AU3098" s="197"/>
      <c r="AV3098" s="197"/>
      <c r="AW3098" s="197"/>
    </row>
    <row r="3099" spans="28:49" s="196" customFormat="1">
      <c r="AB3099" s="201"/>
      <c r="AC3099" s="201"/>
      <c r="AD3099" s="197"/>
      <c r="AE3099" s="197"/>
      <c r="AF3099" s="197"/>
      <c r="AG3099" s="197"/>
      <c r="AH3099" s="197"/>
      <c r="AI3099" s="197"/>
      <c r="AJ3099" s="197"/>
      <c r="AK3099" s="197"/>
      <c r="AL3099" s="197"/>
      <c r="AM3099" s="197"/>
      <c r="AN3099" s="197"/>
      <c r="AO3099" s="197"/>
      <c r="AP3099" s="197"/>
      <c r="AQ3099" s="197"/>
      <c r="AR3099" s="197"/>
      <c r="AS3099" s="197"/>
      <c r="AT3099" s="197"/>
      <c r="AU3099" s="197"/>
      <c r="AV3099" s="197"/>
      <c r="AW3099" s="197"/>
    </row>
    <row r="3100" spans="28:49" s="196" customFormat="1">
      <c r="AB3100" s="201"/>
      <c r="AC3100" s="201"/>
      <c r="AD3100" s="197"/>
      <c r="AE3100" s="197"/>
      <c r="AF3100" s="197"/>
      <c r="AG3100" s="197"/>
      <c r="AH3100" s="197"/>
      <c r="AI3100" s="197"/>
      <c r="AJ3100" s="197"/>
      <c r="AK3100" s="197"/>
      <c r="AL3100" s="197"/>
      <c r="AM3100" s="197"/>
      <c r="AN3100" s="197"/>
      <c r="AO3100" s="197"/>
      <c r="AP3100" s="197"/>
      <c r="AQ3100" s="197"/>
      <c r="AR3100" s="197"/>
      <c r="AS3100" s="197"/>
      <c r="AT3100" s="197"/>
      <c r="AU3100" s="197"/>
      <c r="AV3100" s="197"/>
      <c r="AW3100" s="197"/>
    </row>
    <row r="3101" spans="28:49" s="196" customFormat="1">
      <c r="AB3101" s="201"/>
      <c r="AC3101" s="201"/>
      <c r="AD3101" s="197"/>
      <c r="AE3101" s="197"/>
      <c r="AF3101" s="197"/>
      <c r="AG3101" s="197"/>
      <c r="AH3101" s="197"/>
      <c r="AI3101" s="197"/>
      <c r="AJ3101" s="197"/>
      <c r="AK3101" s="197"/>
      <c r="AL3101" s="197"/>
      <c r="AM3101" s="197"/>
      <c r="AN3101" s="197"/>
      <c r="AO3101" s="197"/>
      <c r="AP3101" s="197"/>
      <c r="AQ3101" s="197"/>
      <c r="AR3101" s="197"/>
      <c r="AS3101" s="197"/>
      <c r="AT3101" s="197"/>
      <c r="AU3101" s="197"/>
      <c r="AV3101" s="197"/>
      <c r="AW3101" s="197"/>
    </row>
    <row r="3102" spans="28:49" s="196" customFormat="1">
      <c r="AB3102" s="201"/>
      <c r="AC3102" s="201"/>
      <c r="AD3102" s="197"/>
      <c r="AE3102" s="197"/>
      <c r="AF3102" s="197"/>
      <c r="AG3102" s="197"/>
      <c r="AH3102" s="197"/>
      <c r="AI3102" s="197"/>
      <c r="AJ3102" s="197"/>
      <c r="AK3102" s="197"/>
      <c r="AL3102" s="197"/>
      <c r="AM3102" s="197"/>
      <c r="AN3102" s="197"/>
      <c r="AO3102" s="197"/>
      <c r="AP3102" s="197"/>
      <c r="AQ3102" s="197"/>
      <c r="AR3102" s="197"/>
      <c r="AS3102" s="197"/>
      <c r="AT3102" s="197"/>
      <c r="AU3102" s="197"/>
      <c r="AV3102" s="197"/>
      <c r="AW3102" s="197"/>
    </row>
    <row r="3103" spans="28:49" s="196" customFormat="1">
      <c r="AB3103" s="201"/>
      <c r="AC3103" s="201"/>
      <c r="AD3103" s="197"/>
      <c r="AE3103" s="197"/>
      <c r="AF3103" s="197"/>
      <c r="AG3103" s="197"/>
      <c r="AH3103" s="197"/>
      <c r="AI3103" s="197"/>
      <c r="AJ3103" s="197"/>
      <c r="AK3103" s="197"/>
      <c r="AL3103" s="197"/>
      <c r="AM3103" s="197"/>
      <c r="AN3103" s="197"/>
      <c r="AO3103" s="197"/>
      <c r="AP3103" s="197"/>
      <c r="AQ3103" s="197"/>
      <c r="AR3103" s="197"/>
      <c r="AS3103" s="197"/>
      <c r="AT3103" s="197"/>
      <c r="AU3103" s="197"/>
      <c r="AV3103" s="197"/>
      <c r="AW3103" s="197"/>
    </row>
    <row r="3104" spans="28:49" s="196" customFormat="1">
      <c r="AB3104" s="201"/>
      <c r="AC3104" s="201"/>
      <c r="AD3104" s="197"/>
      <c r="AE3104" s="197"/>
      <c r="AF3104" s="197"/>
      <c r="AG3104" s="197"/>
      <c r="AH3104" s="197"/>
      <c r="AI3104" s="197"/>
      <c r="AJ3104" s="197"/>
      <c r="AK3104" s="197"/>
      <c r="AL3104" s="197"/>
      <c r="AM3104" s="197"/>
      <c r="AN3104" s="197"/>
      <c r="AO3104" s="197"/>
      <c r="AP3104" s="197"/>
      <c r="AQ3104" s="197"/>
      <c r="AR3104" s="197"/>
      <c r="AS3104" s="197"/>
      <c r="AT3104" s="197"/>
      <c r="AU3104" s="197"/>
      <c r="AV3104" s="197"/>
      <c r="AW3104" s="197"/>
    </row>
    <row r="3105" spans="28:49" s="196" customFormat="1">
      <c r="AB3105" s="201"/>
      <c r="AC3105" s="201"/>
      <c r="AD3105" s="197"/>
      <c r="AE3105" s="197"/>
      <c r="AF3105" s="197"/>
      <c r="AG3105" s="197"/>
      <c r="AH3105" s="197"/>
      <c r="AI3105" s="197"/>
      <c r="AJ3105" s="197"/>
      <c r="AK3105" s="197"/>
      <c r="AL3105" s="197"/>
      <c r="AM3105" s="197"/>
      <c r="AN3105" s="197"/>
      <c r="AO3105" s="197"/>
      <c r="AP3105" s="197"/>
      <c r="AQ3105" s="197"/>
      <c r="AR3105" s="197"/>
      <c r="AS3105" s="197"/>
      <c r="AT3105" s="197"/>
      <c r="AU3105" s="197"/>
      <c r="AV3105" s="197"/>
      <c r="AW3105" s="197"/>
    </row>
    <row r="3106" spans="28:49" s="196" customFormat="1">
      <c r="AB3106" s="201"/>
      <c r="AC3106" s="201"/>
      <c r="AD3106" s="197"/>
      <c r="AE3106" s="197"/>
      <c r="AF3106" s="197"/>
      <c r="AG3106" s="197"/>
      <c r="AH3106" s="197"/>
      <c r="AI3106" s="197"/>
      <c r="AJ3106" s="197"/>
      <c r="AK3106" s="197"/>
      <c r="AL3106" s="197"/>
      <c r="AM3106" s="197"/>
      <c r="AN3106" s="197"/>
      <c r="AO3106" s="197"/>
      <c r="AP3106" s="197"/>
      <c r="AQ3106" s="197"/>
      <c r="AR3106" s="197"/>
      <c r="AS3106" s="197"/>
      <c r="AT3106" s="197"/>
      <c r="AU3106" s="197"/>
      <c r="AV3106" s="197"/>
      <c r="AW3106" s="197"/>
    </row>
    <row r="3107" spans="28:49" s="196" customFormat="1">
      <c r="AB3107" s="201"/>
      <c r="AC3107" s="201"/>
      <c r="AD3107" s="197"/>
      <c r="AE3107" s="197"/>
      <c r="AF3107" s="197"/>
      <c r="AG3107" s="197"/>
      <c r="AH3107" s="197"/>
      <c r="AI3107" s="197"/>
      <c r="AJ3107" s="197"/>
      <c r="AK3107" s="197"/>
      <c r="AL3107" s="197"/>
      <c r="AM3107" s="197"/>
      <c r="AN3107" s="197"/>
      <c r="AO3107" s="197"/>
      <c r="AP3107" s="197"/>
      <c r="AQ3107" s="197"/>
      <c r="AR3107" s="197"/>
      <c r="AS3107" s="197"/>
      <c r="AT3107" s="197"/>
      <c r="AU3107" s="197"/>
      <c r="AV3107" s="197"/>
      <c r="AW3107" s="197"/>
    </row>
    <row r="3108" spans="28:49" s="196" customFormat="1">
      <c r="AB3108" s="201"/>
      <c r="AC3108" s="201"/>
      <c r="AD3108" s="197"/>
      <c r="AE3108" s="197"/>
      <c r="AF3108" s="197"/>
      <c r="AG3108" s="197"/>
      <c r="AH3108" s="197"/>
      <c r="AI3108" s="197"/>
      <c r="AJ3108" s="197"/>
      <c r="AK3108" s="197"/>
      <c r="AL3108" s="197"/>
      <c r="AM3108" s="197"/>
      <c r="AN3108" s="197"/>
      <c r="AO3108" s="197"/>
      <c r="AP3108" s="197"/>
      <c r="AQ3108" s="197"/>
      <c r="AR3108" s="197"/>
      <c r="AS3108" s="197"/>
      <c r="AT3108" s="197"/>
      <c r="AU3108" s="197"/>
      <c r="AV3108" s="197"/>
      <c r="AW3108" s="197"/>
    </row>
    <row r="3109" spans="28:49" s="196" customFormat="1">
      <c r="AB3109" s="201"/>
      <c r="AC3109" s="201"/>
      <c r="AD3109" s="197"/>
      <c r="AE3109" s="197"/>
      <c r="AF3109" s="197"/>
      <c r="AG3109" s="197"/>
      <c r="AH3109" s="197"/>
      <c r="AI3109" s="197"/>
      <c r="AJ3109" s="197"/>
      <c r="AK3109" s="197"/>
      <c r="AL3109" s="197"/>
      <c r="AM3109" s="197"/>
      <c r="AN3109" s="197"/>
      <c r="AO3109" s="197"/>
      <c r="AP3109" s="197"/>
      <c r="AQ3109" s="197"/>
      <c r="AR3109" s="197"/>
      <c r="AS3109" s="197"/>
      <c r="AT3109" s="197"/>
      <c r="AU3109" s="197"/>
      <c r="AV3109" s="197"/>
      <c r="AW3109" s="197"/>
    </row>
    <row r="3110" spans="28:49" s="196" customFormat="1">
      <c r="AB3110" s="201"/>
      <c r="AC3110" s="201"/>
      <c r="AD3110" s="197"/>
      <c r="AE3110" s="197"/>
      <c r="AF3110" s="197"/>
      <c r="AG3110" s="197"/>
      <c r="AH3110" s="197"/>
      <c r="AI3110" s="197"/>
      <c r="AJ3110" s="197"/>
      <c r="AK3110" s="197"/>
      <c r="AL3110" s="197"/>
      <c r="AM3110" s="197"/>
      <c r="AN3110" s="197"/>
      <c r="AO3110" s="197"/>
      <c r="AP3110" s="197"/>
      <c r="AQ3110" s="197"/>
      <c r="AR3110" s="197"/>
      <c r="AS3110" s="197"/>
      <c r="AT3110" s="197"/>
      <c r="AU3110" s="197"/>
      <c r="AV3110" s="197"/>
      <c r="AW3110" s="197"/>
    </row>
    <row r="3111" spans="28:49" s="196" customFormat="1">
      <c r="AB3111" s="201"/>
      <c r="AC3111" s="201"/>
      <c r="AD3111" s="197"/>
      <c r="AE3111" s="197"/>
      <c r="AF3111" s="197"/>
      <c r="AG3111" s="197"/>
      <c r="AH3111" s="197"/>
      <c r="AI3111" s="197"/>
      <c r="AJ3111" s="197"/>
      <c r="AK3111" s="197"/>
      <c r="AL3111" s="197"/>
      <c r="AM3111" s="197"/>
      <c r="AN3111" s="197"/>
      <c r="AO3111" s="197"/>
      <c r="AP3111" s="197"/>
      <c r="AQ3111" s="197"/>
      <c r="AR3111" s="197"/>
      <c r="AS3111" s="197"/>
      <c r="AT3111" s="197"/>
      <c r="AU3111" s="197"/>
      <c r="AV3111" s="197"/>
      <c r="AW3111" s="197"/>
    </row>
    <row r="3112" spans="28:49" s="196" customFormat="1">
      <c r="AB3112" s="201"/>
      <c r="AC3112" s="201"/>
      <c r="AD3112" s="197"/>
      <c r="AE3112" s="197"/>
      <c r="AF3112" s="197"/>
      <c r="AG3112" s="197"/>
      <c r="AH3112" s="197"/>
      <c r="AI3112" s="197"/>
      <c r="AJ3112" s="197"/>
      <c r="AK3112" s="197"/>
      <c r="AL3112" s="197"/>
      <c r="AM3112" s="197"/>
      <c r="AN3112" s="197"/>
      <c r="AO3112" s="197"/>
      <c r="AP3112" s="197"/>
      <c r="AQ3112" s="197"/>
      <c r="AR3112" s="197"/>
      <c r="AS3112" s="197"/>
      <c r="AT3112" s="197"/>
      <c r="AU3112" s="197"/>
      <c r="AV3112" s="197"/>
      <c r="AW3112" s="197"/>
    </row>
    <row r="3113" spans="28:49" s="196" customFormat="1">
      <c r="AB3113" s="201"/>
      <c r="AC3113" s="201"/>
      <c r="AD3113" s="197"/>
      <c r="AE3113" s="197"/>
      <c r="AF3113" s="197"/>
      <c r="AG3113" s="197"/>
      <c r="AH3113" s="197"/>
      <c r="AI3113" s="197"/>
      <c r="AJ3113" s="197"/>
      <c r="AK3113" s="197"/>
      <c r="AL3113" s="197"/>
      <c r="AM3113" s="197"/>
      <c r="AN3113" s="197"/>
      <c r="AO3113" s="197"/>
      <c r="AP3113" s="197"/>
      <c r="AQ3113" s="197"/>
      <c r="AR3113" s="197"/>
      <c r="AS3113" s="197"/>
      <c r="AT3113" s="197"/>
      <c r="AU3113" s="197"/>
      <c r="AV3113" s="197"/>
      <c r="AW3113" s="197"/>
    </row>
    <row r="3114" spans="28:49" s="196" customFormat="1">
      <c r="AB3114" s="201"/>
      <c r="AC3114" s="201"/>
      <c r="AD3114" s="197"/>
      <c r="AE3114" s="197"/>
      <c r="AF3114" s="197"/>
      <c r="AG3114" s="197"/>
      <c r="AH3114" s="197"/>
      <c r="AI3114" s="197"/>
      <c r="AJ3114" s="197"/>
      <c r="AK3114" s="197"/>
      <c r="AL3114" s="197"/>
      <c r="AM3114" s="197"/>
      <c r="AN3114" s="197"/>
      <c r="AO3114" s="197"/>
      <c r="AP3114" s="197"/>
      <c r="AQ3114" s="197"/>
      <c r="AR3114" s="197"/>
      <c r="AS3114" s="197"/>
      <c r="AT3114" s="197"/>
      <c r="AU3114" s="197"/>
      <c r="AV3114" s="197"/>
      <c r="AW3114" s="197"/>
    </row>
    <row r="3115" spans="28:49" s="196" customFormat="1">
      <c r="AB3115" s="201"/>
      <c r="AC3115" s="201"/>
      <c r="AD3115" s="197"/>
      <c r="AE3115" s="197"/>
      <c r="AF3115" s="197"/>
      <c r="AG3115" s="197"/>
      <c r="AH3115" s="197"/>
      <c r="AI3115" s="197"/>
      <c r="AJ3115" s="197"/>
      <c r="AK3115" s="197"/>
      <c r="AL3115" s="197"/>
      <c r="AM3115" s="197"/>
      <c r="AN3115" s="197"/>
      <c r="AO3115" s="197"/>
      <c r="AP3115" s="197"/>
      <c r="AQ3115" s="197"/>
      <c r="AR3115" s="197"/>
      <c r="AS3115" s="197"/>
      <c r="AT3115" s="197"/>
      <c r="AU3115" s="197"/>
      <c r="AV3115" s="197"/>
      <c r="AW3115" s="197"/>
    </row>
    <row r="3116" spans="28:49" s="196" customFormat="1">
      <c r="AB3116" s="201"/>
      <c r="AC3116" s="201"/>
      <c r="AD3116" s="197"/>
      <c r="AE3116" s="197"/>
      <c r="AF3116" s="197"/>
      <c r="AG3116" s="197"/>
      <c r="AH3116" s="197"/>
      <c r="AI3116" s="197"/>
      <c r="AJ3116" s="197"/>
      <c r="AK3116" s="197"/>
      <c r="AL3116" s="197"/>
      <c r="AM3116" s="197"/>
      <c r="AN3116" s="197"/>
      <c r="AO3116" s="197"/>
      <c r="AP3116" s="197"/>
      <c r="AQ3116" s="197"/>
      <c r="AR3116" s="197"/>
      <c r="AS3116" s="197"/>
      <c r="AT3116" s="197"/>
      <c r="AU3116" s="197"/>
      <c r="AV3116" s="197"/>
      <c r="AW3116" s="197"/>
    </row>
    <row r="3117" spans="28:49" s="196" customFormat="1">
      <c r="AB3117" s="201"/>
      <c r="AC3117" s="201"/>
      <c r="AD3117" s="197"/>
      <c r="AE3117" s="197"/>
      <c r="AF3117" s="197"/>
      <c r="AG3117" s="197"/>
      <c r="AH3117" s="197"/>
      <c r="AI3117" s="197"/>
      <c r="AJ3117" s="197"/>
      <c r="AK3117" s="197"/>
      <c r="AL3117" s="197"/>
      <c r="AM3117" s="197"/>
      <c r="AN3117" s="197"/>
      <c r="AO3117" s="197"/>
      <c r="AP3117" s="197"/>
      <c r="AQ3117" s="197"/>
      <c r="AR3117" s="197"/>
      <c r="AS3117" s="197"/>
      <c r="AT3117" s="197"/>
      <c r="AU3117" s="197"/>
      <c r="AV3117" s="197"/>
      <c r="AW3117" s="197"/>
    </row>
    <row r="3118" spans="28:49" s="196" customFormat="1">
      <c r="AB3118" s="201"/>
      <c r="AC3118" s="201"/>
      <c r="AD3118" s="197"/>
      <c r="AE3118" s="197"/>
      <c r="AF3118" s="197"/>
      <c r="AG3118" s="197"/>
      <c r="AH3118" s="197"/>
      <c r="AI3118" s="197"/>
      <c r="AJ3118" s="197"/>
      <c r="AK3118" s="197"/>
      <c r="AL3118" s="197"/>
      <c r="AM3118" s="197"/>
      <c r="AN3118" s="197"/>
      <c r="AO3118" s="197"/>
      <c r="AP3118" s="197"/>
      <c r="AQ3118" s="197"/>
      <c r="AR3118" s="197"/>
      <c r="AS3118" s="197"/>
      <c r="AT3118" s="197"/>
      <c r="AU3118" s="197"/>
      <c r="AV3118" s="197"/>
      <c r="AW3118" s="197"/>
    </row>
    <row r="3119" spans="28:49" s="196" customFormat="1">
      <c r="AB3119" s="201"/>
      <c r="AC3119" s="201"/>
      <c r="AD3119" s="197"/>
      <c r="AE3119" s="197"/>
      <c r="AF3119" s="197"/>
      <c r="AG3119" s="197"/>
      <c r="AH3119" s="197"/>
      <c r="AI3119" s="197"/>
      <c r="AJ3119" s="197"/>
      <c r="AK3119" s="197"/>
      <c r="AL3119" s="197"/>
      <c r="AM3119" s="197"/>
      <c r="AN3119" s="197"/>
      <c r="AO3119" s="197"/>
      <c r="AP3119" s="197"/>
      <c r="AQ3119" s="197"/>
      <c r="AR3119" s="197"/>
      <c r="AS3119" s="197"/>
      <c r="AT3119" s="197"/>
      <c r="AU3119" s="197"/>
      <c r="AV3119" s="197"/>
      <c r="AW3119" s="197"/>
    </row>
    <row r="3120" spans="28:49" s="196" customFormat="1">
      <c r="AB3120" s="201"/>
      <c r="AC3120" s="201"/>
      <c r="AD3120" s="197"/>
      <c r="AE3120" s="197"/>
      <c r="AF3120" s="197"/>
      <c r="AG3120" s="197"/>
      <c r="AH3120" s="197"/>
      <c r="AI3120" s="197"/>
      <c r="AJ3120" s="197"/>
      <c r="AK3120" s="197"/>
      <c r="AL3120" s="197"/>
      <c r="AM3120" s="197"/>
      <c r="AN3120" s="197"/>
      <c r="AO3120" s="197"/>
      <c r="AP3120" s="197"/>
      <c r="AQ3120" s="197"/>
      <c r="AR3120" s="197"/>
      <c r="AS3120" s="197"/>
      <c r="AT3120" s="197"/>
      <c r="AU3120" s="197"/>
      <c r="AV3120" s="197"/>
      <c r="AW3120" s="197"/>
    </row>
    <row r="3121" spans="28:49" s="196" customFormat="1">
      <c r="AB3121" s="201"/>
      <c r="AC3121" s="201"/>
      <c r="AD3121" s="197"/>
      <c r="AE3121" s="197"/>
      <c r="AF3121" s="197"/>
      <c r="AG3121" s="197"/>
      <c r="AH3121" s="197"/>
      <c r="AI3121" s="197"/>
      <c r="AJ3121" s="197"/>
      <c r="AK3121" s="197"/>
      <c r="AL3121" s="197"/>
      <c r="AM3121" s="197"/>
      <c r="AN3121" s="197"/>
      <c r="AO3121" s="197"/>
      <c r="AP3121" s="197"/>
      <c r="AQ3121" s="197"/>
      <c r="AR3121" s="197"/>
      <c r="AS3121" s="197"/>
      <c r="AT3121" s="197"/>
      <c r="AU3121" s="197"/>
      <c r="AV3121" s="197"/>
      <c r="AW3121" s="197"/>
    </row>
    <row r="3122" spans="28:49" s="196" customFormat="1">
      <c r="AB3122" s="201"/>
      <c r="AC3122" s="201"/>
      <c r="AD3122" s="197"/>
      <c r="AE3122" s="197"/>
      <c r="AF3122" s="197"/>
      <c r="AG3122" s="197"/>
      <c r="AH3122" s="197"/>
      <c r="AI3122" s="197"/>
      <c r="AJ3122" s="197"/>
      <c r="AK3122" s="197"/>
      <c r="AL3122" s="197"/>
      <c r="AM3122" s="197"/>
      <c r="AN3122" s="197"/>
      <c r="AO3122" s="197"/>
      <c r="AP3122" s="197"/>
      <c r="AQ3122" s="197"/>
      <c r="AR3122" s="197"/>
      <c r="AS3122" s="197"/>
      <c r="AT3122" s="197"/>
      <c r="AU3122" s="197"/>
      <c r="AV3122" s="197"/>
      <c r="AW3122" s="197"/>
    </row>
    <row r="3123" spans="28:49" s="196" customFormat="1">
      <c r="AB3123" s="201"/>
      <c r="AC3123" s="201"/>
      <c r="AD3123" s="197"/>
      <c r="AE3123" s="197"/>
      <c r="AF3123" s="197"/>
      <c r="AG3123" s="197"/>
      <c r="AH3123" s="197"/>
      <c r="AI3123" s="197"/>
      <c r="AJ3123" s="197"/>
      <c r="AK3123" s="197"/>
      <c r="AL3123" s="197"/>
      <c r="AM3123" s="197"/>
      <c r="AN3123" s="197"/>
      <c r="AO3123" s="197"/>
      <c r="AP3123" s="197"/>
      <c r="AQ3123" s="197"/>
      <c r="AR3123" s="197"/>
      <c r="AS3123" s="197"/>
      <c r="AT3123" s="197"/>
      <c r="AU3123" s="197"/>
      <c r="AV3123" s="197"/>
      <c r="AW3123" s="197"/>
    </row>
    <row r="3124" spans="28:49" s="196" customFormat="1">
      <c r="AB3124" s="201"/>
      <c r="AC3124" s="201"/>
      <c r="AD3124" s="197"/>
      <c r="AE3124" s="197"/>
      <c r="AF3124" s="197"/>
      <c r="AG3124" s="197"/>
      <c r="AH3124" s="197"/>
      <c r="AI3124" s="197"/>
      <c r="AJ3124" s="197"/>
      <c r="AK3124" s="197"/>
      <c r="AL3124" s="197"/>
      <c r="AM3124" s="197"/>
      <c r="AN3124" s="197"/>
      <c r="AO3124" s="197"/>
      <c r="AP3124" s="197"/>
      <c r="AQ3124" s="197"/>
      <c r="AR3124" s="197"/>
      <c r="AS3124" s="197"/>
      <c r="AT3124" s="197"/>
      <c r="AU3124" s="197"/>
      <c r="AV3124" s="197"/>
      <c r="AW3124" s="197"/>
    </row>
    <row r="3125" spans="28:49" s="196" customFormat="1">
      <c r="AB3125" s="201"/>
      <c r="AC3125" s="201"/>
      <c r="AD3125" s="197"/>
      <c r="AE3125" s="197"/>
      <c r="AF3125" s="197"/>
      <c r="AG3125" s="197"/>
      <c r="AH3125" s="197"/>
      <c r="AI3125" s="197"/>
      <c r="AJ3125" s="197"/>
      <c r="AK3125" s="197"/>
      <c r="AL3125" s="197"/>
      <c r="AM3125" s="197"/>
      <c r="AN3125" s="197"/>
      <c r="AO3125" s="197"/>
      <c r="AP3125" s="197"/>
      <c r="AQ3125" s="197"/>
      <c r="AR3125" s="197"/>
      <c r="AS3125" s="197"/>
      <c r="AT3125" s="197"/>
      <c r="AU3125" s="197"/>
      <c r="AV3125" s="197"/>
      <c r="AW3125" s="197"/>
    </row>
    <row r="3126" spans="28:49" s="196" customFormat="1">
      <c r="AB3126" s="201"/>
      <c r="AC3126" s="201"/>
      <c r="AD3126" s="197"/>
      <c r="AE3126" s="197"/>
      <c r="AF3126" s="197"/>
      <c r="AG3126" s="197"/>
      <c r="AH3126" s="197"/>
      <c r="AI3126" s="197"/>
      <c r="AJ3126" s="197"/>
      <c r="AK3126" s="197"/>
      <c r="AL3126" s="197"/>
      <c r="AM3126" s="197"/>
      <c r="AN3126" s="197"/>
      <c r="AO3126" s="197"/>
      <c r="AP3126" s="197"/>
      <c r="AQ3126" s="197"/>
      <c r="AR3126" s="197"/>
      <c r="AS3126" s="197"/>
      <c r="AT3126" s="197"/>
      <c r="AU3126" s="197"/>
      <c r="AV3126" s="197"/>
      <c r="AW3126" s="197"/>
    </row>
    <row r="3127" spans="28:49" s="196" customFormat="1">
      <c r="AB3127" s="201"/>
      <c r="AC3127" s="201"/>
      <c r="AD3127" s="197"/>
      <c r="AE3127" s="197"/>
      <c r="AF3127" s="197"/>
      <c r="AG3127" s="197"/>
      <c r="AH3127" s="197"/>
      <c r="AI3127" s="197"/>
      <c r="AJ3127" s="197"/>
      <c r="AK3127" s="197"/>
      <c r="AL3127" s="197"/>
      <c r="AM3127" s="197"/>
      <c r="AN3127" s="197"/>
      <c r="AO3127" s="197"/>
      <c r="AP3127" s="197"/>
      <c r="AQ3127" s="197"/>
      <c r="AR3127" s="197"/>
      <c r="AS3127" s="197"/>
      <c r="AT3127" s="197"/>
      <c r="AU3127" s="197"/>
      <c r="AV3127" s="197"/>
      <c r="AW3127" s="197"/>
    </row>
    <row r="3128" spans="28:49" s="196" customFormat="1">
      <c r="AB3128" s="201"/>
      <c r="AC3128" s="201"/>
      <c r="AD3128" s="197"/>
      <c r="AE3128" s="197"/>
      <c r="AF3128" s="197"/>
      <c r="AG3128" s="197"/>
      <c r="AH3128" s="197"/>
      <c r="AI3128" s="197"/>
      <c r="AJ3128" s="197"/>
      <c r="AK3128" s="197"/>
      <c r="AL3128" s="197"/>
      <c r="AM3128" s="197"/>
      <c r="AN3128" s="197"/>
      <c r="AO3128" s="197"/>
      <c r="AP3128" s="197"/>
      <c r="AQ3128" s="197"/>
      <c r="AR3128" s="197"/>
      <c r="AS3128" s="197"/>
      <c r="AT3128" s="197"/>
      <c r="AU3128" s="197"/>
      <c r="AV3128" s="197"/>
      <c r="AW3128" s="197"/>
    </row>
    <row r="3129" spans="28:49" s="196" customFormat="1">
      <c r="AB3129" s="201"/>
      <c r="AC3129" s="201"/>
      <c r="AD3129" s="197"/>
      <c r="AE3129" s="197"/>
      <c r="AF3129" s="197"/>
      <c r="AG3129" s="197"/>
      <c r="AH3129" s="197"/>
      <c r="AI3129" s="197"/>
      <c r="AJ3129" s="197"/>
      <c r="AK3129" s="197"/>
      <c r="AL3129" s="197"/>
      <c r="AM3129" s="197"/>
      <c r="AN3129" s="197"/>
      <c r="AO3129" s="197"/>
      <c r="AP3129" s="197"/>
      <c r="AQ3129" s="197"/>
      <c r="AR3129" s="197"/>
      <c r="AS3129" s="197"/>
      <c r="AT3129" s="197"/>
      <c r="AU3129" s="197"/>
      <c r="AV3129" s="197"/>
      <c r="AW3129" s="197"/>
    </row>
    <row r="3130" spans="28:49" s="196" customFormat="1">
      <c r="AB3130" s="201"/>
      <c r="AC3130" s="201"/>
      <c r="AD3130" s="197"/>
      <c r="AE3130" s="197"/>
      <c r="AF3130" s="197"/>
      <c r="AG3130" s="197"/>
      <c r="AH3130" s="197"/>
      <c r="AI3130" s="197"/>
      <c r="AJ3130" s="197"/>
      <c r="AK3130" s="197"/>
      <c r="AL3130" s="197"/>
      <c r="AM3130" s="197"/>
      <c r="AN3130" s="197"/>
      <c r="AO3130" s="197"/>
      <c r="AP3130" s="197"/>
      <c r="AQ3130" s="197"/>
      <c r="AR3130" s="197"/>
      <c r="AS3130" s="197"/>
      <c r="AT3130" s="197"/>
      <c r="AU3130" s="197"/>
      <c r="AV3130" s="197"/>
      <c r="AW3130" s="197"/>
    </row>
    <row r="3131" spans="28:49" s="196" customFormat="1">
      <c r="AB3131" s="201"/>
      <c r="AC3131" s="201"/>
      <c r="AD3131" s="197"/>
      <c r="AE3131" s="197"/>
      <c r="AF3131" s="197"/>
      <c r="AG3131" s="197"/>
      <c r="AH3131" s="197"/>
      <c r="AI3131" s="197"/>
      <c r="AJ3131" s="197"/>
      <c r="AK3131" s="197"/>
      <c r="AL3131" s="197"/>
      <c r="AM3131" s="197"/>
      <c r="AN3131" s="197"/>
      <c r="AO3131" s="197"/>
      <c r="AP3131" s="197"/>
      <c r="AQ3131" s="197"/>
      <c r="AR3131" s="197"/>
      <c r="AS3131" s="197"/>
      <c r="AT3131" s="197"/>
      <c r="AU3131" s="197"/>
      <c r="AV3131" s="197"/>
      <c r="AW3131" s="197"/>
    </row>
    <row r="3132" spans="28:49" s="196" customFormat="1">
      <c r="AB3132" s="201"/>
      <c r="AC3132" s="201"/>
      <c r="AD3132" s="197"/>
      <c r="AE3132" s="197"/>
      <c r="AF3132" s="197"/>
      <c r="AG3132" s="197"/>
      <c r="AH3132" s="197"/>
      <c r="AI3132" s="197"/>
      <c r="AJ3132" s="197"/>
      <c r="AK3132" s="197"/>
      <c r="AL3132" s="197"/>
      <c r="AM3132" s="197"/>
      <c r="AN3132" s="197"/>
      <c r="AO3132" s="197"/>
      <c r="AP3132" s="197"/>
      <c r="AQ3132" s="197"/>
      <c r="AR3132" s="197"/>
      <c r="AS3132" s="197"/>
      <c r="AT3132" s="197"/>
      <c r="AU3132" s="197"/>
      <c r="AV3132" s="197"/>
      <c r="AW3132" s="197"/>
    </row>
    <row r="3133" spans="28:49" s="196" customFormat="1">
      <c r="AB3133" s="201"/>
      <c r="AC3133" s="201"/>
      <c r="AD3133" s="197"/>
      <c r="AE3133" s="197"/>
      <c r="AF3133" s="197"/>
      <c r="AG3133" s="197"/>
      <c r="AH3133" s="197"/>
      <c r="AI3133" s="197"/>
      <c r="AJ3133" s="197"/>
      <c r="AK3133" s="197"/>
      <c r="AL3133" s="197"/>
      <c r="AM3133" s="197"/>
      <c r="AN3133" s="197"/>
      <c r="AO3133" s="197"/>
      <c r="AP3133" s="197"/>
      <c r="AQ3133" s="197"/>
      <c r="AR3133" s="197"/>
      <c r="AS3133" s="197"/>
      <c r="AT3133" s="197"/>
      <c r="AU3133" s="197"/>
      <c r="AV3133" s="197"/>
      <c r="AW3133" s="197"/>
    </row>
    <row r="3134" spans="28:49" s="196" customFormat="1">
      <c r="AB3134" s="201"/>
      <c r="AC3134" s="201"/>
      <c r="AD3134" s="197"/>
      <c r="AE3134" s="197"/>
      <c r="AF3134" s="197"/>
      <c r="AG3134" s="197"/>
      <c r="AH3134" s="197"/>
      <c r="AI3134" s="197"/>
      <c r="AJ3134" s="197"/>
      <c r="AK3134" s="197"/>
      <c r="AL3134" s="197"/>
      <c r="AM3134" s="197"/>
      <c r="AN3134" s="197"/>
      <c r="AO3134" s="197"/>
      <c r="AP3134" s="197"/>
      <c r="AQ3134" s="197"/>
      <c r="AR3134" s="197"/>
      <c r="AS3134" s="197"/>
      <c r="AT3134" s="197"/>
      <c r="AU3134" s="197"/>
      <c r="AV3134" s="197"/>
      <c r="AW3134" s="197"/>
    </row>
    <row r="3135" spans="28:49" s="196" customFormat="1">
      <c r="AB3135" s="201"/>
      <c r="AC3135" s="201"/>
      <c r="AD3135" s="197"/>
      <c r="AE3135" s="197"/>
      <c r="AF3135" s="197"/>
      <c r="AG3135" s="197"/>
      <c r="AH3135" s="197"/>
      <c r="AI3135" s="197"/>
      <c r="AJ3135" s="197"/>
      <c r="AK3135" s="197"/>
      <c r="AL3135" s="197"/>
      <c r="AM3135" s="197"/>
      <c r="AN3135" s="197"/>
      <c r="AO3135" s="197"/>
      <c r="AP3135" s="197"/>
      <c r="AQ3135" s="197"/>
      <c r="AR3135" s="197"/>
      <c r="AS3135" s="197"/>
      <c r="AT3135" s="197"/>
      <c r="AU3135" s="197"/>
      <c r="AV3135" s="197"/>
      <c r="AW3135" s="197"/>
    </row>
    <row r="3136" spans="28:49" s="196" customFormat="1">
      <c r="AB3136" s="201"/>
      <c r="AC3136" s="201"/>
      <c r="AD3136" s="197"/>
      <c r="AE3136" s="197"/>
      <c r="AF3136" s="197"/>
      <c r="AG3136" s="197"/>
      <c r="AH3136" s="197"/>
      <c r="AI3136" s="197"/>
      <c r="AJ3136" s="197"/>
      <c r="AK3136" s="197"/>
      <c r="AL3136" s="197"/>
      <c r="AM3136" s="197"/>
      <c r="AN3136" s="197"/>
      <c r="AO3136" s="197"/>
      <c r="AP3136" s="197"/>
      <c r="AQ3136" s="197"/>
      <c r="AR3136" s="197"/>
      <c r="AS3136" s="197"/>
      <c r="AT3136" s="197"/>
      <c r="AU3136" s="197"/>
      <c r="AV3136" s="197"/>
      <c r="AW3136" s="197"/>
    </row>
    <row r="3137" spans="28:49" s="196" customFormat="1">
      <c r="AB3137" s="201"/>
      <c r="AC3137" s="201"/>
      <c r="AD3137" s="197"/>
      <c r="AE3137" s="197"/>
      <c r="AF3137" s="197"/>
      <c r="AG3137" s="197"/>
      <c r="AH3137" s="197"/>
      <c r="AI3137" s="197"/>
      <c r="AJ3137" s="197"/>
      <c r="AK3137" s="197"/>
      <c r="AL3137" s="197"/>
      <c r="AM3137" s="197"/>
      <c r="AN3137" s="197"/>
      <c r="AO3137" s="197"/>
      <c r="AP3137" s="197"/>
      <c r="AQ3137" s="197"/>
      <c r="AR3137" s="197"/>
      <c r="AS3137" s="197"/>
      <c r="AT3137" s="197"/>
      <c r="AU3137" s="197"/>
      <c r="AV3137" s="197"/>
      <c r="AW3137" s="197"/>
    </row>
    <row r="3138" spans="28:49" s="196" customFormat="1">
      <c r="AB3138" s="201"/>
      <c r="AC3138" s="201"/>
      <c r="AD3138" s="197"/>
      <c r="AE3138" s="197"/>
      <c r="AF3138" s="197"/>
      <c r="AG3138" s="197"/>
      <c r="AH3138" s="197"/>
      <c r="AI3138" s="197"/>
      <c r="AJ3138" s="197"/>
      <c r="AK3138" s="197"/>
      <c r="AL3138" s="197"/>
      <c r="AM3138" s="197"/>
      <c r="AN3138" s="197"/>
      <c r="AO3138" s="197"/>
      <c r="AP3138" s="197"/>
      <c r="AQ3138" s="197"/>
      <c r="AR3138" s="197"/>
      <c r="AS3138" s="197"/>
      <c r="AT3138" s="197"/>
      <c r="AU3138" s="197"/>
      <c r="AV3138" s="197"/>
      <c r="AW3138" s="197"/>
    </row>
    <row r="3139" spans="28:49" s="196" customFormat="1">
      <c r="AB3139" s="201"/>
      <c r="AC3139" s="201"/>
      <c r="AD3139" s="197"/>
      <c r="AE3139" s="197"/>
      <c r="AF3139" s="197"/>
      <c r="AG3139" s="197"/>
      <c r="AH3139" s="197"/>
      <c r="AI3139" s="197"/>
      <c r="AJ3139" s="197"/>
      <c r="AK3139" s="197"/>
      <c r="AL3139" s="197"/>
      <c r="AM3139" s="197"/>
      <c r="AN3139" s="197"/>
      <c r="AO3139" s="197"/>
      <c r="AP3139" s="197"/>
      <c r="AQ3139" s="197"/>
      <c r="AR3139" s="197"/>
      <c r="AS3139" s="197"/>
      <c r="AT3139" s="197"/>
      <c r="AU3139" s="197"/>
      <c r="AV3139" s="197"/>
      <c r="AW3139" s="197"/>
    </row>
    <row r="3140" spans="28:49" s="196" customFormat="1">
      <c r="AB3140" s="201"/>
      <c r="AC3140" s="201"/>
      <c r="AD3140" s="197"/>
      <c r="AE3140" s="197"/>
      <c r="AF3140" s="197"/>
      <c r="AG3140" s="197"/>
      <c r="AH3140" s="197"/>
      <c r="AI3140" s="197"/>
      <c r="AJ3140" s="197"/>
      <c r="AK3140" s="197"/>
      <c r="AL3140" s="197"/>
      <c r="AM3140" s="197"/>
      <c r="AN3140" s="197"/>
      <c r="AO3140" s="197"/>
      <c r="AP3140" s="197"/>
      <c r="AQ3140" s="197"/>
      <c r="AR3140" s="197"/>
      <c r="AS3140" s="197"/>
      <c r="AT3140" s="197"/>
      <c r="AU3140" s="197"/>
      <c r="AV3140" s="197"/>
      <c r="AW3140" s="197"/>
    </row>
    <row r="3141" spans="28:49" s="196" customFormat="1">
      <c r="AB3141" s="201"/>
      <c r="AC3141" s="201"/>
      <c r="AD3141" s="197"/>
      <c r="AE3141" s="197"/>
      <c r="AF3141" s="197"/>
      <c r="AG3141" s="197"/>
      <c r="AH3141" s="197"/>
      <c r="AI3141" s="197"/>
      <c r="AJ3141" s="197"/>
      <c r="AK3141" s="197"/>
      <c r="AL3141" s="197"/>
      <c r="AM3141" s="197"/>
      <c r="AN3141" s="197"/>
      <c r="AO3141" s="197"/>
      <c r="AP3141" s="197"/>
      <c r="AQ3141" s="197"/>
      <c r="AR3141" s="197"/>
      <c r="AS3141" s="197"/>
      <c r="AT3141" s="197"/>
      <c r="AU3141" s="197"/>
      <c r="AV3141" s="197"/>
      <c r="AW3141" s="197"/>
    </row>
    <row r="3142" spans="28:49" s="196" customFormat="1">
      <c r="AB3142" s="201"/>
      <c r="AC3142" s="201"/>
      <c r="AD3142" s="197"/>
      <c r="AE3142" s="197"/>
      <c r="AF3142" s="197"/>
      <c r="AG3142" s="197"/>
      <c r="AH3142" s="197"/>
      <c r="AI3142" s="197"/>
      <c r="AJ3142" s="197"/>
      <c r="AK3142" s="197"/>
      <c r="AL3142" s="197"/>
      <c r="AM3142" s="197"/>
      <c r="AN3142" s="197"/>
      <c r="AO3142" s="197"/>
      <c r="AP3142" s="197"/>
      <c r="AQ3142" s="197"/>
      <c r="AR3142" s="197"/>
      <c r="AS3142" s="197"/>
      <c r="AT3142" s="197"/>
      <c r="AU3142" s="197"/>
      <c r="AV3142" s="197"/>
      <c r="AW3142" s="197"/>
    </row>
    <row r="3143" spans="28:49" s="196" customFormat="1">
      <c r="AB3143" s="201"/>
      <c r="AC3143" s="201"/>
      <c r="AD3143" s="197"/>
      <c r="AE3143" s="197"/>
      <c r="AF3143" s="197"/>
      <c r="AG3143" s="197"/>
      <c r="AH3143" s="197"/>
      <c r="AI3143" s="197"/>
      <c r="AJ3143" s="197"/>
      <c r="AK3143" s="197"/>
      <c r="AL3143" s="197"/>
      <c r="AM3143" s="197"/>
      <c r="AN3143" s="197"/>
      <c r="AO3143" s="197"/>
      <c r="AP3143" s="197"/>
      <c r="AQ3143" s="197"/>
      <c r="AR3143" s="197"/>
      <c r="AS3143" s="197"/>
      <c r="AT3143" s="197"/>
      <c r="AU3143" s="197"/>
      <c r="AV3143" s="197"/>
      <c r="AW3143" s="197"/>
    </row>
    <row r="3144" spans="28:49" s="196" customFormat="1">
      <c r="AB3144" s="201"/>
      <c r="AC3144" s="201"/>
      <c r="AD3144" s="197"/>
      <c r="AE3144" s="197"/>
      <c r="AF3144" s="197"/>
      <c r="AG3144" s="197"/>
      <c r="AH3144" s="197"/>
      <c r="AI3144" s="197"/>
      <c r="AJ3144" s="197"/>
      <c r="AK3144" s="197"/>
      <c r="AL3144" s="197"/>
      <c r="AM3144" s="197"/>
      <c r="AN3144" s="197"/>
      <c r="AO3144" s="197"/>
      <c r="AP3144" s="197"/>
      <c r="AQ3144" s="197"/>
      <c r="AR3144" s="197"/>
      <c r="AS3144" s="197"/>
      <c r="AT3144" s="197"/>
      <c r="AU3144" s="197"/>
      <c r="AV3144" s="197"/>
      <c r="AW3144" s="197"/>
    </row>
    <row r="3145" spans="28:49" s="196" customFormat="1">
      <c r="AB3145" s="201"/>
      <c r="AC3145" s="201"/>
      <c r="AD3145" s="197"/>
      <c r="AE3145" s="197"/>
      <c r="AF3145" s="197"/>
      <c r="AG3145" s="197"/>
      <c r="AH3145" s="197"/>
      <c r="AI3145" s="197"/>
      <c r="AJ3145" s="197"/>
      <c r="AK3145" s="197"/>
      <c r="AL3145" s="197"/>
      <c r="AM3145" s="197"/>
      <c r="AN3145" s="197"/>
      <c r="AO3145" s="197"/>
      <c r="AP3145" s="197"/>
      <c r="AQ3145" s="197"/>
      <c r="AR3145" s="197"/>
      <c r="AS3145" s="197"/>
      <c r="AT3145" s="197"/>
      <c r="AU3145" s="197"/>
      <c r="AV3145" s="197"/>
      <c r="AW3145" s="197"/>
    </row>
    <row r="3146" spans="28:49" s="196" customFormat="1">
      <c r="AB3146" s="201"/>
      <c r="AC3146" s="201"/>
      <c r="AD3146" s="197"/>
      <c r="AE3146" s="197"/>
      <c r="AF3146" s="197"/>
      <c r="AG3146" s="197"/>
      <c r="AH3146" s="197"/>
      <c r="AI3146" s="197"/>
      <c r="AJ3146" s="197"/>
      <c r="AK3146" s="197"/>
      <c r="AL3146" s="197"/>
      <c r="AM3146" s="197"/>
      <c r="AN3146" s="197"/>
      <c r="AO3146" s="197"/>
      <c r="AP3146" s="197"/>
      <c r="AQ3146" s="197"/>
      <c r="AR3146" s="197"/>
      <c r="AS3146" s="197"/>
      <c r="AT3146" s="197"/>
      <c r="AU3146" s="197"/>
      <c r="AV3146" s="197"/>
      <c r="AW3146" s="197"/>
    </row>
    <row r="3147" spans="28:49" s="196" customFormat="1">
      <c r="AB3147" s="201"/>
      <c r="AC3147" s="201"/>
      <c r="AD3147" s="197"/>
      <c r="AE3147" s="197"/>
      <c r="AF3147" s="197"/>
      <c r="AG3147" s="197"/>
      <c r="AH3147" s="197"/>
      <c r="AI3147" s="197"/>
      <c r="AJ3147" s="197"/>
      <c r="AK3147" s="197"/>
      <c r="AL3147" s="197"/>
      <c r="AM3147" s="197"/>
      <c r="AN3147" s="197"/>
      <c r="AO3147" s="197"/>
      <c r="AP3147" s="197"/>
      <c r="AQ3147" s="197"/>
      <c r="AR3147" s="197"/>
      <c r="AS3147" s="197"/>
      <c r="AT3147" s="197"/>
      <c r="AU3147" s="197"/>
      <c r="AV3147" s="197"/>
      <c r="AW3147" s="197"/>
    </row>
    <row r="3148" spans="28:49" s="196" customFormat="1">
      <c r="AB3148" s="201"/>
      <c r="AC3148" s="201"/>
      <c r="AD3148" s="197"/>
      <c r="AE3148" s="197"/>
      <c r="AF3148" s="197"/>
      <c r="AG3148" s="197"/>
      <c r="AH3148" s="197"/>
      <c r="AI3148" s="197"/>
      <c r="AJ3148" s="197"/>
      <c r="AK3148" s="197"/>
      <c r="AL3148" s="197"/>
      <c r="AM3148" s="197"/>
      <c r="AN3148" s="197"/>
      <c r="AO3148" s="197"/>
      <c r="AP3148" s="197"/>
      <c r="AQ3148" s="197"/>
      <c r="AR3148" s="197"/>
      <c r="AS3148" s="197"/>
      <c r="AT3148" s="197"/>
      <c r="AU3148" s="197"/>
      <c r="AV3148" s="197"/>
      <c r="AW3148" s="197"/>
    </row>
    <row r="3149" spans="28:49" s="196" customFormat="1">
      <c r="AB3149" s="201"/>
      <c r="AC3149" s="201"/>
      <c r="AD3149" s="197"/>
      <c r="AE3149" s="197"/>
      <c r="AF3149" s="197"/>
      <c r="AG3149" s="197"/>
      <c r="AH3149" s="197"/>
      <c r="AI3149" s="197"/>
      <c r="AJ3149" s="197"/>
      <c r="AK3149" s="197"/>
      <c r="AL3149" s="197"/>
      <c r="AM3149" s="197"/>
      <c r="AN3149" s="197"/>
      <c r="AO3149" s="197"/>
      <c r="AP3149" s="197"/>
      <c r="AQ3149" s="197"/>
      <c r="AR3149" s="197"/>
      <c r="AS3149" s="197"/>
      <c r="AT3149" s="197"/>
      <c r="AU3149" s="197"/>
      <c r="AV3149" s="197"/>
      <c r="AW3149" s="197"/>
    </row>
    <row r="3150" spans="28:49" s="196" customFormat="1">
      <c r="AB3150" s="201"/>
      <c r="AC3150" s="201"/>
      <c r="AD3150" s="197"/>
      <c r="AE3150" s="197"/>
      <c r="AF3150" s="197"/>
      <c r="AG3150" s="197"/>
      <c r="AH3150" s="197"/>
      <c r="AI3150" s="197"/>
      <c r="AJ3150" s="197"/>
      <c r="AK3150" s="197"/>
      <c r="AL3150" s="197"/>
      <c r="AM3150" s="197"/>
      <c r="AN3150" s="197"/>
      <c r="AO3150" s="197"/>
      <c r="AP3150" s="197"/>
      <c r="AQ3150" s="197"/>
      <c r="AR3150" s="197"/>
      <c r="AS3150" s="197"/>
      <c r="AT3150" s="197"/>
      <c r="AU3150" s="197"/>
      <c r="AV3150" s="197"/>
      <c r="AW3150" s="197"/>
    </row>
    <row r="3151" spans="28:49" s="196" customFormat="1">
      <c r="AB3151" s="201"/>
      <c r="AC3151" s="201"/>
      <c r="AD3151" s="197"/>
      <c r="AE3151" s="197"/>
      <c r="AF3151" s="197"/>
      <c r="AG3151" s="197"/>
      <c r="AH3151" s="197"/>
      <c r="AI3151" s="197"/>
      <c r="AJ3151" s="197"/>
      <c r="AK3151" s="197"/>
      <c r="AL3151" s="197"/>
      <c r="AM3151" s="197"/>
      <c r="AN3151" s="197"/>
      <c r="AO3151" s="197"/>
      <c r="AP3151" s="197"/>
      <c r="AQ3151" s="197"/>
      <c r="AR3151" s="197"/>
      <c r="AS3151" s="197"/>
      <c r="AT3151" s="197"/>
      <c r="AU3151" s="197"/>
      <c r="AV3151" s="197"/>
      <c r="AW3151" s="197"/>
    </row>
    <row r="3152" spans="28:49" s="196" customFormat="1">
      <c r="AB3152" s="201"/>
      <c r="AC3152" s="201"/>
      <c r="AD3152" s="197"/>
      <c r="AE3152" s="197"/>
      <c r="AF3152" s="197"/>
      <c r="AG3152" s="197"/>
      <c r="AH3152" s="197"/>
      <c r="AI3152" s="197"/>
      <c r="AJ3152" s="197"/>
      <c r="AK3152" s="197"/>
      <c r="AL3152" s="197"/>
      <c r="AM3152" s="197"/>
      <c r="AN3152" s="197"/>
      <c r="AO3152" s="197"/>
      <c r="AP3152" s="197"/>
      <c r="AQ3152" s="197"/>
      <c r="AR3152" s="197"/>
      <c r="AS3152" s="197"/>
      <c r="AT3152" s="197"/>
      <c r="AU3152" s="197"/>
      <c r="AV3152" s="197"/>
      <c r="AW3152" s="197"/>
    </row>
    <row r="3153" spans="28:49" s="196" customFormat="1">
      <c r="AB3153" s="201"/>
      <c r="AC3153" s="201"/>
      <c r="AD3153" s="197"/>
      <c r="AE3153" s="197"/>
      <c r="AF3153" s="197"/>
      <c r="AG3153" s="197"/>
      <c r="AH3153" s="197"/>
      <c r="AI3153" s="197"/>
      <c r="AJ3153" s="197"/>
      <c r="AK3153" s="197"/>
      <c r="AL3153" s="197"/>
      <c r="AM3153" s="197"/>
      <c r="AN3153" s="197"/>
      <c r="AO3153" s="197"/>
      <c r="AP3153" s="197"/>
      <c r="AQ3153" s="197"/>
      <c r="AR3153" s="197"/>
      <c r="AS3153" s="197"/>
      <c r="AT3153" s="197"/>
      <c r="AU3153" s="197"/>
      <c r="AV3153" s="197"/>
      <c r="AW3153" s="197"/>
    </row>
    <row r="3154" spans="28:49" s="196" customFormat="1">
      <c r="AB3154" s="201"/>
      <c r="AC3154" s="201"/>
      <c r="AD3154" s="197"/>
      <c r="AE3154" s="197"/>
      <c r="AF3154" s="197"/>
      <c r="AG3154" s="197"/>
      <c r="AH3154" s="197"/>
      <c r="AI3154" s="197"/>
      <c r="AJ3154" s="197"/>
      <c r="AK3154" s="197"/>
      <c r="AL3154" s="197"/>
      <c r="AM3154" s="197"/>
      <c r="AN3154" s="197"/>
      <c r="AO3154" s="197"/>
      <c r="AP3154" s="197"/>
      <c r="AQ3154" s="197"/>
      <c r="AR3154" s="197"/>
      <c r="AS3154" s="197"/>
      <c r="AT3154" s="197"/>
      <c r="AU3154" s="197"/>
      <c r="AV3154" s="197"/>
      <c r="AW3154" s="197"/>
    </row>
    <row r="3155" spans="28:49" s="196" customFormat="1">
      <c r="AB3155" s="201"/>
      <c r="AC3155" s="201"/>
      <c r="AD3155" s="197"/>
      <c r="AE3155" s="197"/>
      <c r="AF3155" s="197"/>
      <c r="AG3155" s="197"/>
      <c r="AH3155" s="197"/>
      <c r="AI3155" s="197"/>
      <c r="AJ3155" s="197"/>
      <c r="AK3155" s="197"/>
      <c r="AL3155" s="197"/>
      <c r="AM3155" s="197"/>
      <c r="AN3155" s="197"/>
      <c r="AO3155" s="197"/>
      <c r="AP3155" s="197"/>
      <c r="AQ3155" s="197"/>
      <c r="AR3155" s="197"/>
      <c r="AS3155" s="197"/>
      <c r="AT3155" s="197"/>
      <c r="AU3155" s="197"/>
      <c r="AV3155" s="197"/>
      <c r="AW3155" s="197"/>
    </row>
    <row r="3156" spans="28:49" s="196" customFormat="1">
      <c r="AB3156" s="201"/>
      <c r="AC3156" s="201"/>
      <c r="AD3156" s="197"/>
      <c r="AE3156" s="197"/>
      <c r="AF3156" s="197"/>
      <c r="AG3156" s="197"/>
      <c r="AH3156" s="197"/>
      <c r="AI3156" s="197"/>
      <c r="AJ3156" s="197"/>
      <c r="AK3156" s="197"/>
      <c r="AL3156" s="197"/>
      <c r="AM3156" s="197"/>
      <c r="AN3156" s="197"/>
      <c r="AO3156" s="197"/>
      <c r="AP3156" s="197"/>
      <c r="AQ3156" s="197"/>
      <c r="AR3156" s="197"/>
      <c r="AS3156" s="197"/>
      <c r="AT3156" s="197"/>
      <c r="AU3156" s="197"/>
      <c r="AV3156" s="197"/>
      <c r="AW3156" s="197"/>
    </row>
    <row r="3157" spans="28:49" s="196" customFormat="1">
      <c r="AB3157" s="201"/>
      <c r="AC3157" s="201"/>
      <c r="AD3157" s="197"/>
      <c r="AE3157" s="197"/>
      <c r="AF3157" s="197"/>
      <c r="AG3157" s="197"/>
      <c r="AH3157" s="197"/>
      <c r="AI3157" s="197"/>
      <c r="AJ3157" s="197"/>
      <c r="AK3157" s="197"/>
      <c r="AL3157" s="197"/>
      <c r="AM3157" s="197"/>
      <c r="AN3157" s="197"/>
      <c r="AO3157" s="197"/>
      <c r="AP3157" s="197"/>
      <c r="AQ3157" s="197"/>
      <c r="AR3157" s="197"/>
      <c r="AS3157" s="197"/>
      <c r="AT3157" s="197"/>
      <c r="AU3157" s="197"/>
      <c r="AV3157" s="197"/>
      <c r="AW3157" s="197"/>
    </row>
    <row r="3158" spans="28:49" s="196" customFormat="1">
      <c r="AB3158" s="201"/>
      <c r="AC3158" s="201"/>
      <c r="AD3158" s="197"/>
      <c r="AE3158" s="197"/>
      <c r="AF3158" s="197"/>
      <c r="AG3158" s="197"/>
      <c r="AH3158" s="197"/>
      <c r="AI3158" s="197"/>
      <c r="AJ3158" s="197"/>
      <c r="AK3158" s="197"/>
      <c r="AL3158" s="197"/>
      <c r="AM3158" s="197"/>
      <c r="AN3158" s="197"/>
      <c r="AO3158" s="197"/>
      <c r="AP3158" s="197"/>
      <c r="AQ3158" s="197"/>
      <c r="AR3158" s="197"/>
      <c r="AS3158" s="197"/>
      <c r="AT3158" s="197"/>
      <c r="AU3158" s="197"/>
      <c r="AV3158" s="197"/>
      <c r="AW3158" s="197"/>
    </row>
    <row r="3159" spans="28:49" s="196" customFormat="1">
      <c r="AB3159" s="201"/>
      <c r="AC3159" s="201"/>
      <c r="AD3159" s="197"/>
      <c r="AE3159" s="197"/>
      <c r="AF3159" s="197"/>
      <c r="AG3159" s="197"/>
      <c r="AH3159" s="197"/>
      <c r="AI3159" s="197"/>
      <c r="AJ3159" s="197"/>
      <c r="AK3159" s="197"/>
      <c r="AL3159" s="197"/>
      <c r="AM3159" s="197"/>
      <c r="AN3159" s="197"/>
      <c r="AO3159" s="197"/>
      <c r="AP3159" s="197"/>
      <c r="AQ3159" s="197"/>
      <c r="AR3159" s="197"/>
      <c r="AS3159" s="197"/>
      <c r="AT3159" s="197"/>
      <c r="AU3159" s="197"/>
      <c r="AV3159" s="197"/>
      <c r="AW3159" s="197"/>
    </row>
    <row r="3160" spans="28:49" s="196" customFormat="1">
      <c r="AB3160" s="201"/>
      <c r="AC3160" s="201"/>
      <c r="AD3160" s="197"/>
      <c r="AE3160" s="197"/>
      <c r="AF3160" s="197"/>
      <c r="AG3160" s="197"/>
      <c r="AH3160" s="197"/>
      <c r="AI3160" s="197"/>
      <c r="AJ3160" s="197"/>
      <c r="AK3160" s="197"/>
      <c r="AL3160" s="197"/>
      <c r="AM3160" s="197"/>
      <c r="AN3160" s="197"/>
      <c r="AO3160" s="197"/>
      <c r="AP3160" s="197"/>
      <c r="AQ3160" s="197"/>
      <c r="AR3160" s="197"/>
      <c r="AS3160" s="197"/>
      <c r="AT3160" s="197"/>
      <c r="AU3160" s="197"/>
      <c r="AV3160" s="197"/>
      <c r="AW3160" s="197"/>
    </row>
    <row r="3161" spans="28:49" s="196" customFormat="1">
      <c r="AB3161" s="201"/>
      <c r="AC3161" s="201"/>
      <c r="AD3161" s="197"/>
      <c r="AE3161" s="197"/>
      <c r="AF3161" s="197"/>
      <c r="AG3161" s="197"/>
      <c r="AH3161" s="197"/>
      <c r="AI3161" s="197"/>
      <c r="AJ3161" s="197"/>
      <c r="AK3161" s="197"/>
      <c r="AL3161" s="197"/>
      <c r="AM3161" s="197"/>
      <c r="AN3161" s="197"/>
      <c r="AO3161" s="197"/>
      <c r="AP3161" s="197"/>
      <c r="AQ3161" s="197"/>
      <c r="AR3161" s="197"/>
      <c r="AS3161" s="197"/>
      <c r="AT3161" s="197"/>
      <c r="AU3161" s="197"/>
      <c r="AV3161" s="197"/>
      <c r="AW3161" s="197"/>
    </row>
    <row r="3162" spans="28:49" s="196" customFormat="1">
      <c r="AB3162" s="201"/>
      <c r="AC3162" s="201"/>
      <c r="AD3162" s="197"/>
      <c r="AE3162" s="197"/>
      <c r="AF3162" s="197"/>
      <c r="AG3162" s="197"/>
      <c r="AH3162" s="197"/>
      <c r="AI3162" s="197"/>
      <c r="AJ3162" s="197"/>
      <c r="AK3162" s="197"/>
      <c r="AL3162" s="197"/>
      <c r="AM3162" s="197"/>
      <c r="AN3162" s="197"/>
      <c r="AO3162" s="197"/>
      <c r="AP3162" s="197"/>
      <c r="AQ3162" s="197"/>
      <c r="AR3162" s="197"/>
      <c r="AS3162" s="197"/>
      <c r="AT3162" s="197"/>
      <c r="AU3162" s="197"/>
      <c r="AV3162" s="197"/>
      <c r="AW3162" s="197"/>
    </row>
    <row r="3163" spans="28:49" s="196" customFormat="1">
      <c r="AB3163" s="201"/>
      <c r="AC3163" s="201"/>
      <c r="AD3163" s="197"/>
      <c r="AE3163" s="197"/>
      <c r="AF3163" s="197"/>
      <c r="AG3163" s="197"/>
      <c r="AH3163" s="197"/>
      <c r="AI3163" s="197"/>
      <c r="AJ3163" s="197"/>
      <c r="AK3163" s="197"/>
      <c r="AL3163" s="197"/>
      <c r="AM3163" s="197"/>
      <c r="AN3163" s="197"/>
      <c r="AO3163" s="197"/>
      <c r="AP3163" s="197"/>
      <c r="AQ3163" s="197"/>
      <c r="AR3163" s="197"/>
      <c r="AS3163" s="197"/>
      <c r="AT3163" s="197"/>
      <c r="AU3163" s="197"/>
      <c r="AV3163" s="197"/>
      <c r="AW3163" s="197"/>
    </row>
    <row r="3164" spans="28:49" s="196" customFormat="1">
      <c r="AB3164" s="201"/>
      <c r="AC3164" s="201"/>
      <c r="AD3164" s="197"/>
      <c r="AE3164" s="197"/>
      <c r="AF3164" s="197"/>
      <c r="AG3164" s="197"/>
      <c r="AH3164" s="197"/>
      <c r="AI3164" s="197"/>
      <c r="AJ3164" s="197"/>
      <c r="AK3164" s="197"/>
      <c r="AL3164" s="197"/>
      <c r="AM3164" s="197"/>
      <c r="AN3164" s="197"/>
      <c r="AO3164" s="197"/>
      <c r="AP3164" s="197"/>
      <c r="AQ3164" s="197"/>
      <c r="AR3164" s="197"/>
      <c r="AS3164" s="197"/>
      <c r="AT3164" s="197"/>
      <c r="AU3164" s="197"/>
      <c r="AV3164" s="197"/>
      <c r="AW3164" s="197"/>
    </row>
    <row r="3165" spans="28:49" s="196" customFormat="1">
      <c r="AB3165" s="201"/>
      <c r="AC3165" s="201"/>
      <c r="AD3165" s="197"/>
      <c r="AE3165" s="197"/>
      <c r="AF3165" s="197"/>
      <c r="AG3165" s="197"/>
      <c r="AH3165" s="197"/>
      <c r="AI3165" s="197"/>
      <c r="AJ3165" s="197"/>
      <c r="AK3165" s="197"/>
      <c r="AL3165" s="197"/>
      <c r="AM3165" s="197"/>
      <c r="AN3165" s="197"/>
      <c r="AO3165" s="197"/>
      <c r="AP3165" s="197"/>
      <c r="AQ3165" s="197"/>
      <c r="AR3165" s="197"/>
      <c r="AS3165" s="197"/>
      <c r="AT3165" s="197"/>
      <c r="AU3165" s="197"/>
      <c r="AV3165" s="197"/>
      <c r="AW3165" s="197"/>
    </row>
    <row r="3166" spans="28:49" s="196" customFormat="1">
      <c r="AB3166" s="201"/>
      <c r="AC3166" s="201"/>
      <c r="AD3166" s="197"/>
      <c r="AE3166" s="197"/>
      <c r="AF3166" s="197"/>
      <c r="AG3166" s="197"/>
      <c r="AH3166" s="197"/>
      <c r="AI3166" s="197"/>
      <c r="AJ3166" s="197"/>
      <c r="AK3166" s="197"/>
      <c r="AL3166" s="197"/>
      <c r="AM3166" s="197"/>
      <c r="AN3166" s="197"/>
      <c r="AO3166" s="197"/>
      <c r="AP3166" s="197"/>
      <c r="AQ3166" s="197"/>
      <c r="AR3166" s="197"/>
      <c r="AS3166" s="197"/>
      <c r="AT3166" s="197"/>
      <c r="AU3166" s="197"/>
      <c r="AV3166" s="197"/>
      <c r="AW3166" s="197"/>
    </row>
    <row r="3167" spans="28:49" s="196" customFormat="1">
      <c r="AB3167" s="201"/>
      <c r="AC3167" s="201"/>
      <c r="AD3167" s="197"/>
      <c r="AE3167" s="197"/>
      <c r="AF3167" s="197"/>
      <c r="AG3167" s="197"/>
      <c r="AH3167" s="197"/>
      <c r="AI3167" s="197"/>
      <c r="AJ3167" s="197"/>
      <c r="AK3167" s="197"/>
      <c r="AL3167" s="197"/>
      <c r="AM3167" s="197"/>
      <c r="AN3167" s="197"/>
      <c r="AO3167" s="197"/>
      <c r="AP3167" s="197"/>
      <c r="AQ3167" s="197"/>
      <c r="AR3167" s="197"/>
      <c r="AS3167" s="197"/>
      <c r="AT3167" s="197"/>
      <c r="AU3167" s="197"/>
      <c r="AV3167" s="197"/>
      <c r="AW3167" s="197"/>
    </row>
    <row r="3168" spans="28:49" s="196" customFormat="1">
      <c r="AB3168" s="201"/>
      <c r="AC3168" s="201"/>
      <c r="AD3168" s="197"/>
      <c r="AE3168" s="197"/>
      <c r="AF3168" s="197"/>
      <c r="AG3168" s="197"/>
      <c r="AH3168" s="197"/>
      <c r="AI3168" s="197"/>
      <c r="AJ3168" s="197"/>
      <c r="AK3168" s="197"/>
      <c r="AL3168" s="197"/>
      <c r="AM3168" s="197"/>
      <c r="AN3168" s="197"/>
      <c r="AO3168" s="197"/>
      <c r="AP3168" s="197"/>
      <c r="AQ3168" s="197"/>
      <c r="AR3168" s="197"/>
      <c r="AS3168" s="197"/>
      <c r="AT3168" s="197"/>
      <c r="AU3168" s="197"/>
      <c r="AV3168" s="197"/>
      <c r="AW3168" s="197"/>
    </row>
    <row r="3169" spans="28:49" s="196" customFormat="1">
      <c r="AB3169" s="201"/>
      <c r="AC3169" s="201"/>
      <c r="AD3169" s="197"/>
      <c r="AE3169" s="197"/>
      <c r="AF3169" s="197"/>
      <c r="AG3169" s="197"/>
      <c r="AH3169" s="197"/>
      <c r="AI3169" s="197"/>
      <c r="AJ3169" s="197"/>
      <c r="AK3169" s="197"/>
      <c r="AL3169" s="197"/>
      <c r="AM3169" s="197"/>
      <c r="AN3169" s="197"/>
      <c r="AO3169" s="197"/>
      <c r="AP3169" s="197"/>
      <c r="AQ3169" s="197"/>
      <c r="AR3169" s="197"/>
      <c r="AS3169" s="197"/>
      <c r="AT3169" s="197"/>
      <c r="AU3169" s="197"/>
      <c r="AV3169" s="197"/>
      <c r="AW3169" s="197"/>
    </row>
    <row r="3170" spans="28:49" s="196" customFormat="1">
      <c r="AB3170" s="201"/>
      <c r="AC3170" s="201"/>
      <c r="AD3170" s="197"/>
      <c r="AE3170" s="197"/>
      <c r="AF3170" s="197"/>
      <c r="AG3170" s="197"/>
      <c r="AH3170" s="197"/>
      <c r="AI3170" s="197"/>
      <c r="AJ3170" s="197"/>
      <c r="AK3170" s="197"/>
      <c r="AL3170" s="197"/>
      <c r="AM3170" s="197"/>
      <c r="AN3170" s="197"/>
      <c r="AO3170" s="197"/>
      <c r="AP3170" s="197"/>
      <c r="AQ3170" s="197"/>
      <c r="AR3170" s="197"/>
      <c r="AS3170" s="197"/>
      <c r="AT3170" s="197"/>
      <c r="AU3170" s="197"/>
      <c r="AV3170" s="197"/>
      <c r="AW3170" s="197"/>
    </row>
    <row r="3171" spans="28:49" s="196" customFormat="1">
      <c r="AB3171" s="201"/>
      <c r="AC3171" s="201"/>
      <c r="AD3171" s="197"/>
      <c r="AE3171" s="197"/>
      <c r="AF3171" s="197"/>
      <c r="AG3171" s="197"/>
      <c r="AH3171" s="197"/>
      <c r="AI3171" s="197"/>
      <c r="AJ3171" s="197"/>
      <c r="AK3171" s="197"/>
      <c r="AL3171" s="197"/>
      <c r="AM3171" s="197"/>
      <c r="AN3171" s="197"/>
      <c r="AO3171" s="197"/>
      <c r="AP3171" s="197"/>
      <c r="AQ3171" s="197"/>
      <c r="AR3171" s="197"/>
      <c r="AS3171" s="197"/>
      <c r="AT3171" s="197"/>
      <c r="AU3171" s="197"/>
      <c r="AV3171" s="197"/>
      <c r="AW3171" s="197"/>
    </row>
    <row r="3172" spans="28:49" s="196" customFormat="1">
      <c r="AB3172" s="201"/>
      <c r="AC3172" s="201"/>
      <c r="AD3172" s="197"/>
      <c r="AE3172" s="197"/>
      <c r="AF3172" s="197"/>
      <c r="AG3172" s="197"/>
      <c r="AH3172" s="197"/>
      <c r="AI3172" s="197"/>
      <c r="AJ3172" s="197"/>
      <c r="AK3172" s="197"/>
      <c r="AL3172" s="197"/>
      <c r="AM3172" s="197"/>
      <c r="AN3172" s="197"/>
      <c r="AO3172" s="197"/>
      <c r="AP3172" s="197"/>
      <c r="AQ3172" s="197"/>
      <c r="AR3172" s="197"/>
      <c r="AS3172" s="197"/>
      <c r="AT3172" s="197"/>
      <c r="AU3172" s="197"/>
      <c r="AV3172" s="197"/>
      <c r="AW3172" s="197"/>
    </row>
    <row r="3173" spans="28:49" s="196" customFormat="1">
      <c r="AB3173" s="201"/>
      <c r="AC3173" s="201"/>
      <c r="AD3173" s="197"/>
      <c r="AE3173" s="197"/>
      <c r="AF3173" s="197"/>
      <c r="AG3173" s="197"/>
      <c r="AH3173" s="197"/>
      <c r="AI3173" s="197"/>
      <c r="AJ3173" s="197"/>
      <c r="AK3173" s="197"/>
      <c r="AL3173" s="197"/>
      <c r="AM3173" s="197"/>
      <c r="AN3173" s="197"/>
      <c r="AO3173" s="197"/>
      <c r="AP3173" s="197"/>
      <c r="AQ3173" s="197"/>
      <c r="AR3173" s="197"/>
      <c r="AS3173" s="197"/>
      <c r="AT3173" s="197"/>
      <c r="AU3173" s="197"/>
      <c r="AV3173" s="197"/>
      <c r="AW3173" s="197"/>
    </row>
    <row r="3174" spans="28:49" s="196" customFormat="1">
      <c r="AB3174" s="201"/>
      <c r="AC3174" s="201"/>
      <c r="AD3174" s="197"/>
      <c r="AE3174" s="197"/>
      <c r="AF3174" s="197"/>
      <c r="AG3174" s="197"/>
      <c r="AH3174" s="197"/>
      <c r="AI3174" s="197"/>
      <c r="AJ3174" s="197"/>
      <c r="AK3174" s="197"/>
      <c r="AL3174" s="197"/>
      <c r="AM3174" s="197"/>
      <c r="AN3174" s="197"/>
      <c r="AO3174" s="197"/>
      <c r="AP3174" s="197"/>
      <c r="AQ3174" s="197"/>
      <c r="AR3174" s="197"/>
      <c r="AS3174" s="197"/>
      <c r="AT3174" s="197"/>
      <c r="AU3174" s="197"/>
      <c r="AV3174" s="197"/>
      <c r="AW3174" s="197"/>
    </row>
    <row r="3175" spans="28:49" s="196" customFormat="1">
      <c r="AB3175" s="201"/>
      <c r="AC3175" s="201"/>
      <c r="AD3175" s="197"/>
      <c r="AE3175" s="197"/>
      <c r="AF3175" s="197"/>
      <c r="AG3175" s="197"/>
      <c r="AH3175" s="197"/>
      <c r="AI3175" s="197"/>
      <c r="AJ3175" s="197"/>
      <c r="AK3175" s="197"/>
      <c r="AL3175" s="197"/>
      <c r="AM3175" s="197"/>
      <c r="AN3175" s="197"/>
      <c r="AO3175" s="197"/>
      <c r="AP3175" s="197"/>
      <c r="AQ3175" s="197"/>
      <c r="AR3175" s="197"/>
      <c r="AS3175" s="197"/>
      <c r="AT3175" s="197"/>
      <c r="AU3175" s="197"/>
      <c r="AV3175" s="197"/>
      <c r="AW3175" s="197"/>
    </row>
    <row r="3176" spans="28:49" s="196" customFormat="1">
      <c r="AB3176" s="201"/>
      <c r="AC3176" s="201"/>
      <c r="AD3176" s="197"/>
      <c r="AE3176" s="197"/>
      <c r="AF3176" s="197"/>
      <c r="AG3176" s="197"/>
      <c r="AH3176" s="197"/>
      <c r="AI3176" s="197"/>
      <c r="AJ3176" s="197"/>
      <c r="AK3176" s="197"/>
      <c r="AL3176" s="197"/>
      <c r="AM3176" s="197"/>
      <c r="AN3176" s="197"/>
      <c r="AO3176" s="197"/>
      <c r="AP3176" s="197"/>
      <c r="AQ3176" s="197"/>
      <c r="AR3176" s="197"/>
      <c r="AS3176" s="197"/>
      <c r="AT3176" s="197"/>
      <c r="AU3176" s="197"/>
      <c r="AV3176" s="197"/>
      <c r="AW3176" s="197"/>
    </row>
    <row r="3177" spans="28:49" s="196" customFormat="1">
      <c r="AB3177" s="201"/>
      <c r="AC3177" s="201"/>
      <c r="AD3177" s="197"/>
      <c r="AE3177" s="197"/>
      <c r="AF3177" s="197"/>
      <c r="AG3177" s="197"/>
      <c r="AH3177" s="197"/>
      <c r="AI3177" s="197"/>
      <c r="AJ3177" s="197"/>
      <c r="AK3177" s="197"/>
      <c r="AL3177" s="197"/>
      <c r="AM3177" s="197"/>
      <c r="AN3177" s="197"/>
      <c r="AO3177" s="197"/>
      <c r="AP3177" s="197"/>
      <c r="AQ3177" s="197"/>
      <c r="AR3177" s="197"/>
      <c r="AS3177" s="197"/>
      <c r="AT3177" s="197"/>
      <c r="AU3177" s="197"/>
      <c r="AV3177" s="197"/>
      <c r="AW3177" s="197"/>
    </row>
    <row r="3178" spans="28:49" s="196" customFormat="1">
      <c r="AB3178" s="201"/>
      <c r="AC3178" s="201"/>
      <c r="AD3178" s="197"/>
      <c r="AE3178" s="197"/>
      <c r="AF3178" s="197"/>
      <c r="AG3178" s="197"/>
      <c r="AH3178" s="197"/>
      <c r="AI3178" s="197"/>
      <c r="AJ3178" s="197"/>
      <c r="AK3178" s="197"/>
      <c r="AL3178" s="197"/>
      <c r="AM3178" s="197"/>
      <c r="AN3178" s="197"/>
      <c r="AO3178" s="197"/>
      <c r="AP3178" s="197"/>
      <c r="AQ3178" s="197"/>
      <c r="AR3178" s="197"/>
      <c r="AS3178" s="197"/>
      <c r="AT3178" s="197"/>
      <c r="AU3178" s="197"/>
      <c r="AV3178" s="197"/>
      <c r="AW3178" s="197"/>
    </row>
    <row r="3179" spans="28:49" s="196" customFormat="1">
      <c r="AB3179" s="201"/>
      <c r="AC3179" s="201"/>
      <c r="AD3179" s="197"/>
      <c r="AE3179" s="197"/>
      <c r="AF3179" s="197"/>
      <c r="AG3179" s="197"/>
      <c r="AH3179" s="197"/>
      <c r="AI3179" s="197"/>
      <c r="AJ3179" s="197"/>
      <c r="AK3179" s="197"/>
      <c r="AL3179" s="197"/>
      <c r="AM3179" s="197"/>
      <c r="AN3179" s="197"/>
      <c r="AO3179" s="197"/>
      <c r="AP3179" s="197"/>
      <c r="AQ3179" s="197"/>
      <c r="AR3179" s="197"/>
      <c r="AS3179" s="197"/>
      <c r="AT3179" s="197"/>
      <c r="AU3179" s="197"/>
      <c r="AV3179" s="197"/>
      <c r="AW3179" s="197"/>
    </row>
    <row r="3180" spans="28:49" s="196" customFormat="1">
      <c r="AB3180" s="201"/>
      <c r="AC3180" s="201"/>
      <c r="AD3180" s="197"/>
      <c r="AE3180" s="197"/>
      <c r="AF3180" s="197"/>
      <c r="AG3180" s="197"/>
      <c r="AH3180" s="197"/>
      <c r="AI3180" s="197"/>
      <c r="AJ3180" s="197"/>
      <c r="AK3180" s="197"/>
      <c r="AL3180" s="197"/>
      <c r="AM3180" s="197"/>
      <c r="AN3180" s="197"/>
      <c r="AO3180" s="197"/>
      <c r="AP3180" s="197"/>
      <c r="AQ3180" s="197"/>
      <c r="AR3180" s="197"/>
      <c r="AS3180" s="197"/>
      <c r="AT3180" s="197"/>
      <c r="AU3180" s="197"/>
      <c r="AV3180" s="197"/>
      <c r="AW3180" s="197"/>
    </row>
    <row r="3181" spans="28:49" s="196" customFormat="1">
      <c r="AB3181" s="201"/>
      <c r="AC3181" s="201"/>
      <c r="AD3181" s="197"/>
      <c r="AE3181" s="197"/>
      <c r="AF3181" s="197"/>
      <c r="AG3181" s="197"/>
      <c r="AH3181" s="197"/>
      <c r="AI3181" s="197"/>
      <c r="AJ3181" s="197"/>
      <c r="AK3181" s="197"/>
      <c r="AL3181" s="197"/>
      <c r="AM3181" s="197"/>
      <c r="AN3181" s="197"/>
      <c r="AO3181" s="197"/>
      <c r="AP3181" s="197"/>
      <c r="AQ3181" s="197"/>
      <c r="AR3181" s="197"/>
      <c r="AS3181" s="197"/>
      <c r="AT3181" s="197"/>
      <c r="AU3181" s="197"/>
      <c r="AV3181" s="197"/>
      <c r="AW3181" s="197"/>
    </row>
    <row r="3182" spans="28:49" s="196" customFormat="1">
      <c r="AB3182" s="201"/>
      <c r="AC3182" s="201"/>
      <c r="AD3182" s="197"/>
      <c r="AE3182" s="197"/>
      <c r="AF3182" s="197"/>
      <c r="AG3182" s="197"/>
      <c r="AH3182" s="197"/>
      <c r="AI3182" s="197"/>
      <c r="AJ3182" s="197"/>
      <c r="AK3182" s="197"/>
      <c r="AL3182" s="197"/>
      <c r="AM3182" s="197"/>
      <c r="AN3182" s="197"/>
      <c r="AO3182" s="197"/>
      <c r="AP3182" s="197"/>
      <c r="AQ3182" s="197"/>
      <c r="AR3182" s="197"/>
      <c r="AS3182" s="197"/>
      <c r="AT3182" s="197"/>
      <c r="AU3182" s="197"/>
      <c r="AV3182" s="197"/>
      <c r="AW3182" s="197"/>
    </row>
    <row r="3183" spans="28:49" s="196" customFormat="1">
      <c r="AB3183" s="201"/>
      <c r="AC3183" s="201"/>
      <c r="AD3183" s="197"/>
      <c r="AE3183" s="197"/>
      <c r="AF3183" s="197"/>
      <c r="AG3183" s="197"/>
      <c r="AH3183" s="197"/>
      <c r="AI3183" s="197"/>
      <c r="AJ3183" s="197"/>
      <c r="AK3183" s="197"/>
      <c r="AL3183" s="197"/>
      <c r="AM3183" s="197"/>
      <c r="AN3183" s="197"/>
      <c r="AO3183" s="197"/>
      <c r="AP3183" s="197"/>
      <c r="AQ3183" s="197"/>
      <c r="AR3183" s="197"/>
      <c r="AS3183" s="197"/>
      <c r="AT3183" s="197"/>
      <c r="AU3183" s="197"/>
      <c r="AV3183" s="197"/>
      <c r="AW3183" s="197"/>
    </row>
    <row r="3184" spans="28:49" s="196" customFormat="1">
      <c r="AB3184" s="201"/>
      <c r="AC3184" s="201"/>
      <c r="AD3184" s="197"/>
      <c r="AE3184" s="197"/>
      <c r="AF3184" s="197"/>
      <c r="AG3184" s="197"/>
      <c r="AH3184" s="197"/>
      <c r="AI3184" s="197"/>
      <c r="AJ3184" s="197"/>
      <c r="AK3184" s="197"/>
      <c r="AL3184" s="197"/>
      <c r="AM3184" s="197"/>
      <c r="AN3184" s="197"/>
      <c r="AO3184" s="197"/>
      <c r="AP3184" s="197"/>
      <c r="AQ3184" s="197"/>
      <c r="AR3184" s="197"/>
      <c r="AS3184" s="197"/>
      <c r="AT3184" s="197"/>
      <c r="AU3184" s="197"/>
      <c r="AV3184" s="197"/>
      <c r="AW3184" s="197"/>
    </row>
    <row r="3185" spans="28:49" s="196" customFormat="1">
      <c r="AB3185" s="201"/>
      <c r="AC3185" s="201"/>
      <c r="AD3185" s="197"/>
      <c r="AE3185" s="197"/>
      <c r="AF3185" s="197"/>
      <c r="AG3185" s="197"/>
      <c r="AH3185" s="197"/>
      <c r="AI3185" s="197"/>
      <c r="AJ3185" s="197"/>
      <c r="AK3185" s="197"/>
      <c r="AL3185" s="197"/>
      <c r="AM3185" s="197"/>
      <c r="AN3185" s="197"/>
      <c r="AO3185" s="197"/>
      <c r="AP3185" s="197"/>
      <c r="AQ3185" s="197"/>
      <c r="AR3185" s="197"/>
      <c r="AS3185" s="197"/>
      <c r="AT3185" s="197"/>
      <c r="AU3185" s="197"/>
      <c r="AV3185" s="197"/>
      <c r="AW3185" s="197"/>
    </row>
    <row r="3186" spans="28:49" s="196" customFormat="1">
      <c r="AB3186" s="201"/>
      <c r="AC3186" s="201"/>
      <c r="AD3186" s="197"/>
      <c r="AE3186" s="197"/>
      <c r="AF3186" s="197"/>
      <c r="AG3186" s="197"/>
      <c r="AH3186" s="197"/>
      <c r="AI3186" s="197"/>
      <c r="AJ3186" s="197"/>
      <c r="AK3186" s="197"/>
      <c r="AL3186" s="197"/>
      <c r="AM3186" s="197"/>
      <c r="AN3186" s="197"/>
      <c r="AO3186" s="197"/>
      <c r="AP3186" s="197"/>
      <c r="AQ3186" s="197"/>
      <c r="AR3186" s="197"/>
      <c r="AS3186" s="197"/>
      <c r="AT3186" s="197"/>
      <c r="AU3186" s="197"/>
      <c r="AV3186" s="197"/>
      <c r="AW3186" s="197"/>
    </row>
    <row r="3187" spans="28:49" s="196" customFormat="1">
      <c r="AB3187" s="201"/>
      <c r="AC3187" s="201"/>
      <c r="AD3187" s="197"/>
      <c r="AE3187" s="197"/>
      <c r="AF3187" s="197"/>
      <c r="AG3187" s="197"/>
      <c r="AH3187" s="197"/>
      <c r="AI3187" s="197"/>
      <c r="AJ3187" s="197"/>
      <c r="AK3187" s="197"/>
      <c r="AL3187" s="197"/>
      <c r="AM3187" s="197"/>
      <c r="AN3187" s="197"/>
      <c r="AO3187" s="197"/>
      <c r="AP3187" s="197"/>
      <c r="AQ3187" s="197"/>
      <c r="AR3187" s="197"/>
      <c r="AS3187" s="197"/>
      <c r="AT3187" s="197"/>
      <c r="AU3187" s="197"/>
      <c r="AV3187" s="197"/>
      <c r="AW3187" s="197"/>
    </row>
    <row r="3188" spans="28:49" s="196" customFormat="1">
      <c r="AB3188" s="201"/>
      <c r="AC3188" s="201"/>
      <c r="AD3188" s="197"/>
      <c r="AE3188" s="197"/>
      <c r="AF3188" s="197"/>
      <c r="AG3188" s="197"/>
      <c r="AH3188" s="197"/>
      <c r="AI3188" s="197"/>
      <c r="AJ3188" s="197"/>
      <c r="AK3188" s="197"/>
      <c r="AL3188" s="197"/>
      <c r="AM3188" s="197"/>
      <c r="AN3188" s="197"/>
      <c r="AO3188" s="197"/>
      <c r="AP3188" s="197"/>
      <c r="AQ3188" s="197"/>
      <c r="AR3188" s="197"/>
      <c r="AS3188" s="197"/>
      <c r="AT3188" s="197"/>
      <c r="AU3188" s="197"/>
      <c r="AV3188" s="197"/>
      <c r="AW3188" s="197"/>
    </row>
    <row r="3189" spans="28:49" s="196" customFormat="1">
      <c r="AB3189" s="201"/>
      <c r="AC3189" s="201"/>
      <c r="AD3189" s="197"/>
      <c r="AE3189" s="197"/>
      <c r="AF3189" s="197"/>
      <c r="AG3189" s="197"/>
      <c r="AH3189" s="197"/>
      <c r="AI3189" s="197"/>
      <c r="AJ3189" s="197"/>
      <c r="AK3189" s="197"/>
      <c r="AL3189" s="197"/>
      <c r="AM3189" s="197"/>
      <c r="AN3189" s="197"/>
      <c r="AO3189" s="197"/>
      <c r="AP3189" s="197"/>
      <c r="AQ3189" s="197"/>
      <c r="AR3189" s="197"/>
      <c r="AS3189" s="197"/>
      <c r="AT3189" s="197"/>
      <c r="AU3189" s="197"/>
      <c r="AV3189" s="197"/>
      <c r="AW3189" s="197"/>
    </row>
    <row r="3190" spans="28:49" s="196" customFormat="1">
      <c r="AB3190" s="201"/>
      <c r="AC3190" s="201"/>
      <c r="AD3190" s="197"/>
      <c r="AE3190" s="197"/>
      <c r="AF3190" s="197"/>
      <c r="AG3190" s="197"/>
      <c r="AH3190" s="197"/>
      <c r="AI3190" s="197"/>
      <c r="AJ3190" s="197"/>
      <c r="AK3190" s="197"/>
      <c r="AL3190" s="197"/>
      <c r="AM3190" s="197"/>
      <c r="AN3190" s="197"/>
      <c r="AO3190" s="197"/>
      <c r="AP3190" s="197"/>
      <c r="AQ3190" s="197"/>
      <c r="AR3190" s="197"/>
      <c r="AS3190" s="197"/>
      <c r="AT3190" s="197"/>
      <c r="AU3190" s="197"/>
      <c r="AV3190" s="197"/>
      <c r="AW3190" s="197"/>
    </row>
    <row r="3191" spans="28:49" s="196" customFormat="1">
      <c r="AB3191" s="201"/>
      <c r="AC3191" s="201"/>
      <c r="AD3191" s="197"/>
      <c r="AE3191" s="197"/>
      <c r="AF3191" s="197"/>
      <c r="AG3191" s="197"/>
      <c r="AH3191" s="197"/>
      <c r="AI3191" s="197"/>
      <c r="AJ3191" s="197"/>
      <c r="AK3191" s="197"/>
      <c r="AL3191" s="197"/>
      <c r="AM3191" s="197"/>
      <c r="AN3191" s="197"/>
      <c r="AO3191" s="197"/>
      <c r="AP3191" s="197"/>
      <c r="AQ3191" s="197"/>
      <c r="AR3191" s="197"/>
      <c r="AS3191" s="197"/>
      <c r="AT3191" s="197"/>
      <c r="AU3191" s="197"/>
      <c r="AV3191" s="197"/>
      <c r="AW3191" s="197"/>
    </row>
    <row r="3192" spans="28:49" s="196" customFormat="1">
      <c r="AB3192" s="201"/>
      <c r="AC3192" s="201"/>
      <c r="AD3192" s="197"/>
      <c r="AE3192" s="197"/>
      <c r="AF3192" s="197"/>
      <c r="AG3192" s="197"/>
      <c r="AH3192" s="197"/>
      <c r="AI3192" s="197"/>
      <c r="AJ3192" s="197"/>
      <c r="AK3192" s="197"/>
      <c r="AL3192" s="197"/>
      <c r="AM3192" s="197"/>
      <c r="AN3192" s="197"/>
      <c r="AO3192" s="197"/>
      <c r="AP3192" s="197"/>
      <c r="AQ3192" s="197"/>
      <c r="AR3192" s="197"/>
      <c r="AS3192" s="197"/>
      <c r="AT3192" s="197"/>
      <c r="AU3192" s="197"/>
      <c r="AV3192" s="197"/>
      <c r="AW3192" s="197"/>
    </row>
    <row r="3193" spans="28:49" s="196" customFormat="1">
      <c r="AB3193" s="201"/>
      <c r="AC3193" s="201"/>
      <c r="AD3193" s="197"/>
      <c r="AE3193" s="197"/>
      <c r="AF3193" s="197"/>
      <c r="AG3193" s="197"/>
      <c r="AH3193" s="197"/>
      <c r="AI3193" s="197"/>
      <c r="AJ3193" s="197"/>
      <c r="AK3193" s="197"/>
      <c r="AL3193" s="197"/>
      <c r="AM3193" s="197"/>
      <c r="AN3193" s="197"/>
      <c r="AO3193" s="197"/>
      <c r="AP3193" s="197"/>
      <c r="AQ3193" s="197"/>
      <c r="AR3193" s="197"/>
      <c r="AS3193" s="197"/>
      <c r="AT3193" s="197"/>
      <c r="AU3193" s="197"/>
      <c r="AV3193" s="197"/>
      <c r="AW3193" s="197"/>
    </row>
    <row r="3194" spans="28:49" s="196" customFormat="1">
      <c r="AB3194" s="201"/>
      <c r="AC3194" s="201"/>
      <c r="AD3194" s="197"/>
      <c r="AE3194" s="197"/>
      <c r="AF3194" s="197"/>
      <c r="AG3194" s="197"/>
      <c r="AH3194" s="197"/>
      <c r="AI3194" s="197"/>
      <c r="AJ3194" s="197"/>
      <c r="AK3194" s="197"/>
      <c r="AL3194" s="197"/>
      <c r="AM3194" s="197"/>
      <c r="AN3194" s="197"/>
      <c r="AO3194" s="197"/>
      <c r="AP3194" s="197"/>
      <c r="AQ3194" s="197"/>
      <c r="AR3194" s="197"/>
      <c r="AS3194" s="197"/>
      <c r="AT3194" s="197"/>
      <c r="AU3194" s="197"/>
      <c r="AV3194" s="197"/>
      <c r="AW3194" s="197"/>
    </row>
    <row r="3195" spans="28:49" s="196" customFormat="1">
      <c r="AB3195" s="201"/>
      <c r="AC3195" s="201"/>
      <c r="AD3195" s="197"/>
      <c r="AE3195" s="197"/>
      <c r="AF3195" s="197"/>
      <c r="AG3195" s="197"/>
      <c r="AH3195" s="197"/>
      <c r="AI3195" s="197"/>
      <c r="AJ3195" s="197"/>
      <c r="AK3195" s="197"/>
      <c r="AL3195" s="197"/>
      <c r="AM3195" s="197"/>
      <c r="AN3195" s="197"/>
      <c r="AO3195" s="197"/>
      <c r="AP3195" s="197"/>
      <c r="AQ3195" s="197"/>
      <c r="AR3195" s="197"/>
      <c r="AS3195" s="197"/>
      <c r="AT3195" s="197"/>
      <c r="AU3195" s="197"/>
      <c r="AV3195" s="197"/>
      <c r="AW3195" s="197"/>
    </row>
    <row r="3196" spans="28:49" s="196" customFormat="1">
      <c r="AB3196" s="201"/>
      <c r="AC3196" s="201"/>
      <c r="AD3196" s="197"/>
      <c r="AE3196" s="197"/>
      <c r="AF3196" s="197"/>
      <c r="AG3196" s="197"/>
      <c r="AH3196" s="197"/>
      <c r="AI3196" s="197"/>
      <c r="AJ3196" s="197"/>
      <c r="AK3196" s="197"/>
      <c r="AL3196" s="197"/>
      <c r="AM3196" s="197"/>
      <c r="AN3196" s="197"/>
      <c r="AO3196" s="197"/>
      <c r="AP3196" s="197"/>
      <c r="AQ3196" s="197"/>
      <c r="AR3196" s="197"/>
      <c r="AS3196" s="197"/>
      <c r="AT3196" s="197"/>
      <c r="AU3196" s="197"/>
      <c r="AV3196" s="197"/>
      <c r="AW3196" s="197"/>
    </row>
    <row r="3197" spans="28:49" s="196" customFormat="1">
      <c r="AB3197" s="201"/>
      <c r="AC3197" s="201"/>
      <c r="AD3197" s="197"/>
      <c r="AE3197" s="197"/>
      <c r="AF3197" s="197"/>
      <c r="AG3197" s="197"/>
      <c r="AH3197" s="197"/>
      <c r="AI3197" s="197"/>
      <c r="AJ3197" s="197"/>
      <c r="AK3197" s="197"/>
      <c r="AL3197" s="197"/>
      <c r="AM3197" s="197"/>
      <c r="AN3197" s="197"/>
      <c r="AO3197" s="197"/>
      <c r="AP3197" s="197"/>
      <c r="AQ3197" s="197"/>
      <c r="AR3197" s="197"/>
      <c r="AS3197" s="197"/>
      <c r="AT3197" s="197"/>
      <c r="AU3197" s="197"/>
      <c r="AV3197" s="197"/>
      <c r="AW3197" s="197"/>
    </row>
    <row r="3198" spans="28:49" s="196" customFormat="1">
      <c r="AB3198" s="201"/>
      <c r="AC3198" s="201"/>
      <c r="AD3198" s="197"/>
      <c r="AE3198" s="197"/>
      <c r="AF3198" s="197"/>
      <c r="AG3198" s="197"/>
      <c r="AH3198" s="197"/>
      <c r="AI3198" s="197"/>
      <c r="AJ3198" s="197"/>
      <c r="AK3198" s="197"/>
      <c r="AL3198" s="197"/>
      <c r="AM3198" s="197"/>
      <c r="AN3198" s="197"/>
      <c r="AO3198" s="197"/>
      <c r="AP3198" s="197"/>
      <c r="AQ3198" s="197"/>
      <c r="AR3198" s="197"/>
      <c r="AS3198" s="197"/>
      <c r="AT3198" s="197"/>
      <c r="AU3198" s="197"/>
      <c r="AV3198" s="197"/>
      <c r="AW3198" s="197"/>
    </row>
    <row r="3199" spans="28:49" s="196" customFormat="1">
      <c r="AB3199" s="201"/>
      <c r="AC3199" s="201"/>
      <c r="AD3199" s="197"/>
      <c r="AE3199" s="197"/>
      <c r="AF3199" s="197"/>
      <c r="AG3199" s="197"/>
      <c r="AH3199" s="197"/>
      <c r="AI3199" s="197"/>
      <c r="AJ3199" s="197"/>
      <c r="AK3199" s="197"/>
      <c r="AL3199" s="197"/>
      <c r="AM3199" s="197"/>
      <c r="AN3199" s="197"/>
      <c r="AO3199" s="197"/>
      <c r="AP3199" s="197"/>
      <c r="AQ3199" s="197"/>
      <c r="AR3199" s="197"/>
      <c r="AS3199" s="197"/>
      <c r="AT3199" s="197"/>
      <c r="AU3199" s="197"/>
      <c r="AV3199" s="197"/>
      <c r="AW3199" s="197"/>
    </row>
    <row r="3200" spans="28:49" s="196" customFormat="1">
      <c r="AB3200" s="201"/>
      <c r="AC3200" s="201"/>
      <c r="AD3200" s="197"/>
      <c r="AE3200" s="197"/>
      <c r="AF3200" s="197"/>
      <c r="AG3200" s="197"/>
      <c r="AH3200" s="197"/>
      <c r="AI3200" s="197"/>
      <c r="AJ3200" s="197"/>
      <c r="AK3200" s="197"/>
      <c r="AL3200" s="197"/>
      <c r="AM3200" s="197"/>
      <c r="AN3200" s="197"/>
      <c r="AO3200" s="197"/>
      <c r="AP3200" s="197"/>
      <c r="AQ3200" s="197"/>
      <c r="AR3200" s="197"/>
      <c r="AS3200" s="197"/>
      <c r="AT3200" s="197"/>
      <c r="AU3200" s="197"/>
      <c r="AV3200" s="197"/>
      <c r="AW3200" s="197"/>
    </row>
    <row r="3201" spans="28:49" s="196" customFormat="1">
      <c r="AB3201" s="201"/>
      <c r="AC3201" s="201"/>
      <c r="AD3201" s="197"/>
      <c r="AE3201" s="197"/>
      <c r="AF3201" s="197"/>
      <c r="AG3201" s="197"/>
      <c r="AH3201" s="197"/>
      <c r="AI3201" s="197"/>
      <c r="AJ3201" s="197"/>
      <c r="AK3201" s="197"/>
      <c r="AL3201" s="197"/>
      <c r="AM3201" s="197"/>
      <c r="AN3201" s="197"/>
      <c r="AO3201" s="197"/>
      <c r="AP3201" s="197"/>
      <c r="AQ3201" s="197"/>
      <c r="AR3201" s="197"/>
      <c r="AS3201" s="197"/>
      <c r="AT3201" s="197"/>
      <c r="AU3201" s="197"/>
      <c r="AV3201" s="197"/>
      <c r="AW3201" s="197"/>
    </row>
    <row r="3202" spans="28:49" s="196" customFormat="1">
      <c r="AB3202" s="201"/>
      <c r="AC3202" s="201"/>
      <c r="AD3202" s="197"/>
      <c r="AE3202" s="197"/>
      <c r="AF3202" s="197"/>
      <c r="AG3202" s="197"/>
      <c r="AH3202" s="197"/>
      <c r="AI3202" s="197"/>
      <c r="AJ3202" s="197"/>
      <c r="AK3202" s="197"/>
      <c r="AL3202" s="197"/>
      <c r="AM3202" s="197"/>
      <c r="AN3202" s="197"/>
      <c r="AO3202" s="197"/>
      <c r="AP3202" s="197"/>
      <c r="AQ3202" s="197"/>
      <c r="AR3202" s="197"/>
      <c r="AS3202" s="197"/>
      <c r="AT3202" s="197"/>
      <c r="AU3202" s="197"/>
      <c r="AV3202" s="197"/>
      <c r="AW3202" s="197"/>
    </row>
    <row r="3203" spans="28:49" s="196" customFormat="1">
      <c r="AB3203" s="201"/>
      <c r="AC3203" s="201"/>
      <c r="AD3203" s="197"/>
      <c r="AE3203" s="197"/>
      <c r="AF3203" s="197"/>
      <c r="AG3203" s="197"/>
      <c r="AH3203" s="197"/>
      <c r="AI3203" s="197"/>
      <c r="AJ3203" s="197"/>
      <c r="AK3203" s="197"/>
      <c r="AL3203" s="197"/>
      <c r="AM3203" s="197"/>
      <c r="AN3203" s="197"/>
      <c r="AO3203" s="197"/>
      <c r="AP3203" s="197"/>
      <c r="AQ3203" s="197"/>
      <c r="AR3203" s="197"/>
      <c r="AS3203" s="197"/>
      <c r="AT3203" s="197"/>
      <c r="AU3203" s="197"/>
      <c r="AV3203" s="197"/>
      <c r="AW3203" s="197"/>
    </row>
    <row r="3204" spans="28:49" s="196" customFormat="1">
      <c r="AB3204" s="201"/>
      <c r="AC3204" s="201"/>
      <c r="AD3204" s="197"/>
      <c r="AE3204" s="197"/>
      <c r="AF3204" s="197"/>
      <c r="AG3204" s="197"/>
      <c r="AH3204" s="197"/>
      <c r="AI3204" s="197"/>
      <c r="AJ3204" s="197"/>
      <c r="AK3204" s="197"/>
      <c r="AL3204" s="197"/>
      <c r="AM3204" s="197"/>
      <c r="AN3204" s="197"/>
      <c r="AO3204" s="197"/>
      <c r="AP3204" s="197"/>
      <c r="AQ3204" s="197"/>
      <c r="AR3204" s="197"/>
      <c r="AS3204" s="197"/>
      <c r="AT3204" s="197"/>
      <c r="AU3204" s="197"/>
      <c r="AV3204" s="197"/>
      <c r="AW3204" s="197"/>
    </row>
    <row r="3205" spans="28:49" s="196" customFormat="1">
      <c r="AB3205" s="201"/>
      <c r="AC3205" s="201"/>
      <c r="AD3205" s="197"/>
      <c r="AE3205" s="197"/>
      <c r="AF3205" s="197"/>
      <c r="AG3205" s="197"/>
      <c r="AH3205" s="197"/>
      <c r="AI3205" s="197"/>
      <c r="AJ3205" s="197"/>
      <c r="AK3205" s="197"/>
      <c r="AL3205" s="197"/>
      <c r="AM3205" s="197"/>
      <c r="AN3205" s="197"/>
      <c r="AO3205" s="197"/>
      <c r="AP3205" s="197"/>
      <c r="AQ3205" s="197"/>
      <c r="AR3205" s="197"/>
      <c r="AS3205" s="197"/>
      <c r="AT3205" s="197"/>
      <c r="AU3205" s="197"/>
      <c r="AV3205" s="197"/>
      <c r="AW3205" s="197"/>
    </row>
    <row r="3206" spans="28:49" s="196" customFormat="1">
      <c r="AB3206" s="201"/>
      <c r="AC3206" s="201"/>
      <c r="AD3206" s="197"/>
      <c r="AE3206" s="197"/>
      <c r="AF3206" s="197"/>
      <c r="AG3206" s="197"/>
      <c r="AH3206" s="197"/>
      <c r="AI3206" s="197"/>
      <c r="AJ3206" s="197"/>
      <c r="AK3206" s="197"/>
      <c r="AL3206" s="197"/>
      <c r="AM3206" s="197"/>
      <c r="AN3206" s="197"/>
      <c r="AO3206" s="197"/>
      <c r="AP3206" s="197"/>
      <c r="AQ3206" s="197"/>
      <c r="AR3206" s="197"/>
      <c r="AS3206" s="197"/>
      <c r="AT3206" s="197"/>
      <c r="AU3206" s="197"/>
      <c r="AV3206" s="197"/>
      <c r="AW3206" s="197"/>
    </row>
    <row r="3207" spans="28:49" s="196" customFormat="1">
      <c r="AB3207" s="201"/>
      <c r="AC3207" s="201"/>
      <c r="AD3207" s="197"/>
      <c r="AE3207" s="197"/>
      <c r="AF3207" s="197"/>
      <c r="AG3207" s="197"/>
      <c r="AH3207" s="197"/>
      <c r="AI3207" s="197"/>
      <c r="AJ3207" s="197"/>
      <c r="AK3207" s="197"/>
      <c r="AL3207" s="197"/>
      <c r="AM3207" s="197"/>
      <c r="AN3207" s="197"/>
      <c r="AO3207" s="197"/>
      <c r="AP3207" s="197"/>
      <c r="AQ3207" s="197"/>
      <c r="AR3207" s="197"/>
      <c r="AS3207" s="197"/>
      <c r="AT3207" s="197"/>
      <c r="AU3207" s="197"/>
      <c r="AV3207" s="197"/>
      <c r="AW3207" s="197"/>
    </row>
    <row r="3208" spans="28:49" s="196" customFormat="1">
      <c r="AB3208" s="201"/>
      <c r="AC3208" s="201"/>
      <c r="AD3208" s="197"/>
      <c r="AE3208" s="197"/>
      <c r="AF3208" s="197"/>
      <c r="AG3208" s="197"/>
      <c r="AH3208" s="197"/>
      <c r="AI3208" s="197"/>
      <c r="AJ3208" s="197"/>
      <c r="AK3208" s="197"/>
      <c r="AL3208" s="197"/>
      <c r="AM3208" s="197"/>
      <c r="AN3208" s="197"/>
      <c r="AO3208" s="197"/>
      <c r="AP3208" s="197"/>
      <c r="AQ3208" s="197"/>
      <c r="AR3208" s="197"/>
      <c r="AS3208" s="197"/>
      <c r="AT3208" s="197"/>
      <c r="AU3208" s="197"/>
      <c r="AV3208" s="197"/>
      <c r="AW3208" s="197"/>
    </row>
    <row r="3209" spans="28:49" s="196" customFormat="1">
      <c r="AB3209" s="201"/>
      <c r="AC3209" s="201"/>
      <c r="AD3209" s="197"/>
      <c r="AE3209" s="197"/>
      <c r="AF3209" s="197"/>
      <c r="AG3209" s="197"/>
      <c r="AH3209" s="197"/>
      <c r="AI3209" s="197"/>
      <c r="AJ3209" s="197"/>
      <c r="AK3209" s="197"/>
      <c r="AL3209" s="197"/>
      <c r="AM3209" s="197"/>
      <c r="AN3209" s="197"/>
      <c r="AO3209" s="197"/>
      <c r="AP3209" s="197"/>
      <c r="AQ3209" s="197"/>
      <c r="AR3209" s="197"/>
      <c r="AS3209" s="197"/>
      <c r="AT3209" s="197"/>
      <c r="AU3209" s="197"/>
      <c r="AV3209" s="197"/>
      <c r="AW3209" s="197"/>
    </row>
    <row r="3210" spans="28:49" s="196" customFormat="1">
      <c r="AB3210" s="201"/>
      <c r="AC3210" s="201"/>
      <c r="AD3210" s="197"/>
      <c r="AE3210" s="197"/>
      <c r="AF3210" s="197"/>
      <c r="AG3210" s="197"/>
      <c r="AH3210" s="197"/>
      <c r="AI3210" s="197"/>
      <c r="AJ3210" s="197"/>
      <c r="AK3210" s="197"/>
      <c r="AL3210" s="197"/>
      <c r="AM3210" s="197"/>
      <c r="AN3210" s="197"/>
      <c r="AO3210" s="197"/>
      <c r="AP3210" s="197"/>
      <c r="AQ3210" s="197"/>
      <c r="AR3210" s="197"/>
      <c r="AS3210" s="197"/>
      <c r="AT3210" s="197"/>
      <c r="AU3210" s="197"/>
      <c r="AV3210" s="197"/>
      <c r="AW3210" s="197"/>
    </row>
    <row r="3211" spans="28:49" s="196" customFormat="1">
      <c r="AB3211" s="201"/>
      <c r="AC3211" s="201"/>
      <c r="AD3211" s="197"/>
      <c r="AE3211" s="197"/>
      <c r="AF3211" s="197"/>
      <c r="AG3211" s="197"/>
      <c r="AH3211" s="197"/>
      <c r="AI3211" s="197"/>
      <c r="AJ3211" s="197"/>
      <c r="AK3211" s="197"/>
      <c r="AL3211" s="197"/>
      <c r="AM3211" s="197"/>
      <c r="AN3211" s="197"/>
      <c r="AO3211" s="197"/>
      <c r="AP3211" s="197"/>
      <c r="AQ3211" s="197"/>
      <c r="AR3211" s="197"/>
      <c r="AS3211" s="197"/>
      <c r="AT3211" s="197"/>
      <c r="AU3211" s="197"/>
      <c r="AV3211" s="197"/>
      <c r="AW3211" s="197"/>
    </row>
    <row r="3212" spans="28:49" s="196" customFormat="1">
      <c r="AB3212" s="201"/>
      <c r="AC3212" s="201"/>
      <c r="AD3212" s="197"/>
      <c r="AE3212" s="197"/>
      <c r="AF3212" s="197"/>
      <c r="AG3212" s="197"/>
      <c r="AH3212" s="197"/>
      <c r="AI3212" s="197"/>
      <c r="AJ3212" s="197"/>
      <c r="AK3212" s="197"/>
      <c r="AL3212" s="197"/>
      <c r="AM3212" s="197"/>
      <c r="AN3212" s="197"/>
      <c r="AO3212" s="197"/>
      <c r="AP3212" s="197"/>
      <c r="AQ3212" s="197"/>
      <c r="AR3212" s="197"/>
      <c r="AS3212" s="197"/>
      <c r="AT3212" s="197"/>
      <c r="AU3212" s="197"/>
      <c r="AV3212" s="197"/>
      <c r="AW3212" s="197"/>
    </row>
    <row r="3213" spans="28:49" s="196" customFormat="1">
      <c r="AB3213" s="201"/>
      <c r="AC3213" s="201"/>
      <c r="AD3213" s="197"/>
      <c r="AE3213" s="197"/>
      <c r="AF3213" s="197"/>
      <c r="AG3213" s="197"/>
      <c r="AH3213" s="197"/>
      <c r="AI3213" s="197"/>
      <c r="AJ3213" s="197"/>
      <c r="AK3213" s="197"/>
      <c r="AL3213" s="197"/>
      <c r="AM3213" s="197"/>
      <c r="AN3213" s="197"/>
      <c r="AO3213" s="197"/>
      <c r="AP3213" s="197"/>
      <c r="AQ3213" s="197"/>
      <c r="AR3213" s="197"/>
      <c r="AS3213" s="197"/>
      <c r="AT3213" s="197"/>
      <c r="AU3213" s="197"/>
      <c r="AV3213" s="197"/>
      <c r="AW3213" s="197"/>
    </row>
    <row r="3214" spans="28:49" s="196" customFormat="1">
      <c r="AB3214" s="201"/>
      <c r="AC3214" s="201"/>
      <c r="AD3214" s="197"/>
      <c r="AE3214" s="197"/>
      <c r="AF3214" s="197"/>
      <c r="AG3214" s="197"/>
      <c r="AH3214" s="197"/>
      <c r="AI3214" s="197"/>
      <c r="AJ3214" s="197"/>
      <c r="AK3214" s="197"/>
      <c r="AL3214" s="197"/>
      <c r="AM3214" s="197"/>
      <c r="AN3214" s="197"/>
      <c r="AO3214" s="197"/>
      <c r="AP3214" s="197"/>
      <c r="AQ3214" s="197"/>
      <c r="AR3214" s="197"/>
      <c r="AS3214" s="197"/>
      <c r="AT3214" s="197"/>
      <c r="AU3214" s="197"/>
      <c r="AV3214" s="197"/>
      <c r="AW3214" s="197"/>
    </row>
    <row r="3215" spans="28:49" s="196" customFormat="1">
      <c r="AB3215" s="201"/>
      <c r="AC3215" s="201"/>
      <c r="AD3215" s="197"/>
      <c r="AE3215" s="197"/>
      <c r="AF3215" s="197"/>
      <c r="AG3215" s="197"/>
      <c r="AH3215" s="197"/>
      <c r="AI3215" s="197"/>
      <c r="AJ3215" s="197"/>
      <c r="AK3215" s="197"/>
      <c r="AL3215" s="197"/>
      <c r="AM3215" s="197"/>
      <c r="AN3215" s="197"/>
      <c r="AO3215" s="197"/>
      <c r="AP3215" s="197"/>
      <c r="AQ3215" s="197"/>
      <c r="AR3215" s="197"/>
      <c r="AS3215" s="197"/>
      <c r="AT3215" s="197"/>
      <c r="AU3215" s="197"/>
      <c r="AV3215" s="197"/>
      <c r="AW3215" s="197"/>
    </row>
    <row r="3216" spans="28:49" s="196" customFormat="1">
      <c r="AB3216" s="201"/>
      <c r="AC3216" s="201"/>
      <c r="AD3216" s="197"/>
      <c r="AE3216" s="197"/>
      <c r="AF3216" s="197"/>
      <c r="AG3216" s="197"/>
      <c r="AH3216" s="197"/>
      <c r="AI3216" s="197"/>
      <c r="AJ3216" s="197"/>
      <c r="AK3216" s="197"/>
      <c r="AL3216" s="197"/>
      <c r="AM3216" s="197"/>
      <c r="AN3216" s="197"/>
      <c r="AO3216" s="197"/>
      <c r="AP3216" s="197"/>
      <c r="AQ3216" s="197"/>
      <c r="AR3216" s="197"/>
      <c r="AS3216" s="197"/>
      <c r="AT3216" s="197"/>
      <c r="AU3216" s="197"/>
      <c r="AV3216" s="197"/>
      <c r="AW3216" s="197"/>
    </row>
    <row r="3217" spans="28:49" s="196" customFormat="1">
      <c r="AB3217" s="201"/>
      <c r="AC3217" s="201"/>
      <c r="AD3217" s="197"/>
      <c r="AE3217" s="197"/>
      <c r="AF3217" s="197"/>
      <c r="AG3217" s="197"/>
      <c r="AH3217" s="197"/>
      <c r="AI3217" s="197"/>
      <c r="AJ3217" s="197"/>
      <c r="AK3217" s="197"/>
      <c r="AL3217" s="197"/>
      <c r="AM3217" s="197"/>
      <c r="AN3217" s="197"/>
      <c r="AO3217" s="197"/>
      <c r="AP3217" s="197"/>
      <c r="AQ3217" s="197"/>
      <c r="AR3217" s="197"/>
      <c r="AS3217" s="197"/>
      <c r="AT3217" s="197"/>
      <c r="AU3217" s="197"/>
      <c r="AV3217" s="197"/>
      <c r="AW3217" s="197"/>
    </row>
    <row r="3218" spans="28:49" s="196" customFormat="1">
      <c r="AB3218" s="201"/>
      <c r="AC3218" s="201"/>
      <c r="AD3218" s="197"/>
      <c r="AE3218" s="197"/>
      <c r="AF3218" s="197"/>
      <c r="AG3218" s="197"/>
      <c r="AH3218" s="197"/>
      <c r="AI3218" s="197"/>
      <c r="AJ3218" s="197"/>
      <c r="AK3218" s="197"/>
      <c r="AL3218" s="197"/>
      <c r="AM3218" s="197"/>
      <c r="AN3218" s="197"/>
      <c r="AO3218" s="197"/>
      <c r="AP3218" s="197"/>
      <c r="AQ3218" s="197"/>
      <c r="AR3218" s="197"/>
      <c r="AS3218" s="197"/>
      <c r="AT3218" s="197"/>
      <c r="AU3218" s="197"/>
      <c r="AV3218" s="197"/>
      <c r="AW3218" s="197"/>
    </row>
    <row r="3219" spans="28:49" s="196" customFormat="1">
      <c r="AB3219" s="201"/>
      <c r="AC3219" s="201"/>
      <c r="AD3219" s="197"/>
      <c r="AE3219" s="197"/>
      <c r="AF3219" s="197"/>
      <c r="AG3219" s="197"/>
      <c r="AH3219" s="197"/>
      <c r="AI3219" s="197"/>
      <c r="AJ3219" s="197"/>
      <c r="AK3219" s="197"/>
      <c r="AL3219" s="197"/>
      <c r="AM3219" s="197"/>
      <c r="AN3219" s="197"/>
      <c r="AO3219" s="197"/>
      <c r="AP3219" s="197"/>
      <c r="AQ3219" s="197"/>
      <c r="AR3219" s="197"/>
      <c r="AS3219" s="197"/>
      <c r="AT3219" s="197"/>
      <c r="AU3219" s="197"/>
      <c r="AV3219" s="197"/>
      <c r="AW3219" s="197"/>
    </row>
    <row r="3220" spans="28:49" s="196" customFormat="1">
      <c r="AB3220" s="201"/>
      <c r="AC3220" s="201"/>
      <c r="AD3220" s="197"/>
      <c r="AE3220" s="197"/>
      <c r="AF3220" s="197"/>
      <c r="AG3220" s="197"/>
      <c r="AH3220" s="197"/>
      <c r="AI3220" s="197"/>
      <c r="AJ3220" s="197"/>
      <c r="AK3220" s="197"/>
      <c r="AL3220" s="197"/>
      <c r="AM3220" s="197"/>
      <c r="AN3220" s="197"/>
      <c r="AO3220" s="197"/>
      <c r="AP3220" s="197"/>
      <c r="AQ3220" s="197"/>
      <c r="AR3220" s="197"/>
      <c r="AS3220" s="197"/>
      <c r="AT3220" s="197"/>
      <c r="AU3220" s="197"/>
      <c r="AV3220" s="197"/>
      <c r="AW3220" s="197"/>
    </row>
    <row r="3221" spans="28:49" s="196" customFormat="1">
      <c r="AB3221" s="201"/>
      <c r="AC3221" s="201"/>
      <c r="AD3221" s="197"/>
      <c r="AE3221" s="197"/>
      <c r="AF3221" s="197"/>
      <c r="AG3221" s="197"/>
      <c r="AH3221" s="197"/>
      <c r="AI3221" s="197"/>
      <c r="AJ3221" s="197"/>
      <c r="AK3221" s="197"/>
      <c r="AL3221" s="197"/>
      <c r="AM3221" s="197"/>
      <c r="AN3221" s="197"/>
      <c r="AO3221" s="197"/>
      <c r="AP3221" s="197"/>
      <c r="AQ3221" s="197"/>
      <c r="AR3221" s="197"/>
      <c r="AS3221" s="197"/>
      <c r="AT3221" s="197"/>
      <c r="AU3221" s="197"/>
      <c r="AV3221" s="197"/>
      <c r="AW3221" s="197"/>
    </row>
    <row r="3222" spans="28:49" s="196" customFormat="1">
      <c r="AB3222" s="201"/>
      <c r="AC3222" s="201"/>
      <c r="AD3222" s="197"/>
      <c r="AE3222" s="197"/>
      <c r="AF3222" s="197"/>
      <c r="AG3222" s="197"/>
      <c r="AH3222" s="197"/>
      <c r="AI3222" s="197"/>
      <c r="AJ3222" s="197"/>
      <c r="AK3222" s="197"/>
      <c r="AL3222" s="197"/>
      <c r="AM3222" s="197"/>
      <c r="AN3222" s="197"/>
      <c r="AO3222" s="197"/>
      <c r="AP3222" s="197"/>
      <c r="AQ3222" s="197"/>
      <c r="AR3222" s="197"/>
      <c r="AS3222" s="197"/>
      <c r="AT3222" s="197"/>
      <c r="AU3222" s="197"/>
      <c r="AV3222" s="197"/>
      <c r="AW3222" s="197"/>
    </row>
    <row r="3223" spans="28:49" s="196" customFormat="1">
      <c r="AB3223" s="201"/>
      <c r="AC3223" s="201"/>
      <c r="AD3223" s="197"/>
      <c r="AE3223" s="197"/>
      <c r="AF3223" s="197"/>
      <c r="AG3223" s="197"/>
      <c r="AH3223" s="197"/>
      <c r="AI3223" s="197"/>
      <c r="AJ3223" s="197"/>
      <c r="AK3223" s="197"/>
      <c r="AL3223" s="197"/>
      <c r="AM3223" s="197"/>
      <c r="AN3223" s="197"/>
      <c r="AO3223" s="197"/>
      <c r="AP3223" s="197"/>
      <c r="AQ3223" s="197"/>
      <c r="AR3223" s="197"/>
      <c r="AS3223" s="197"/>
      <c r="AT3223" s="197"/>
      <c r="AU3223" s="197"/>
      <c r="AV3223" s="197"/>
      <c r="AW3223" s="197"/>
    </row>
    <row r="3224" spans="28:49" s="196" customFormat="1">
      <c r="AB3224" s="201"/>
      <c r="AC3224" s="201"/>
      <c r="AD3224" s="197"/>
      <c r="AE3224" s="197"/>
      <c r="AF3224" s="197"/>
      <c r="AG3224" s="197"/>
      <c r="AH3224" s="197"/>
      <c r="AI3224" s="197"/>
      <c r="AJ3224" s="197"/>
      <c r="AK3224" s="197"/>
      <c r="AL3224" s="197"/>
      <c r="AM3224" s="197"/>
      <c r="AN3224" s="197"/>
      <c r="AO3224" s="197"/>
      <c r="AP3224" s="197"/>
      <c r="AQ3224" s="197"/>
      <c r="AR3224" s="197"/>
      <c r="AS3224" s="197"/>
      <c r="AT3224" s="197"/>
      <c r="AU3224" s="197"/>
      <c r="AV3224" s="197"/>
      <c r="AW3224" s="197"/>
    </row>
    <row r="3225" spans="28:49" s="196" customFormat="1">
      <c r="AB3225" s="201"/>
      <c r="AC3225" s="201"/>
      <c r="AD3225" s="197"/>
      <c r="AE3225" s="197"/>
      <c r="AF3225" s="197"/>
      <c r="AG3225" s="197"/>
      <c r="AH3225" s="197"/>
      <c r="AI3225" s="197"/>
      <c r="AJ3225" s="197"/>
      <c r="AK3225" s="197"/>
      <c r="AL3225" s="197"/>
      <c r="AM3225" s="197"/>
      <c r="AN3225" s="197"/>
      <c r="AO3225" s="197"/>
      <c r="AP3225" s="197"/>
      <c r="AQ3225" s="197"/>
      <c r="AR3225" s="197"/>
      <c r="AS3225" s="197"/>
      <c r="AT3225" s="197"/>
      <c r="AU3225" s="197"/>
      <c r="AV3225" s="197"/>
      <c r="AW3225" s="197"/>
    </row>
    <row r="3226" spans="28:49" s="196" customFormat="1">
      <c r="AB3226" s="201"/>
      <c r="AC3226" s="201"/>
      <c r="AD3226" s="197"/>
      <c r="AE3226" s="197"/>
      <c r="AF3226" s="197"/>
      <c r="AG3226" s="197"/>
      <c r="AH3226" s="197"/>
      <c r="AI3226" s="197"/>
      <c r="AJ3226" s="197"/>
      <c r="AK3226" s="197"/>
      <c r="AL3226" s="197"/>
      <c r="AM3226" s="197"/>
      <c r="AN3226" s="197"/>
      <c r="AO3226" s="197"/>
      <c r="AP3226" s="197"/>
      <c r="AQ3226" s="197"/>
      <c r="AR3226" s="197"/>
      <c r="AS3226" s="197"/>
      <c r="AT3226" s="197"/>
      <c r="AU3226" s="197"/>
      <c r="AV3226" s="197"/>
      <c r="AW3226" s="197"/>
    </row>
    <row r="3227" spans="28:49" s="196" customFormat="1">
      <c r="AB3227" s="201"/>
      <c r="AC3227" s="201"/>
      <c r="AD3227" s="197"/>
      <c r="AE3227" s="197"/>
      <c r="AF3227" s="197"/>
      <c r="AG3227" s="197"/>
      <c r="AH3227" s="197"/>
      <c r="AI3227" s="197"/>
      <c r="AJ3227" s="197"/>
      <c r="AK3227" s="197"/>
      <c r="AL3227" s="197"/>
      <c r="AM3227" s="197"/>
      <c r="AN3227" s="197"/>
      <c r="AO3227" s="197"/>
      <c r="AP3227" s="197"/>
      <c r="AQ3227" s="197"/>
      <c r="AR3227" s="197"/>
      <c r="AS3227" s="197"/>
      <c r="AT3227" s="197"/>
      <c r="AU3227" s="197"/>
      <c r="AV3227" s="197"/>
      <c r="AW3227" s="197"/>
    </row>
    <row r="3228" spans="28:49" s="196" customFormat="1">
      <c r="AB3228" s="201"/>
      <c r="AC3228" s="201"/>
      <c r="AD3228" s="197"/>
      <c r="AE3228" s="197"/>
      <c r="AF3228" s="197"/>
      <c r="AG3228" s="197"/>
      <c r="AH3228" s="197"/>
      <c r="AI3228" s="197"/>
      <c r="AJ3228" s="197"/>
      <c r="AK3228" s="197"/>
      <c r="AL3228" s="197"/>
      <c r="AM3228" s="197"/>
      <c r="AN3228" s="197"/>
      <c r="AO3228" s="197"/>
      <c r="AP3228" s="197"/>
      <c r="AQ3228" s="197"/>
      <c r="AR3228" s="197"/>
      <c r="AS3228" s="197"/>
      <c r="AT3228" s="197"/>
      <c r="AU3228" s="197"/>
      <c r="AV3228" s="197"/>
      <c r="AW3228" s="197"/>
    </row>
    <row r="3229" spans="28:49" s="196" customFormat="1">
      <c r="AB3229" s="201"/>
      <c r="AC3229" s="201"/>
      <c r="AD3229" s="197"/>
      <c r="AE3229" s="197"/>
      <c r="AF3229" s="197"/>
      <c r="AG3229" s="197"/>
      <c r="AH3229" s="197"/>
      <c r="AI3229" s="197"/>
      <c r="AJ3229" s="197"/>
      <c r="AK3229" s="197"/>
      <c r="AL3229" s="197"/>
      <c r="AM3229" s="197"/>
      <c r="AN3229" s="197"/>
      <c r="AO3229" s="197"/>
      <c r="AP3229" s="197"/>
      <c r="AQ3229" s="197"/>
      <c r="AR3229" s="197"/>
      <c r="AS3229" s="197"/>
      <c r="AT3229" s="197"/>
      <c r="AU3229" s="197"/>
      <c r="AV3229" s="197"/>
      <c r="AW3229" s="197"/>
    </row>
    <row r="3230" spans="28:49" s="196" customFormat="1">
      <c r="AB3230" s="201"/>
      <c r="AC3230" s="201"/>
      <c r="AD3230" s="197"/>
      <c r="AE3230" s="197"/>
      <c r="AF3230" s="197"/>
      <c r="AG3230" s="197"/>
      <c r="AH3230" s="197"/>
      <c r="AI3230" s="197"/>
      <c r="AJ3230" s="197"/>
      <c r="AK3230" s="197"/>
      <c r="AL3230" s="197"/>
      <c r="AM3230" s="197"/>
      <c r="AN3230" s="197"/>
      <c r="AO3230" s="197"/>
      <c r="AP3230" s="197"/>
      <c r="AQ3230" s="197"/>
      <c r="AR3230" s="197"/>
      <c r="AS3230" s="197"/>
      <c r="AT3230" s="197"/>
      <c r="AU3230" s="197"/>
      <c r="AV3230" s="197"/>
      <c r="AW3230" s="197"/>
    </row>
    <row r="3231" spans="28:49" s="196" customFormat="1">
      <c r="AB3231" s="201"/>
      <c r="AC3231" s="201"/>
      <c r="AD3231" s="197"/>
      <c r="AE3231" s="197"/>
      <c r="AF3231" s="197"/>
      <c r="AG3231" s="197"/>
      <c r="AH3231" s="197"/>
      <c r="AI3231" s="197"/>
      <c r="AJ3231" s="197"/>
      <c r="AK3231" s="197"/>
      <c r="AL3231" s="197"/>
      <c r="AM3231" s="197"/>
      <c r="AN3231" s="197"/>
      <c r="AO3231" s="197"/>
      <c r="AP3231" s="197"/>
      <c r="AQ3231" s="197"/>
      <c r="AR3231" s="197"/>
      <c r="AS3231" s="197"/>
      <c r="AT3231" s="197"/>
      <c r="AU3231" s="197"/>
      <c r="AV3231" s="197"/>
      <c r="AW3231" s="197"/>
    </row>
    <row r="3232" spans="28:49" s="196" customFormat="1">
      <c r="AB3232" s="201"/>
      <c r="AC3232" s="201"/>
      <c r="AD3232" s="197"/>
      <c r="AE3232" s="197"/>
      <c r="AF3232" s="197"/>
      <c r="AG3232" s="197"/>
      <c r="AH3232" s="197"/>
      <c r="AI3232" s="197"/>
      <c r="AJ3232" s="197"/>
      <c r="AK3232" s="197"/>
      <c r="AL3232" s="197"/>
      <c r="AM3232" s="197"/>
      <c r="AN3232" s="197"/>
      <c r="AO3232" s="197"/>
      <c r="AP3232" s="197"/>
      <c r="AQ3232" s="197"/>
      <c r="AR3232" s="197"/>
      <c r="AS3232" s="197"/>
      <c r="AT3232" s="197"/>
      <c r="AU3232" s="197"/>
      <c r="AV3232" s="197"/>
      <c r="AW3232" s="197"/>
    </row>
    <row r="3233" spans="28:49" s="196" customFormat="1">
      <c r="AB3233" s="201"/>
      <c r="AC3233" s="201"/>
      <c r="AD3233" s="197"/>
      <c r="AE3233" s="197"/>
      <c r="AF3233" s="197"/>
      <c r="AG3233" s="197"/>
      <c r="AH3233" s="197"/>
      <c r="AI3233" s="197"/>
      <c r="AJ3233" s="197"/>
      <c r="AK3233" s="197"/>
      <c r="AL3233" s="197"/>
      <c r="AM3233" s="197"/>
      <c r="AN3233" s="197"/>
      <c r="AO3233" s="197"/>
      <c r="AP3233" s="197"/>
      <c r="AQ3233" s="197"/>
      <c r="AR3233" s="197"/>
      <c r="AS3233" s="197"/>
      <c r="AT3233" s="197"/>
      <c r="AU3233" s="197"/>
      <c r="AV3233" s="197"/>
      <c r="AW3233" s="197"/>
    </row>
    <row r="3234" spans="28:49" s="196" customFormat="1">
      <c r="AB3234" s="201"/>
      <c r="AC3234" s="201"/>
      <c r="AD3234" s="197"/>
      <c r="AE3234" s="197"/>
      <c r="AF3234" s="197"/>
      <c r="AG3234" s="197"/>
      <c r="AH3234" s="197"/>
      <c r="AI3234" s="197"/>
      <c r="AJ3234" s="197"/>
      <c r="AK3234" s="197"/>
      <c r="AL3234" s="197"/>
      <c r="AM3234" s="197"/>
      <c r="AN3234" s="197"/>
      <c r="AO3234" s="197"/>
      <c r="AP3234" s="197"/>
      <c r="AQ3234" s="197"/>
      <c r="AR3234" s="197"/>
      <c r="AS3234" s="197"/>
      <c r="AT3234" s="197"/>
      <c r="AU3234" s="197"/>
      <c r="AV3234" s="197"/>
      <c r="AW3234" s="197"/>
    </row>
    <row r="3235" spans="28:49" s="196" customFormat="1">
      <c r="AB3235" s="201"/>
      <c r="AC3235" s="201"/>
      <c r="AD3235" s="197"/>
      <c r="AE3235" s="197"/>
      <c r="AF3235" s="197"/>
      <c r="AG3235" s="197"/>
      <c r="AH3235" s="197"/>
      <c r="AI3235" s="197"/>
      <c r="AJ3235" s="197"/>
      <c r="AK3235" s="197"/>
      <c r="AL3235" s="197"/>
      <c r="AM3235" s="197"/>
      <c r="AN3235" s="197"/>
      <c r="AO3235" s="197"/>
      <c r="AP3235" s="197"/>
      <c r="AQ3235" s="197"/>
      <c r="AR3235" s="197"/>
      <c r="AS3235" s="197"/>
      <c r="AT3235" s="197"/>
      <c r="AU3235" s="197"/>
      <c r="AV3235" s="197"/>
      <c r="AW3235" s="197"/>
    </row>
    <row r="3236" spans="28:49" s="196" customFormat="1">
      <c r="AB3236" s="201"/>
      <c r="AC3236" s="201"/>
      <c r="AD3236" s="197"/>
      <c r="AE3236" s="197"/>
      <c r="AF3236" s="197"/>
      <c r="AG3236" s="197"/>
      <c r="AH3236" s="197"/>
      <c r="AI3236" s="197"/>
      <c r="AJ3236" s="197"/>
      <c r="AK3236" s="197"/>
      <c r="AL3236" s="197"/>
      <c r="AM3236" s="197"/>
      <c r="AN3236" s="197"/>
      <c r="AO3236" s="197"/>
      <c r="AP3236" s="197"/>
      <c r="AQ3236" s="197"/>
      <c r="AR3236" s="197"/>
      <c r="AS3236" s="197"/>
      <c r="AT3236" s="197"/>
      <c r="AU3236" s="197"/>
      <c r="AV3236" s="197"/>
      <c r="AW3236" s="197"/>
    </row>
    <row r="3237" spans="28:49" s="196" customFormat="1">
      <c r="AB3237" s="201"/>
      <c r="AC3237" s="201"/>
      <c r="AD3237" s="197"/>
      <c r="AE3237" s="197"/>
      <c r="AF3237" s="197"/>
      <c r="AG3237" s="197"/>
      <c r="AH3237" s="197"/>
      <c r="AI3237" s="197"/>
      <c r="AJ3237" s="197"/>
      <c r="AK3237" s="197"/>
      <c r="AL3237" s="197"/>
      <c r="AM3237" s="197"/>
      <c r="AN3237" s="197"/>
      <c r="AO3237" s="197"/>
      <c r="AP3237" s="197"/>
      <c r="AQ3237" s="197"/>
      <c r="AR3237" s="197"/>
      <c r="AS3237" s="197"/>
      <c r="AT3237" s="197"/>
      <c r="AU3237" s="197"/>
      <c r="AV3237" s="197"/>
      <c r="AW3237" s="197"/>
    </row>
    <row r="3238" spans="28:49" s="196" customFormat="1">
      <c r="AB3238" s="201"/>
      <c r="AC3238" s="201"/>
      <c r="AD3238" s="197"/>
      <c r="AE3238" s="197"/>
      <c r="AF3238" s="197"/>
      <c r="AG3238" s="197"/>
      <c r="AH3238" s="197"/>
      <c r="AI3238" s="197"/>
      <c r="AJ3238" s="197"/>
      <c r="AK3238" s="197"/>
      <c r="AL3238" s="197"/>
      <c r="AM3238" s="197"/>
      <c r="AN3238" s="197"/>
      <c r="AO3238" s="197"/>
      <c r="AP3238" s="197"/>
      <c r="AQ3238" s="197"/>
      <c r="AR3238" s="197"/>
      <c r="AS3238" s="197"/>
      <c r="AT3238" s="197"/>
      <c r="AU3238" s="197"/>
      <c r="AV3238" s="197"/>
      <c r="AW3238" s="197"/>
    </row>
    <row r="3239" spans="28:49" s="196" customFormat="1">
      <c r="AB3239" s="201"/>
      <c r="AC3239" s="201"/>
      <c r="AD3239" s="197"/>
      <c r="AE3239" s="197"/>
      <c r="AF3239" s="197"/>
      <c r="AG3239" s="197"/>
      <c r="AH3239" s="197"/>
      <c r="AI3239" s="197"/>
      <c r="AJ3239" s="197"/>
      <c r="AK3239" s="197"/>
      <c r="AL3239" s="197"/>
      <c r="AM3239" s="197"/>
      <c r="AN3239" s="197"/>
      <c r="AO3239" s="197"/>
      <c r="AP3239" s="197"/>
      <c r="AQ3239" s="197"/>
      <c r="AR3239" s="197"/>
      <c r="AS3239" s="197"/>
      <c r="AT3239" s="197"/>
      <c r="AU3239" s="197"/>
      <c r="AV3239" s="197"/>
      <c r="AW3239" s="197"/>
    </row>
    <row r="3240" spans="28:49" s="196" customFormat="1">
      <c r="AB3240" s="201"/>
      <c r="AC3240" s="201"/>
      <c r="AD3240" s="197"/>
      <c r="AE3240" s="197"/>
      <c r="AF3240" s="197"/>
      <c r="AG3240" s="197"/>
      <c r="AH3240" s="197"/>
      <c r="AI3240" s="197"/>
      <c r="AJ3240" s="197"/>
      <c r="AK3240" s="197"/>
      <c r="AL3240" s="197"/>
      <c r="AM3240" s="197"/>
      <c r="AN3240" s="197"/>
      <c r="AO3240" s="197"/>
      <c r="AP3240" s="197"/>
      <c r="AQ3240" s="197"/>
      <c r="AR3240" s="197"/>
      <c r="AS3240" s="197"/>
      <c r="AT3240" s="197"/>
      <c r="AU3240" s="197"/>
      <c r="AV3240" s="197"/>
      <c r="AW3240" s="197"/>
    </row>
    <row r="3241" spans="28:49" s="196" customFormat="1">
      <c r="AB3241" s="201"/>
      <c r="AC3241" s="201"/>
      <c r="AD3241" s="197"/>
      <c r="AE3241" s="197"/>
      <c r="AF3241" s="197"/>
      <c r="AG3241" s="197"/>
      <c r="AH3241" s="197"/>
      <c r="AI3241" s="197"/>
      <c r="AJ3241" s="197"/>
      <c r="AK3241" s="197"/>
      <c r="AL3241" s="197"/>
      <c r="AM3241" s="197"/>
      <c r="AN3241" s="197"/>
      <c r="AO3241" s="197"/>
      <c r="AP3241" s="197"/>
      <c r="AQ3241" s="197"/>
      <c r="AR3241" s="197"/>
      <c r="AS3241" s="197"/>
      <c r="AT3241" s="197"/>
      <c r="AU3241" s="197"/>
      <c r="AV3241" s="197"/>
      <c r="AW3241" s="197"/>
    </row>
    <row r="3242" spans="28:49" s="196" customFormat="1">
      <c r="AB3242" s="201"/>
      <c r="AC3242" s="201"/>
      <c r="AD3242" s="197"/>
      <c r="AE3242" s="197"/>
      <c r="AF3242" s="197"/>
      <c r="AG3242" s="197"/>
      <c r="AH3242" s="197"/>
      <c r="AI3242" s="197"/>
      <c r="AJ3242" s="197"/>
      <c r="AK3242" s="197"/>
      <c r="AL3242" s="197"/>
      <c r="AM3242" s="197"/>
      <c r="AN3242" s="197"/>
      <c r="AO3242" s="197"/>
      <c r="AP3242" s="197"/>
      <c r="AQ3242" s="197"/>
      <c r="AR3242" s="197"/>
      <c r="AS3242" s="197"/>
      <c r="AT3242" s="197"/>
      <c r="AU3242" s="197"/>
      <c r="AV3242" s="197"/>
      <c r="AW3242" s="197"/>
    </row>
    <row r="3243" spans="28:49" s="196" customFormat="1">
      <c r="AB3243" s="201"/>
      <c r="AC3243" s="201"/>
      <c r="AD3243" s="197"/>
      <c r="AE3243" s="197"/>
      <c r="AF3243" s="197"/>
      <c r="AG3243" s="197"/>
      <c r="AH3243" s="197"/>
      <c r="AI3243" s="197"/>
      <c r="AJ3243" s="197"/>
      <c r="AK3243" s="197"/>
      <c r="AL3243" s="197"/>
      <c r="AM3243" s="197"/>
      <c r="AN3243" s="197"/>
      <c r="AO3243" s="197"/>
      <c r="AP3243" s="197"/>
      <c r="AQ3243" s="197"/>
      <c r="AR3243" s="197"/>
      <c r="AS3243" s="197"/>
      <c r="AT3243" s="197"/>
      <c r="AU3243" s="197"/>
      <c r="AV3243" s="197"/>
      <c r="AW3243" s="197"/>
    </row>
    <row r="3244" spans="28:49" s="196" customFormat="1">
      <c r="AB3244" s="201"/>
      <c r="AC3244" s="201"/>
      <c r="AD3244" s="197"/>
      <c r="AE3244" s="197"/>
      <c r="AF3244" s="197"/>
      <c r="AG3244" s="197"/>
      <c r="AH3244" s="197"/>
      <c r="AI3244" s="197"/>
      <c r="AJ3244" s="197"/>
      <c r="AK3244" s="197"/>
      <c r="AL3244" s="197"/>
      <c r="AM3244" s="197"/>
      <c r="AN3244" s="197"/>
      <c r="AO3244" s="197"/>
      <c r="AP3244" s="197"/>
      <c r="AQ3244" s="197"/>
      <c r="AR3244" s="197"/>
      <c r="AS3244" s="197"/>
      <c r="AT3244" s="197"/>
      <c r="AU3244" s="197"/>
      <c r="AV3244" s="197"/>
      <c r="AW3244" s="197"/>
    </row>
    <row r="3245" spans="28:49" s="196" customFormat="1">
      <c r="AB3245" s="201"/>
      <c r="AC3245" s="201"/>
      <c r="AD3245" s="197"/>
      <c r="AE3245" s="197"/>
      <c r="AF3245" s="197"/>
      <c r="AG3245" s="197"/>
      <c r="AH3245" s="197"/>
      <c r="AI3245" s="197"/>
      <c r="AJ3245" s="197"/>
      <c r="AK3245" s="197"/>
      <c r="AL3245" s="197"/>
      <c r="AM3245" s="197"/>
      <c r="AN3245" s="197"/>
      <c r="AO3245" s="197"/>
      <c r="AP3245" s="197"/>
      <c r="AQ3245" s="197"/>
      <c r="AR3245" s="197"/>
      <c r="AS3245" s="197"/>
      <c r="AT3245" s="197"/>
      <c r="AU3245" s="197"/>
      <c r="AV3245" s="197"/>
      <c r="AW3245" s="197"/>
    </row>
    <row r="3246" spans="28:49" s="196" customFormat="1">
      <c r="AB3246" s="201"/>
      <c r="AC3246" s="201"/>
      <c r="AD3246" s="197"/>
      <c r="AE3246" s="197"/>
      <c r="AF3246" s="197"/>
      <c r="AG3246" s="197"/>
      <c r="AH3246" s="197"/>
      <c r="AI3246" s="197"/>
      <c r="AJ3246" s="197"/>
      <c r="AK3246" s="197"/>
      <c r="AL3246" s="197"/>
      <c r="AM3246" s="197"/>
      <c r="AN3246" s="197"/>
      <c r="AO3246" s="197"/>
      <c r="AP3246" s="197"/>
      <c r="AQ3246" s="197"/>
      <c r="AR3246" s="197"/>
      <c r="AS3246" s="197"/>
      <c r="AT3246" s="197"/>
      <c r="AU3246" s="197"/>
      <c r="AV3246" s="197"/>
      <c r="AW3246" s="197"/>
    </row>
    <row r="3247" spans="28:49" s="196" customFormat="1">
      <c r="AB3247" s="201"/>
      <c r="AC3247" s="201"/>
      <c r="AD3247" s="197"/>
      <c r="AE3247" s="197"/>
      <c r="AF3247" s="197"/>
      <c r="AG3247" s="197"/>
      <c r="AH3247" s="197"/>
      <c r="AI3247" s="197"/>
      <c r="AJ3247" s="197"/>
      <c r="AK3247" s="197"/>
      <c r="AL3247" s="197"/>
      <c r="AM3247" s="197"/>
      <c r="AN3247" s="197"/>
      <c r="AO3247" s="197"/>
      <c r="AP3247" s="197"/>
      <c r="AQ3247" s="197"/>
      <c r="AR3247" s="197"/>
      <c r="AS3247" s="197"/>
      <c r="AT3247" s="197"/>
      <c r="AU3247" s="197"/>
      <c r="AV3247" s="197"/>
      <c r="AW3247" s="197"/>
    </row>
    <row r="3248" spans="28:49" s="196" customFormat="1">
      <c r="AB3248" s="201"/>
      <c r="AC3248" s="201"/>
      <c r="AD3248" s="197"/>
      <c r="AE3248" s="197"/>
      <c r="AF3248" s="197"/>
      <c r="AG3248" s="197"/>
      <c r="AH3248" s="197"/>
      <c r="AI3248" s="197"/>
      <c r="AJ3248" s="197"/>
      <c r="AK3248" s="197"/>
      <c r="AL3248" s="197"/>
      <c r="AM3248" s="197"/>
      <c r="AN3248" s="197"/>
      <c r="AO3248" s="197"/>
      <c r="AP3248" s="197"/>
      <c r="AQ3248" s="197"/>
      <c r="AR3248" s="197"/>
      <c r="AS3248" s="197"/>
      <c r="AT3248" s="197"/>
      <c r="AU3248" s="197"/>
      <c r="AV3248" s="197"/>
      <c r="AW3248" s="197"/>
    </row>
    <row r="3249" spans="28:49" s="196" customFormat="1">
      <c r="AB3249" s="201"/>
      <c r="AC3249" s="201"/>
      <c r="AD3249" s="197"/>
      <c r="AE3249" s="197"/>
      <c r="AF3249" s="197"/>
      <c r="AG3249" s="197"/>
      <c r="AH3249" s="197"/>
      <c r="AI3249" s="197"/>
      <c r="AJ3249" s="197"/>
      <c r="AK3249" s="197"/>
      <c r="AL3249" s="197"/>
      <c r="AM3249" s="197"/>
      <c r="AN3249" s="197"/>
      <c r="AO3249" s="197"/>
      <c r="AP3249" s="197"/>
      <c r="AQ3249" s="197"/>
      <c r="AR3249" s="197"/>
      <c r="AS3249" s="197"/>
      <c r="AT3249" s="197"/>
      <c r="AU3249" s="197"/>
      <c r="AV3249" s="197"/>
      <c r="AW3249" s="197"/>
    </row>
    <row r="3250" spans="28:49" s="196" customFormat="1">
      <c r="AB3250" s="201"/>
      <c r="AC3250" s="201"/>
      <c r="AD3250" s="197"/>
      <c r="AE3250" s="197"/>
      <c r="AF3250" s="197"/>
      <c r="AG3250" s="197"/>
      <c r="AH3250" s="197"/>
      <c r="AI3250" s="197"/>
      <c r="AJ3250" s="197"/>
      <c r="AK3250" s="197"/>
      <c r="AL3250" s="197"/>
      <c r="AM3250" s="197"/>
      <c r="AN3250" s="197"/>
      <c r="AO3250" s="197"/>
      <c r="AP3250" s="197"/>
      <c r="AQ3250" s="197"/>
      <c r="AR3250" s="197"/>
      <c r="AS3250" s="197"/>
      <c r="AT3250" s="197"/>
      <c r="AU3250" s="197"/>
      <c r="AV3250" s="197"/>
      <c r="AW3250" s="197"/>
    </row>
    <row r="3251" spans="28:49" s="196" customFormat="1">
      <c r="AB3251" s="201"/>
      <c r="AC3251" s="201"/>
      <c r="AD3251" s="197"/>
      <c r="AE3251" s="197"/>
      <c r="AF3251" s="197"/>
      <c r="AG3251" s="197"/>
      <c r="AH3251" s="197"/>
      <c r="AI3251" s="197"/>
      <c r="AJ3251" s="197"/>
      <c r="AK3251" s="197"/>
      <c r="AL3251" s="197"/>
      <c r="AM3251" s="197"/>
      <c r="AN3251" s="197"/>
      <c r="AO3251" s="197"/>
      <c r="AP3251" s="197"/>
      <c r="AQ3251" s="197"/>
      <c r="AR3251" s="197"/>
      <c r="AS3251" s="197"/>
      <c r="AT3251" s="197"/>
      <c r="AU3251" s="197"/>
      <c r="AV3251" s="197"/>
      <c r="AW3251" s="197"/>
    </row>
    <row r="3252" spans="28:49" s="196" customFormat="1">
      <c r="AB3252" s="201"/>
      <c r="AC3252" s="201"/>
      <c r="AD3252" s="197"/>
      <c r="AE3252" s="197"/>
      <c r="AF3252" s="197"/>
      <c r="AG3252" s="197"/>
      <c r="AH3252" s="197"/>
      <c r="AI3252" s="197"/>
      <c r="AJ3252" s="197"/>
      <c r="AK3252" s="197"/>
      <c r="AL3252" s="197"/>
      <c r="AM3252" s="197"/>
      <c r="AN3252" s="197"/>
      <c r="AO3252" s="197"/>
      <c r="AP3252" s="197"/>
      <c r="AQ3252" s="197"/>
      <c r="AR3252" s="197"/>
      <c r="AS3252" s="197"/>
      <c r="AT3252" s="197"/>
      <c r="AU3252" s="197"/>
      <c r="AV3252" s="197"/>
      <c r="AW3252" s="197"/>
    </row>
    <row r="3253" spans="28:49" s="196" customFormat="1">
      <c r="AB3253" s="201"/>
      <c r="AC3253" s="201"/>
      <c r="AD3253" s="197"/>
      <c r="AE3253" s="197"/>
      <c r="AF3253" s="197"/>
      <c r="AG3253" s="197"/>
      <c r="AH3253" s="197"/>
      <c r="AI3253" s="197"/>
      <c r="AJ3253" s="197"/>
      <c r="AK3253" s="197"/>
      <c r="AL3253" s="197"/>
      <c r="AM3253" s="197"/>
      <c r="AN3253" s="197"/>
      <c r="AO3253" s="197"/>
      <c r="AP3253" s="197"/>
      <c r="AQ3253" s="197"/>
      <c r="AR3253" s="197"/>
      <c r="AS3253" s="197"/>
      <c r="AT3253" s="197"/>
      <c r="AU3253" s="197"/>
      <c r="AV3253" s="197"/>
      <c r="AW3253" s="197"/>
    </row>
    <row r="3254" spans="28:49" s="196" customFormat="1">
      <c r="AB3254" s="201"/>
      <c r="AC3254" s="201"/>
      <c r="AD3254" s="197"/>
      <c r="AE3254" s="197"/>
      <c r="AF3254" s="197"/>
      <c r="AG3254" s="197"/>
      <c r="AH3254" s="197"/>
      <c r="AI3254" s="197"/>
      <c r="AJ3254" s="197"/>
      <c r="AK3254" s="197"/>
      <c r="AL3254" s="197"/>
      <c r="AM3254" s="197"/>
      <c r="AN3254" s="197"/>
      <c r="AO3254" s="197"/>
      <c r="AP3254" s="197"/>
      <c r="AQ3254" s="197"/>
      <c r="AR3254" s="197"/>
      <c r="AS3254" s="197"/>
      <c r="AT3254" s="197"/>
      <c r="AU3254" s="197"/>
      <c r="AV3254" s="197"/>
      <c r="AW3254" s="197"/>
    </row>
    <row r="3255" spans="28:49" s="196" customFormat="1">
      <c r="AB3255" s="201"/>
      <c r="AC3255" s="201"/>
      <c r="AD3255" s="197"/>
      <c r="AE3255" s="197"/>
      <c r="AF3255" s="197"/>
      <c r="AG3255" s="197"/>
      <c r="AH3255" s="197"/>
      <c r="AI3255" s="197"/>
      <c r="AJ3255" s="197"/>
      <c r="AK3255" s="197"/>
      <c r="AL3255" s="197"/>
      <c r="AM3255" s="197"/>
      <c r="AN3255" s="197"/>
      <c r="AO3255" s="197"/>
      <c r="AP3255" s="197"/>
      <c r="AQ3255" s="197"/>
      <c r="AR3255" s="197"/>
      <c r="AS3255" s="197"/>
      <c r="AT3255" s="197"/>
      <c r="AU3255" s="197"/>
      <c r="AV3255" s="197"/>
      <c r="AW3255" s="197"/>
    </row>
    <row r="3256" spans="28:49" s="196" customFormat="1">
      <c r="AB3256" s="201"/>
      <c r="AC3256" s="201"/>
      <c r="AD3256" s="197"/>
      <c r="AE3256" s="197"/>
      <c r="AF3256" s="197"/>
      <c r="AG3256" s="197"/>
      <c r="AH3256" s="197"/>
      <c r="AI3256" s="197"/>
      <c r="AJ3256" s="197"/>
      <c r="AK3256" s="197"/>
      <c r="AL3256" s="197"/>
      <c r="AM3256" s="197"/>
      <c r="AN3256" s="197"/>
      <c r="AO3256" s="197"/>
      <c r="AP3256" s="197"/>
      <c r="AQ3256" s="197"/>
      <c r="AR3256" s="197"/>
      <c r="AS3256" s="197"/>
      <c r="AT3256" s="197"/>
      <c r="AU3256" s="197"/>
      <c r="AV3256" s="197"/>
      <c r="AW3256" s="197"/>
    </row>
    <row r="3257" spans="28:49" s="196" customFormat="1">
      <c r="AB3257" s="201"/>
      <c r="AC3257" s="201"/>
      <c r="AD3257" s="197"/>
      <c r="AE3257" s="197"/>
      <c r="AF3257" s="197"/>
      <c r="AG3257" s="197"/>
      <c r="AH3257" s="197"/>
      <c r="AI3257" s="197"/>
      <c r="AJ3257" s="197"/>
      <c r="AK3257" s="197"/>
      <c r="AL3257" s="197"/>
      <c r="AM3257" s="197"/>
      <c r="AN3257" s="197"/>
      <c r="AO3257" s="197"/>
      <c r="AP3257" s="197"/>
      <c r="AQ3257" s="197"/>
      <c r="AR3257" s="197"/>
      <c r="AS3257" s="197"/>
      <c r="AT3257" s="197"/>
      <c r="AU3257" s="197"/>
      <c r="AV3257" s="197"/>
      <c r="AW3257" s="197"/>
    </row>
    <row r="3258" spans="28:49" s="196" customFormat="1">
      <c r="AB3258" s="201"/>
      <c r="AC3258" s="201"/>
      <c r="AD3258" s="197"/>
      <c r="AE3258" s="197"/>
      <c r="AF3258" s="197"/>
      <c r="AG3258" s="197"/>
      <c r="AH3258" s="197"/>
      <c r="AI3258" s="197"/>
      <c r="AJ3258" s="197"/>
      <c r="AK3258" s="197"/>
      <c r="AL3258" s="197"/>
      <c r="AM3258" s="197"/>
      <c r="AN3258" s="197"/>
      <c r="AO3258" s="197"/>
      <c r="AP3258" s="197"/>
      <c r="AQ3258" s="197"/>
      <c r="AR3258" s="197"/>
      <c r="AS3258" s="197"/>
      <c r="AT3258" s="197"/>
      <c r="AU3258" s="197"/>
      <c r="AV3258" s="197"/>
      <c r="AW3258" s="197"/>
    </row>
    <row r="3259" spans="28:49" s="196" customFormat="1">
      <c r="AB3259" s="201"/>
      <c r="AC3259" s="201"/>
      <c r="AD3259" s="197"/>
      <c r="AE3259" s="197"/>
      <c r="AF3259" s="197"/>
      <c r="AG3259" s="197"/>
      <c r="AH3259" s="197"/>
      <c r="AI3259" s="197"/>
      <c r="AJ3259" s="197"/>
      <c r="AK3259" s="197"/>
      <c r="AL3259" s="197"/>
      <c r="AM3259" s="197"/>
      <c r="AN3259" s="197"/>
      <c r="AO3259" s="197"/>
      <c r="AP3259" s="197"/>
      <c r="AQ3259" s="197"/>
      <c r="AR3259" s="197"/>
      <c r="AS3259" s="197"/>
      <c r="AT3259" s="197"/>
      <c r="AU3259" s="197"/>
      <c r="AV3259" s="197"/>
      <c r="AW3259" s="197"/>
    </row>
    <row r="3260" spans="28:49" s="196" customFormat="1">
      <c r="AB3260" s="201"/>
      <c r="AC3260" s="201"/>
      <c r="AD3260" s="197"/>
      <c r="AE3260" s="197"/>
      <c r="AF3260" s="197"/>
      <c r="AG3260" s="197"/>
      <c r="AH3260" s="197"/>
      <c r="AI3260" s="197"/>
      <c r="AJ3260" s="197"/>
      <c r="AK3260" s="197"/>
      <c r="AL3260" s="197"/>
      <c r="AM3260" s="197"/>
      <c r="AN3260" s="197"/>
      <c r="AO3260" s="197"/>
      <c r="AP3260" s="197"/>
      <c r="AQ3260" s="197"/>
      <c r="AR3260" s="197"/>
      <c r="AS3260" s="197"/>
      <c r="AT3260" s="197"/>
      <c r="AU3260" s="197"/>
      <c r="AV3260" s="197"/>
      <c r="AW3260" s="197"/>
    </row>
    <row r="3261" spans="28:49" s="196" customFormat="1">
      <c r="AB3261" s="201"/>
      <c r="AC3261" s="201"/>
      <c r="AD3261" s="197"/>
      <c r="AE3261" s="197"/>
      <c r="AF3261" s="197"/>
      <c r="AG3261" s="197"/>
      <c r="AH3261" s="197"/>
      <c r="AI3261" s="197"/>
      <c r="AJ3261" s="197"/>
      <c r="AK3261" s="197"/>
      <c r="AL3261" s="197"/>
      <c r="AM3261" s="197"/>
      <c r="AN3261" s="197"/>
      <c r="AO3261" s="197"/>
      <c r="AP3261" s="197"/>
      <c r="AQ3261" s="197"/>
      <c r="AR3261" s="197"/>
      <c r="AS3261" s="197"/>
      <c r="AT3261" s="197"/>
      <c r="AU3261" s="197"/>
      <c r="AV3261" s="197"/>
      <c r="AW3261" s="197"/>
    </row>
    <row r="3262" spans="28:49" s="196" customFormat="1">
      <c r="AB3262" s="201"/>
      <c r="AC3262" s="201"/>
      <c r="AD3262" s="197"/>
      <c r="AE3262" s="197"/>
      <c r="AF3262" s="197"/>
      <c r="AG3262" s="197"/>
      <c r="AH3262" s="197"/>
      <c r="AI3262" s="197"/>
      <c r="AJ3262" s="197"/>
      <c r="AK3262" s="197"/>
      <c r="AL3262" s="197"/>
      <c r="AM3262" s="197"/>
      <c r="AN3262" s="197"/>
      <c r="AO3262" s="197"/>
      <c r="AP3262" s="197"/>
      <c r="AQ3262" s="197"/>
      <c r="AR3262" s="197"/>
      <c r="AS3262" s="197"/>
      <c r="AT3262" s="197"/>
      <c r="AU3262" s="197"/>
      <c r="AV3262" s="197"/>
      <c r="AW3262" s="197"/>
    </row>
    <row r="3263" spans="28:49" s="196" customFormat="1">
      <c r="AB3263" s="201"/>
      <c r="AC3263" s="201"/>
      <c r="AD3263" s="197"/>
      <c r="AE3263" s="197"/>
      <c r="AF3263" s="197"/>
      <c r="AG3263" s="197"/>
      <c r="AH3263" s="197"/>
      <c r="AI3263" s="197"/>
      <c r="AJ3263" s="197"/>
      <c r="AK3263" s="197"/>
      <c r="AL3263" s="197"/>
      <c r="AM3263" s="197"/>
      <c r="AN3263" s="197"/>
      <c r="AO3263" s="197"/>
      <c r="AP3263" s="197"/>
      <c r="AQ3263" s="197"/>
      <c r="AR3263" s="197"/>
      <c r="AS3263" s="197"/>
      <c r="AT3263" s="197"/>
      <c r="AU3263" s="197"/>
      <c r="AV3263" s="197"/>
      <c r="AW3263" s="197"/>
    </row>
    <row r="3264" spans="28:49" s="196" customFormat="1">
      <c r="AB3264" s="201"/>
      <c r="AC3264" s="201"/>
      <c r="AD3264" s="197"/>
      <c r="AE3264" s="197"/>
      <c r="AF3264" s="197"/>
      <c r="AG3264" s="197"/>
      <c r="AH3264" s="197"/>
      <c r="AI3264" s="197"/>
      <c r="AJ3264" s="197"/>
      <c r="AK3264" s="197"/>
      <c r="AL3264" s="197"/>
      <c r="AM3264" s="197"/>
      <c r="AN3264" s="197"/>
      <c r="AO3264" s="197"/>
      <c r="AP3264" s="197"/>
      <c r="AQ3264" s="197"/>
      <c r="AR3264" s="197"/>
      <c r="AS3264" s="197"/>
      <c r="AT3264" s="197"/>
      <c r="AU3264" s="197"/>
      <c r="AV3264" s="197"/>
      <c r="AW3264" s="197"/>
    </row>
    <row r="3265" spans="28:49" s="196" customFormat="1">
      <c r="AB3265" s="201"/>
      <c r="AC3265" s="201"/>
      <c r="AD3265" s="197"/>
      <c r="AE3265" s="197"/>
      <c r="AF3265" s="197"/>
      <c r="AG3265" s="197"/>
      <c r="AH3265" s="197"/>
      <c r="AI3265" s="197"/>
      <c r="AJ3265" s="197"/>
      <c r="AK3265" s="197"/>
      <c r="AL3265" s="197"/>
      <c r="AM3265" s="197"/>
      <c r="AN3265" s="197"/>
      <c r="AO3265" s="197"/>
      <c r="AP3265" s="197"/>
      <c r="AQ3265" s="197"/>
      <c r="AR3265" s="197"/>
      <c r="AS3265" s="197"/>
      <c r="AT3265" s="197"/>
      <c r="AU3265" s="197"/>
      <c r="AV3265" s="197"/>
      <c r="AW3265" s="197"/>
    </row>
    <row r="3266" spans="28:49" s="196" customFormat="1">
      <c r="AB3266" s="201"/>
      <c r="AC3266" s="201"/>
      <c r="AD3266" s="197"/>
      <c r="AE3266" s="197"/>
      <c r="AF3266" s="197"/>
      <c r="AG3266" s="197"/>
      <c r="AH3266" s="197"/>
      <c r="AI3266" s="197"/>
      <c r="AJ3266" s="197"/>
      <c r="AK3266" s="197"/>
      <c r="AL3266" s="197"/>
      <c r="AM3266" s="197"/>
      <c r="AN3266" s="197"/>
      <c r="AO3266" s="197"/>
      <c r="AP3266" s="197"/>
      <c r="AQ3266" s="197"/>
      <c r="AR3266" s="197"/>
      <c r="AS3266" s="197"/>
      <c r="AT3266" s="197"/>
      <c r="AU3266" s="197"/>
      <c r="AV3266" s="197"/>
      <c r="AW3266" s="197"/>
    </row>
    <row r="3267" spans="28:49" s="196" customFormat="1">
      <c r="AB3267" s="201"/>
      <c r="AC3267" s="201"/>
      <c r="AD3267" s="197"/>
      <c r="AE3267" s="197"/>
      <c r="AF3267" s="197"/>
      <c r="AG3267" s="197"/>
      <c r="AH3267" s="197"/>
      <c r="AI3267" s="197"/>
      <c r="AJ3267" s="197"/>
      <c r="AK3267" s="197"/>
      <c r="AL3267" s="197"/>
      <c r="AM3267" s="197"/>
      <c r="AN3267" s="197"/>
      <c r="AO3267" s="197"/>
      <c r="AP3267" s="197"/>
      <c r="AQ3267" s="197"/>
      <c r="AR3267" s="197"/>
      <c r="AS3267" s="197"/>
      <c r="AT3267" s="197"/>
      <c r="AU3267" s="197"/>
      <c r="AV3267" s="197"/>
      <c r="AW3267" s="197"/>
    </row>
    <row r="3268" spans="28:49" s="196" customFormat="1">
      <c r="AB3268" s="201"/>
      <c r="AC3268" s="201"/>
      <c r="AD3268" s="197"/>
      <c r="AE3268" s="197"/>
      <c r="AF3268" s="197"/>
      <c r="AG3268" s="197"/>
      <c r="AH3268" s="197"/>
      <c r="AI3268" s="197"/>
      <c r="AJ3268" s="197"/>
      <c r="AK3268" s="197"/>
      <c r="AL3268" s="197"/>
      <c r="AM3268" s="197"/>
      <c r="AN3268" s="197"/>
      <c r="AO3268" s="197"/>
      <c r="AP3268" s="197"/>
      <c r="AQ3268" s="197"/>
      <c r="AR3268" s="197"/>
      <c r="AS3268" s="197"/>
      <c r="AT3268" s="197"/>
      <c r="AU3268" s="197"/>
      <c r="AV3268" s="197"/>
      <c r="AW3268" s="197"/>
    </row>
    <row r="3269" spans="28:49" s="196" customFormat="1">
      <c r="AB3269" s="201"/>
      <c r="AC3269" s="201"/>
      <c r="AD3269" s="197"/>
      <c r="AE3269" s="197"/>
      <c r="AF3269" s="197"/>
      <c r="AG3269" s="197"/>
      <c r="AH3269" s="197"/>
      <c r="AI3269" s="197"/>
      <c r="AJ3269" s="197"/>
      <c r="AK3269" s="197"/>
      <c r="AL3269" s="197"/>
      <c r="AM3269" s="197"/>
      <c r="AN3269" s="197"/>
      <c r="AO3269" s="197"/>
      <c r="AP3269" s="197"/>
      <c r="AQ3269" s="197"/>
      <c r="AR3269" s="197"/>
      <c r="AS3269" s="197"/>
      <c r="AT3269" s="197"/>
      <c r="AU3269" s="197"/>
      <c r="AV3269" s="197"/>
      <c r="AW3269" s="197"/>
    </row>
    <row r="3270" spans="28:49" s="196" customFormat="1">
      <c r="AB3270" s="201"/>
      <c r="AC3270" s="201"/>
      <c r="AD3270" s="197"/>
      <c r="AE3270" s="197"/>
      <c r="AF3270" s="197"/>
      <c r="AG3270" s="197"/>
      <c r="AH3270" s="197"/>
      <c r="AI3270" s="197"/>
      <c r="AJ3270" s="197"/>
      <c r="AK3270" s="197"/>
      <c r="AL3270" s="197"/>
      <c r="AM3270" s="197"/>
      <c r="AN3270" s="197"/>
      <c r="AO3270" s="197"/>
      <c r="AP3270" s="197"/>
      <c r="AQ3270" s="197"/>
      <c r="AR3270" s="197"/>
      <c r="AS3270" s="197"/>
      <c r="AT3270" s="197"/>
      <c r="AU3270" s="197"/>
      <c r="AV3270" s="197"/>
      <c r="AW3270" s="197"/>
    </row>
    <row r="3271" spans="28:49" s="196" customFormat="1">
      <c r="AB3271" s="201"/>
      <c r="AC3271" s="201"/>
      <c r="AD3271" s="197"/>
      <c r="AE3271" s="197"/>
      <c r="AF3271" s="197"/>
      <c r="AG3271" s="197"/>
      <c r="AH3271" s="197"/>
      <c r="AI3271" s="197"/>
      <c r="AJ3271" s="197"/>
      <c r="AK3271" s="197"/>
      <c r="AL3271" s="197"/>
      <c r="AM3271" s="197"/>
      <c r="AN3271" s="197"/>
      <c r="AO3271" s="197"/>
      <c r="AP3271" s="197"/>
      <c r="AQ3271" s="197"/>
      <c r="AR3271" s="197"/>
      <c r="AS3271" s="197"/>
      <c r="AT3271" s="197"/>
      <c r="AU3271" s="197"/>
      <c r="AV3271" s="197"/>
      <c r="AW3271" s="197"/>
    </row>
    <row r="3272" spans="28:49" s="196" customFormat="1">
      <c r="AB3272" s="201"/>
      <c r="AC3272" s="201"/>
      <c r="AD3272" s="197"/>
      <c r="AE3272" s="197"/>
      <c r="AF3272" s="197"/>
      <c r="AG3272" s="197"/>
      <c r="AH3272" s="197"/>
      <c r="AI3272" s="197"/>
      <c r="AJ3272" s="197"/>
      <c r="AK3272" s="197"/>
      <c r="AL3272" s="197"/>
      <c r="AM3272" s="197"/>
      <c r="AN3272" s="197"/>
      <c r="AO3272" s="197"/>
      <c r="AP3272" s="197"/>
      <c r="AQ3272" s="197"/>
      <c r="AR3272" s="197"/>
      <c r="AS3272" s="197"/>
      <c r="AT3272" s="197"/>
      <c r="AU3272" s="197"/>
      <c r="AV3272" s="197"/>
      <c r="AW3272" s="197"/>
    </row>
    <row r="3273" spans="28:49" s="196" customFormat="1">
      <c r="AB3273" s="201"/>
      <c r="AC3273" s="201"/>
      <c r="AD3273" s="197"/>
      <c r="AE3273" s="197"/>
      <c r="AF3273" s="197"/>
      <c r="AG3273" s="197"/>
      <c r="AH3273" s="197"/>
      <c r="AI3273" s="197"/>
      <c r="AJ3273" s="197"/>
      <c r="AK3273" s="197"/>
      <c r="AL3273" s="197"/>
      <c r="AM3273" s="197"/>
      <c r="AN3273" s="197"/>
      <c r="AO3273" s="197"/>
      <c r="AP3273" s="197"/>
      <c r="AQ3273" s="197"/>
      <c r="AR3273" s="197"/>
      <c r="AS3273" s="197"/>
      <c r="AT3273" s="197"/>
      <c r="AU3273" s="197"/>
      <c r="AV3273" s="197"/>
      <c r="AW3273" s="197"/>
    </row>
    <row r="3274" spans="28:49" s="196" customFormat="1">
      <c r="AB3274" s="201"/>
      <c r="AC3274" s="201"/>
      <c r="AD3274" s="197"/>
      <c r="AE3274" s="197"/>
      <c r="AF3274" s="197"/>
      <c r="AG3274" s="197"/>
      <c r="AH3274" s="197"/>
      <c r="AI3274" s="197"/>
      <c r="AJ3274" s="197"/>
      <c r="AK3274" s="197"/>
      <c r="AL3274" s="197"/>
      <c r="AM3274" s="197"/>
      <c r="AN3274" s="197"/>
      <c r="AO3274" s="197"/>
      <c r="AP3274" s="197"/>
      <c r="AQ3274" s="197"/>
      <c r="AR3274" s="197"/>
      <c r="AS3274" s="197"/>
      <c r="AT3274" s="197"/>
      <c r="AU3274" s="197"/>
      <c r="AV3274" s="197"/>
      <c r="AW3274" s="197"/>
    </row>
    <row r="3275" spans="28:49" s="196" customFormat="1">
      <c r="AB3275" s="201"/>
      <c r="AC3275" s="201"/>
      <c r="AD3275" s="197"/>
      <c r="AE3275" s="197"/>
      <c r="AF3275" s="197"/>
      <c r="AG3275" s="197"/>
      <c r="AH3275" s="197"/>
      <c r="AI3275" s="197"/>
      <c r="AJ3275" s="197"/>
      <c r="AK3275" s="197"/>
      <c r="AL3275" s="197"/>
      <c r="AM3275" s="197"/>
      <c r="AN3275" s="197"/>
      <c r="AO3275" s="197"/>
      <c r="AP3275" s="197"/>
      <c r="AQ3275" s="197"/>
      <c r="AR3275" s="197"/>
      <c r="AS3275" s="197"/>
      <c r="AT3275" s="197"/>
      <c r="AU3275" s="197"/>
      <c r="AV3275" s="197"/>
      <c r="AW3275" s="197"/>
    </row>
    <row r="3276" spans="28:49" s="196" customFormat="1">
      <c r="AB3276" s="201"/>
      <c r="AC3276" s="201"/>
      <c r="AD3276" s="197"/>
      <c r="AE3276" s="197"/>
      <c r="AF3276" s="197"/>
      <c r="AG3276" s="197"/>
      <c r="AH3276" s="197"/>
      <c r="AI3276" s="197"/>
      <c r="AJ3276" s="197"/>
      <c r="AK3276" s="197"/>
      <c r="AL3276" s="197"/>
      <c r="AM3276" s="197"/>
      <c r="AN3276" s="197"/>
      <c r="AO3276" s="197"/>
      <c r="AP3276" s="197"/>
      <c r="AQ3276" s="197"/>
      <c r="AR3276" s="197"/>
      <c r="AS3276" s="197"/>
      <c r="AT3276" s="197"/>
      <c r="AU3276" s="197"/>
      <c r="AV3276" s="197"/>
      <c r="AW3276" s="197"/>
    </row>
    <row r="3277" spans="28:49" s="196" customFormat="1">
      <c r="AB3277" s="201"/>
      <c r="AC3277" s="201"/>
      <c r="AD3277" s="197"/>
      <c r="AE3277" s="197"/>
      <c r="AF3277" s="197"/>
      <c r="AG3277" s="197"/>
      <c r="AH3277" s="197"/>
      <c r="AI3277" s="197"/>
      <c r="AJ3277" s="197"/>
      <c r="AK3277" s="197"/>
      <c r="AL3277" s="197"/>
      <c r="AM3277" s="197"/>
      <c r="AN3277" s="197"/>
      <c r="AO3277" s="197"/>
      <c r="AP3277" s="197"/>
      <c r="AQ3277" s="197"/>
      <c r="AR3277" s="197"/>
      <c r="AS3277" s="197"/>
      <c r="AT3277" s="197"/>
      <c r="AU3277" s="197"/>
      <c r="AV3277" s="197"/>
      <c r="AW3277" s="197"/>
    </row>
    <row r="3278" spans="28:49" s="196" customFormat="1">
      <c r="AB3278" s="201"/>
      <c r="AC3278" s="201"/>
      <c r="AD3278" s="197"/>
      <c r="AE3278" s="197"/>
      <c r="AF3278" s="197"/>
      <c r="AG3278" s="197"/>
      <c r="AH3278" s="197"/>
      <c r="AI3278" s="197"/>
      <c r="AJ3278" s="197"/>
      <c r="AK3278" s="197"/>
      <c r="AL3278" s="197"/>
      <c r="AM3278" s="197"/>
      <c r="AN3278" s="197"/>
      <c r="AO3278" s="197"/>
      <c r="AP3278" s="197"/>
      <c r="AQ3278" s="197"/>
      <c r="AR3278" s="197"/>
      <c r="AS3278" s="197"/>
      <c r="AT3278" s="197"/>
      <c r="AU3278" s="197"/>
      <c r="AV3278" s="197"/>
      <c r="AW3278" s="197"/>
    </row>
    <row r="3279" spans="28:49" s="196" customFormat="1">
      <c r="AB3279" s="201"/>
      <c r="AC3279" s="201"/>
      <c r="AD3279" s="197"/>
      <c r="AE3279" s="197"/>
      <c r="AF3279" s="197"/>
      <c r="AG3279" s="197"/>
      <c r="AH3279" s="197"/>
      <c r="AI3279" s="197"/>
      <c r="AJ3279" s="197"/>
      <c r="AK3279" s="197"/>
      <c r="AL3279" s="197"/>
      <c r="AM3279" s="197"/>
      <c r="AN3279" s="197"/>
      <c r="AO3279" s="197"/>
      <c r="AP3279" s="197"/>
      <c r="AQ3279" s="197"/>
      <c r="AR3279" s="197"/>
      <c r="AS3279" s="197"/>
      <c r="AT3279" s="197"/>
      <c r="AU3279" s="197"/>
      <c r="AV3279" s="197"/>
      <c r="AW3279" s="197"/>
    </row>
    <row r="3280" spans="28:49" s="196" customFormat="1">
      <c r="AB3280" s="201"/>
      <c r="AC3280" s="201"/>
      <c r="AD3280" s="197"/>
      <c r="AE3280" s="197"/>
      <c r="AF3280" s="197"/>
      <c r="AG3280" s="197"/>
      <c r="AH3280" s="197"/>
      <c r="AI3280" s="197"/>
      <c r="AJ3280" s="197"/>
      <c r="AK3280" s="197"/>
      <c r="AL3280" s="197"/>
      <c r="AM3280" s="197"/>
      <c r="AN3280" s="197"/>
      <c r="AO3280" s="197"/>
      <c r="AP3280" s="197"/>
      <c r="AQ3280" s="197"/>
      <c r="AR3280" s="197"/>
      <c r="AS3280" s="197"/>
      <c r="AT3280" s="197"/>
      <c r="AU3280" s="197"/>
      <c r="AV3280" s="197"/>
      <c r="AW3280" s="197"/>
    </row>
    <row r="3281" spans="28:49" s="196" customFormat="1">
      <c r="AB3281" s="201"/>
      <c r="AC3281" s="201"/>
      <c r="AD3281" s="197"/>
      <c r="AE3281" s="197"/>
      <c r="AF3281" s="197"/>
      <c r="AG3281" s="197"/>
      <c r="AH3281" s="197"/>
      <c r="AI3281" s="197"/>
      <c r="AJ3281" s="197"/>
      <c r="AK3281" s="197"/>
      <c r="AL3281" s="197"/>
      <c r="AM3281" s="197"/>
      <c r="AN3281" s="197"/>
      <c r="AO3281" s="197"/>
      <c r="AP3281" s="197"/>
      <c r="AQ3281" s="197"/>
      <c r="AR3281" s="197"/>
      <c r="AS3281" s="197"/>
      <c r="AT3281" s="197"/>
      <c r="AU3281" s="197"/>
      <c r="AV3281" s="197"/>
      <c r="AW3281" s="197"/>
    </row>
    <row r="3282" spans="28:49" s="196" customFormat="1">
      <c r="AB3282" s="201"/>
      <c r="AC3282" s="201"/>
      <c r="AD3282" s="197"/>
      <c r="AE3282" s="197"/>
      <c r="AF3282" s="197"/>
      <c r="AG3282" s="197"/>
      <c r="AH3282" s="197"/>
      <c r="AI3282" s="197"/>
      <c r="AJ3282" s="197"/>
      <c r="AK3282" s="197"/>
      <c r="AL3282" s="197"/>
      <c r="AM3282" s="197"/>
      <c r="AN3282" s="197"/>
      <c r="AO3282" s="197"/>
      <c r="AP3282" s="197"/>
      <c r="AQ3282" s="197"/>
      <c r="AR3282" s="197"/>
      <c r="AS3282" s="197"/>
      <c r="AT3282" s="197"/>
      <c r="AU3282" s="197"/>
      <c r="AV3282" s="197"/>
      <c r="AW3282" s="197"/>
    </row>
    <row r="3283" spans="28:49" s="196" customFormat="1">
      <c r="AB3283" s="201"/>
      <c r="AC3283" s="201"/>
      <c r="AD3283" s="197"/>
      <c r="AE3283" s="197"/>
      <c r="AF3283" s="197"/>
      <c r="AG3283" s="197"/>
      <c r="AH3283" s="197"/>
      <c r="AI3283" s="197"/>
      <c r="AJ3283" s="197"/>
      <c r="AK3283" s="197"/>
      <c r="AL3283" s="197"/>
      <c r="AM3283" s="197"/>
      <c r="AN3283" s="197"/>
      <c r="AO3283" s="197"/>
      <c r="AP3283" s="197"/>
      <c r="AQ3283" s="197"/>
      <c r="AR3283" s="197"/>
      <c r="AS3283" s="197"/>
      <c r="AT3283" s="197"/>
      <c r="AU3283" s="197"/>
      <c r="AV3283" s="197"/>
      <c r="AW3283" s="197"/>
    </row>
    <row r="3284" spans="28:49" s="196" customFormat="1">
      <c r="AB3284" s="201"/>
      <c r="AC3284" s="201"/>
      <c r="AD3284" s="197"/>
      <c r="AE3284" s="197"/>
      <c r="AF3284" s="197"/>
      <c r="AG3284" s="197"/>
      <c r="AH3284" s="197"/>
      <c r="AI3284" s="197"/>
      <c r="AJ3284" s="197"/>
      <c r="AK3284" s="197"/>
      <c r="AL3284" s="197"/>
      <c r="AM3284" s="197"/>
      <c r="AN3284" s="197"/>
      <c r="AO3284" s="197"/>
      <c r="AP3284" s="197"/>
      <c r="AQ3284" s="197"/>
      <c r="AR3284" s="197"/>
      <c r="AS3284" s="197"/>
      <c r="AT3284" s="197"/>
      <c r="AU3284" s="197"/>
      <c r="AV3284" s="197"/>
      <c r="AW3284" s="197"/>
    </row>
    <row r="3285" spans="28:49" s="196" customFormat="1">
      <c r="AB3285" s="201"/>
      <c r="AC3285" s="201"/>
      <c r="AD3285" s="197"/>
      <c r="AE3285" s="197"/>
      <c r="AF3285" s="197"/>
      <c r="AG3285" s="197"/>
      <c r="AH3285" s="197"/>
      <c r="AI3285" s="197"/>
      <c r="AJ3285" s="197"/>
      <c r="AK3285" s="197"/>
      <c r="AL3285" s="197"/>
      <c r="AM3285" s="197"/>
      <c r="AN3285" s="197"/>
      <c r="AO3285" s="197"/>
      <c r="AP3285" s="197"/>
      <c r="AQ3285" s="197"/>
      <c r="AR3285" s="197"/>
      <c r="AS3285" s="197"/>
      <c r="AT3285" s="197"/>
      <c r="AU3285" s="197"/>
      <c r="AV3285" s="197"/>
      <c r="AW3285" s="197"/>
    </row>
    <row r="3286" spans="28:49" s="196" customFormat="1">
      <c r="AB3286" s="201"/>
      <c r="AC3286" s="201"/>
      <c r="AD3286" s="197"/>
      <c r="AE3286" s="197"/>
      <c r="AF3286" s="197"/>
      <c r="AG3286" s="197"/>
      <c r="AH3286" s="197"/>
      <c r="AI3286" s="197"/>
      <c r="AJ3286" s="197"/>
      <c r="AK3286" s="197"/>
      <c r="AL3286" s="197"/>
      <c r="AM3286" s="197"/>
      <c r="AN3286" s="197"/>
      <c r="AO3286" s="197"/>
      <c r="AP3286" s="197"/>
      <c r="AQ3286" s="197"/>
      <c r="AR3286" s="197"/>
      <c r="AS3286" s="197"/>
      <c r="AT3286" s="197"/>
      <c r="AU3286" s="197"/>
      <c r="AV3286" s="197"/>
      <c r="AW3286" s="197"/>
    </row>
    <row r="3287" spans="28:49" s="196" customFormat="1">
      <c r="AB3287" s="201"/>
      <c r="AC3287" s="201"/>
      <c r="AD3287" s="197"/>
      <c r="AE3287" s="197"/>
      <c r="AF3287" s="197"/>
      <c r="AG3287" s="197"/>
      <c r="AH3287" s="197"/>
      <c r="AI3287" s="197"/>
      <c r="AJ3287" s="197"/>
      <c r="AK3287" s="197"/>
      <c r="AL3287" s="197"/>
      <c r="AM3287" s="197"/>
      <c r="AN3287" s="197"/>
      <c r="AO3287" s="197"/>
      <c r="AP3287" s="197"/>
      <c r="AQ3287" s="197"/>
      <c r="AR3287" s="197"/>
      <c r="AS3287" s="197"/>
      <c r="AT3287" s="197"/>
      <c r="AU3287" s="197"/>
      <c r="AV3287" s="197"/>
      <c r="AW3287" s="197"/>
    </row>
    <row r="3288" spans="28:49" s="196" customFormat="1">
      <c r="AB3288" s="201"/>
      <c r="AC3288" s="201"/>
      <c r="AD3288" s="197"/>
      <c r="AE3288" s="197"/>
      <c r="AF3288" s="197"/>
      <c r="AG3288" s="197"/>
      <c r="AH3288" s="197"/>
      <c r="AI3288" s="197"/>
      <c r="AJ3288" s="197"/>
      <c r="AK3288" s="197"/>
      <c r="AL3288" s="197"/>
      <c r="AM3288" s="197"/>
      <c r="AN3288" s="197"/>
      <c r="AO3288" s="197"/>
      <c r="AP3288" s="197"/>
      <c r="AQ3288" s="197"/>
      <c r="AR3288" s="197"/>
      <c r="AS3288" s="197"/>
      <c r="AT3288" s="197"/>
      <c r="AU3288" s="197"/>
      <c r="AV3288" s="197"/>
      <c r="AW3288" s="197"/>
    </row>
    <row r="3289" spans="28:49" s="196" customFormat="1">
      <c r="AB3289" s="201"/>
      <c r="AC3289" s="201"/>
      <c r="AD3289" s="197"/>
      <c r="AE3289" s="197"/>
      <c r="AF3289" s="197"/>
      <c r="AG3289" s="197"/>
      <c r="AH3289" s="197"/>
      <c r="AI3289" s="197"/>
      <c r="AJ3289" s="197"/>
      <c r="AK3289" s="197"/>
      <c r="AL3289" s="197"/>
      <c r="AM3289" s="197"/>
      <c r="AN3289" s="197"/>
      <c r="AO3289" s="197"/>
      <c r="AP3289" s="197"/>
      <c r="AQ3289" s="197"/>
      <c r="AR3289" s="197"/>
      <c r="AS3289" s="197"/>
      <c r="AT3289" s="197"/>
      <c r="AU3289" s="197"/>
      <c r="AV3289" s="197"/>
      <c r="AW3289" s="197"/>
    </row>
    <row r="3290" spans="28:49" s="196" customFormat="1">
      <c r="AB3290" s="201"/>
      <c r="AC3290" s="201"/>
      <c r="AD3290" s="197"/>
      <c r="AE3290" s="197"/>
      <c r="AF3290" s="197"/>
      <c r="AG3290" s="197"/>
      <c r="AH3290" s="197"/>
      <c r="AI3290" s="197"/>
      <c r="AJ3290" s="197"/>
      <c r="AK3290" s="197"/>
      <c r="AL3290" s="197"/>
      <c r="AM3290" s="197"/>
      <c r="AN3290" s="197"/>
      <c r="AO3290" s="197"/>
      <c r="AP3290" s="197"/>
      <c r="AQ3290" s="197"/>
      <c r="AR3290" s="197"/>
      <c r="AS3290" s="197"/>
      <c r="AT3290" s="197"/>
      <c r="AU3290" s="197"/>
      <c r="AV3290" s="197"/>
      <c r="AW3290" s="197"/>
    </row>
    <row r="3291" spans="28:49" s="196" customFormat="1">
      <c r="AB3291" s="201"/>
      <c r="AC3291" s="201"/>
      <c r="AD3291" s="197"/>
      <c r="AE3291" s="197"/>
      <c r="AF3291" s="197"/>
      <c r="AG3291" s="197"/>
      <c r="AH3291" s="197"/>
      <c r="AI3291" s="197"/>
      <c r="AJ3291" s="197"/>
      <c r="AK3291" s="197"/>
      <c r="AL3291" s="197"/>
      <c r="AM3291" s="197"/>
      <c r="AN3291" s="197"/>
      <c r="AO3291" s="197"/>
      <c r="AP3291" s="197"/>
      <c r="AQ3291" s="197"/>
      <c r="AR3291" s="197"/>
      <c r="AS3291" s="197"/>
      <c r="AT3291" s="197"/>
      <c r="AU3291" s="197"/>
      <c r="AV3291" s="197"/>
      <c r="AW3291" s="197"/>
    </row>
    <row r="3292" spans="28:49" s="196" customFormat="1">
      <c r="AB3292" s="201"/>
      <c r="AC3292" s="201"/>
      <c r="AD3292" s="197"/>
      <c r="AE3292" s="197"/>
      <c r="AF3292" s="197"/>
      <c r="AG3292" s="197"/>
      <c r="AH3292" s="197"/>
      <c r="AI3292" s="197"/>
      <c r="AJ3292" s="197"/>
      <c r="AK3292" s="197"/>
      <c r="AL3292" s="197"/>
      <c r="AM3292" s="197"/>
      <c r="AN3292" s="197"/>
      <c r="AO3292" s="197"/>
      <c r="AP3292" s="197"/>
      <c r="AQ3292" s="197"/>
      <c r="AR3292" s="197"/>
      <c r="AS3292" s="197"/>
      <c r="AT3292" s="197"/>
      <c r="AU3292" s="197"/>
      <c r="AV3292" s="197"/>
      <c r="AW3292" s="197"/>
    </row>
    <row r="3293" spans="28:49" s="196" customFormat="1">
      <c r="AB3293" s="201"/>
      <c r="AC3293" s="201"/>
      <c r="AD3293" s="197"/>
      <c r="AE3293" s="197"/>
      <c r="AF3293" s="197"/>
      <c r="AG3293" s="197"/>
      <c r="AH3293" s="197"/>
      <c r="AI3293" s="197"/>
      <c r="AJ3293" s="197"/>
      <c r="AK3293" s="197"/>
      <c r="AL3293" s="197"/>
      <c r="AM3293" s="197"/>
      <c r="AN3293" s="197"/>
      <c r="AO3293" s="197"/>
      <c r="AP3293" s="197"/>
      <c r="AQ3293" s="197"/>
      <c r="AR3293" s="197"/>
      <c r="AS3293" s="197"/>
      <c r="AT3293" s="197"/>
      <c r="AU3293" s="197"/>
      <c r="AV3293" s="197"/>
      <c r="AW3293" s="197"/>
    </row>
    <row r="3294" spans="28:49" s="196" customFormat="1">
      <c r="AB3294" s="201"/>
      <c r="AC3294" s="201"/>
      <c r="AD3294" s="197"/>
      <c r="AE3294" s="197"/>
      <c r="AF3294" s="197"/>
      <c r="AG3294" s="197"/>
      <c r="AH3294" s="197"/>
      <c r="AI3294" s="197"/>
      <c r="AJ3294" s="197"/>
      <c r="AK3294" s="197"/>
      <c r="AL3294" s="197"/>
      <c r="AM3294" s="197"/>
      <c r="AN3294" s="197"/>
      <c r="AO3294" s="197"/>
      <c r="AP3294" s="197"/>
      <c r="AQ3294" s="197"/>
      <c r="AR3294" s="197"/>
      <c r="AS3294" s="197"/>
      <c r="AT3294" s="197"/>
      <c r="AU3294" s="197"/>
      <c r="AV3294" s="197"/>
      <c r="AW3294" s="197"/>
    </row>
    <row r="3295" spans="28:49" s="196" customFormat="1">
      <c r="AB3295" s="201"/>
      <c r="AC3295" s="201"/>
      <c r="AD3295" s="197"/>
      <c r="AE3295" s="197"/>
      <c r="AF3295" s="197"/>
      <c r="AG3295" s="197"/>
      <c r="AH3295" s="197"/>
      <c r="AI3295" s="197"/>
      <c r="AJ3295" s="197"/>
      <c r="AK3295" s="197"/>
      <c r="AL3295" s="197"/>
      <c r="AM3295" s="197"/>
      <c r="AN3295" s="197"/>
      <c r="AO3295" s="197"/>
      <c r="AP3295" s="197"/>
      <c r="AQ3295" s="197"/>
      <c r="AR3295" s="197"/>
      <c r="AS3295" s="197"/>
      <c r="AT3295" s="197"/>
      <c r="AU3295" s="197"/>
      <c r="AV3295" s="197"/>
      <c r="AW3295" s="197"/>
    </row>
    <row r="3296" spans="28:49" s="196" customFormat="1">
      <c r="AB3296" s="201"/>
      <c r="AC3296" s="201"/>
      <c r="AD3296" s="197"/>
      <c r="AE3296" s="197"/>
      <c r="AF3296" s="197"/>
      <c r="AG3296" s="197"/>
      <c r="AH3296" s="197"/>
      <c r="AI3296" s="197"/>
      <c r="AJ3296" s="197"/>
      <c r="AK3296" s="197"/>
      <c r="AL3296" s="197"/>
      <c r="AM3296" s="197"/>
      <c r="AN3296" s="197"/>
      <c r="AO3296" s="197"/>
      <c r="AP3296" s="197"/>
      <c r="AQ3296" s="197"/>
      <c r="AR3296" s="197"/>
      <c r="AS3296" s="197"/>
      <c r="AT3296" s="197"/>
      <c r="AU3296" s="197"/>
      <c r="AV3296" s="197"/>
      <c r="AW3296" s="197"/>
    </row>
    <row r="3297" spans="28:49" s="196" customFormat="1">
      <c r="AB3297" s="201"/>
      <c r="AC3297" s="201"/>
      <c r="AD3297" s="197"/>
      <c r="AE3297" s="197"/>
      <c r="AF3297" s="197"/>
      <c r="AG3297" s="197"/>
      <c r="AH3297" s="197"/>
      <c r="AI3297" s="197"/>
      <c r="AJ3297" s="197"/>
      <c r="AK3297" s="197"/>
      <c r="AL3297" s="197"/>
      <c r="AM3297" s="197"/>
      <c r="AN3297" s="197"/>
      <c r="AO3297" s="197"/>
      <c r="AP3297" s="197"/>
      <c r="AQ3297" s="197"/>
      <c r="AR3297" s="197"/>
      <c r="AS3297" s="197"/>
      <c r="AT3297" s="197"/>
      <c r="AU3297" s="197"/>
      <c r="AV3297" s="197"/>
      <c r="AW3297" s="197"/>
    </row>
    <row r="3298" spans="28:49" s="196" customFormat="1">
      <c r="AB3298" s="201"/>
      <c r="AC3298" s="201"/>
      <c r="AD3298" s="197"/>
      <c r="AE3298" s="197"/>
      <c r="AF3298" s="197"/>
      <c r="AG3298" s="197"/>
      <c r="AH3298" s="197"/>
      <c r="AI3298" s="197"/>
      <c r="AJ3298" s="197"/>
      <c r="AK3298" s="197"/>
      <c r="AL3298" s="197"/>
      <c r="AM3298" s="197"/>
      <c r="AN3298" s="197"/>
      <c r="AO3298" s="197"/>
      <c r="AP3298" s="197"/>
      <c r="AQ3298" s="197"/>
      <c r="AR3298" s="197"/>
      <c r="AS3298" s="197"/>
      <c r="AT3298" s="197"/>
      <c r="AU3298" s="197"/>
      <c r="AV3298" s="197"/>
      <c r="AW3298" s="197"/>
    </row>
    <row r="3299" spans="28:49" s="196" customFormat="1">
      <c r="AB3299" s="201"/>
      <c r="AC3299" s="201"/>
      <c r="AD3299" s="197"/>
      <c r="AE3299" s="197"/>
      <c r="AF3299" s="197"/>
      <c r="AG3299" s="197"/>
      <c r="AH3299" s="197"/>
      <c r="AI3299" s="197"/>
      <c r="AJ3299" s="197"/>
      <c r="AK3299" s="197"/>
      <c r="AL3299" s="197"/>
      <c r="AM3299" s="197"/>
      <c r="AN3299" s="197"/>
      <c r="AO3299" s="197"/>
      <c r="AP3299" s="197"/>
      <c r="AQ3299" s="197"/>
      <c r="AR3299" s="197"/>
      <c r="AS3299" s="197"/>
      <c r="AT3299" s="197"/>
      <c r="AU3299" s="197"/>
      <c r="AV3299" s="197"/>
      <c r="AW3299" s="197"/>
    </row>
    <row r="3300" spans="28:49" s="196" customFormat="1">
      <c r="AB3300" s="201"/>
      <c r="AC3300" s="201"/>
      <c r="AD3300" s="197"/>
      <c r="AE3300" s="197"/>
      <c r="AF3300" s="197"/>
      <c r="AG3300" s="197"/>
      <c r="AH3300" s="197"/>
      <c r="AI3300" s="197"/>
      <c r="AJ3300" s="197"/>
      <c r="AK3300" s="197"/>
      <c r="AL3300" s="197"/>
      <c r="AM3300" s="197"/>
      <c r="AN3300" s="197"/>
      <c r="AO3300" s="197"/>
      <c r="AP3300" s="197"/>
      <c r="AQ3300" s="197"/>
      <c r="AR3300" s="197"/>
      <c r="AS3300" s="197"/>
      <c r="AT3300" s="197"/>
      <c r="AU3300" s="197"/>
      <c r="AV3300" s="197"/>
      <c r="AW3300" s="197"/>
    </row>
    <row r="3301" spans="28:49" s="196" customFormat="1">
      <c r="AB3301" s="201"/>
      <c r="AC3301" s="201"/>
      <c r="AD3301" s="197"/>
      <c r="AE3301" s="197"/>
      <c r="AF3301" s="197"/>
      <c r="AG3301" s="197"/>
      <c r="AH3301" s="197"/>
      <c r="AI3301" s="197"/>
      <c r="AJ3301" s="197"/>
      <c r="AK3301" s="197"/>
      <c r="AL3301" s="197"/>
      <c r="AM3301" s="197"/>
      <c r="AN3301" s="197"/>
      <c r="AO3301" s="197"/>
      <c r="AP3301" s="197"/>
      <c r="AQ3301" s="197"/>
      <c r="AR3301" s="197"/>
      <c r="AS3301" s="197"/>
      <c r="AT3301" s="197"/>
      <c r="AU3301" s="197"/>
      <c r="AV3301" s="197"/>
      <c r="AW3301" s="197"/>
    </row>
    <row r="3302" spans="28:49" s="196" customFormat="1">
      <c r="AB3302" s="201"/>
      <c r="AC3302" s="201"/>
      <c r="AD3302" s="197"/>
      <c r="AE3302" s="197"/>
      <c r="AF3302" s="197"/>
      <c r="AG3302" s="197"/>
      <c r="AH3302" s="197"/>
      <c r="AI3302" s="197"/>
      <c r="AJ3302" s="197"/>
      <c r="AK3302" s="197"/>
      <c r="AL3302" s="197"/>
      <c r="AM3302" s="197"/>
      <c r="AN3302" s="197"/>
      <c r="AO3302" s="197"/>
      <c r="AP3302" s="197"/>
      <c r="AQ3302" s="197"/>
      <c r="AR3302" s="197"/>
      <c r="AS3302" s="197"/>
      <c r="AT3302" s="197"/>
      <c r="AU3302" s="197"/>
      <c r="AV3302" s="197"/>
      <c r="AW3302" s="197"/>
    </row>
    <row r="3303" spans="28:49" s="196" customFormat="1">
      <c r="AB3303" s="201"/>
      <c r="AC3303" s="201"/>
      <c r="AD3303" s="197"/>
      <c r="AE3303" s="197"/>
      <c r="AF3303" s="197"/>
      <c r="AG3303" s="197"/>
      <c r="AH3303" s="197"/>
      <c r="AI3303" s="197"/>
      <c r="AJ3303" s="197"/>
      <c r="AK3303" s="197"/>
      <c r="AL3303" s="197"/>
      <c r="AM3303" s="197"/>
      <c r="AN3303" s="197"/>
      <c r="AO3303" s="197"/>
      <c r="AP3303" s="197"/>
      <c r="AQ3303" s="197"/>
      <c r="AR3303" s="197"/>
      <c r="AS3303" s="197"/>
      <c r="AT3303" s="197"/>
      <c r="AU3303" s="197"/>
      <c r="AV3303" s="197"/>
      <c r="AW3303" s="197"/>
    </row>
    <row r="3304" spans="28:49" s="196" customFormat="1">
      <c r="AB3304" s="201"/>
      <c r="AC3304" s="201"/>
      <c r="AD3304" s="197"/>
      <c r="AE3304" s="197"/>
      <c r="AF3304" s="197"/>
      <c r="AG3304" s="197"/>
      <c r="AH3304" s="197"/>
      <c r="AI3304" s="197"/>
      <c r="AJ3304" s="197"/>
      <c r="AK3304" s="197"/>
      <c r="AL3304" s="197"/>
      <c r="AM3304" s="197"/>
      <c r="AN3304" s="197"/>
      <c r="AO3304" s="197"/>
      <c r="AP3304" s="197"/>
      <c r="AQ3304" s="197"/>
      <c r="AR3304" s="197"/>
      <c r="AS3304" s="197"/>
      <c r="AT3304" s="197"/>
      <c r="AU3304" s="197"/>
      <c r="AV3304" s="197"/>
      <c r="AW3304" s="197"/>
    </row>
    <row r="3305" spans="28:49" s="196" customFormat="1">
      <c r="AB3305" s="201"/>
      <c r="AC3305" s="201"/>
      <c r="AD3305" s="197"/>
      <c r="AE3305" s="197"/>
      <c r="AF3305" s="197"/>
      <c r="AG3305" s="197"/>
      <c r="AH3305" s="197"/>
      <c r="AI3305" s="197"/>
      <c r="AJ3305" s="197"/>
      <c r="AK3305" s="197"/>
      <c r="AL3305" s="197"/>
      <c r="AM3305" s="197"/>
      <c r="AN3305" s="197"/>
      <c r="AO3305" s="197"/>
      <c r="AP3305" s="197"/>
      <c r="AQ3305" s="197"/>
      <c r="AR3305" s="197"/>
      <c r="AS3305" s="197"/>
      <c r="AT3305" s="197"/>
      <c r="AU3305" s="197"/>
      <c r="AV3305" s="197"/>
      <c r="AW3305" s="197"/>
    </row>
    <row r="3306" spans="28:49" s="196" customFormat="1">
      <c r="AB3306" s="201"/>
      <c r="AC3306" s="201"/>
      <c r="AD3306" s="197"/>
      <c r="AE3306" s="197"/>
      <c r="AF3306" s="197"/>
      <c r="AG3306" s="197"/>
      <c r="AH3306" s="197"/>
      <c r="AI3306" s="197"/>
      <c r="AJ3306" s="197"/>
      <c r="AK3306" s="197"/>
      <c r="AL3306" s="197"/>
      <c r="AM3306" s="197"/>
      <c r="AN3306" s="197"/>
      <c r="AO3306" s="197"/>
      <c r="AP3306" s="197"/>
      <c r="AQ3306" s="197"/>
      <c r="AR3306" s="197"/>
      <c r="AS3306" s="197"/>
      <c r="AT3306" s="197"/>
      <c r="AU3306" s="197"/>
      <c r="AV3306" s="197"/>
      <c r="AW3306" s="197"/>
    </row>
    <row r="3307" spans="28:49" s="196" customFormat="1">
      <c r="AB3307" s="201"/>
      <c r="AC3307" s="201"/>
      <c r="AD3307" s="197"/>
      <c r="AE3307" s="197"/>
      <c r="AF3307" s="197"/>
      <c r="AG3307" s="197"/>
      <c r="AH3307" s="197"/>
      <c r="AI3307" s="197"/>
      <c r="AJ3307" s="197"/>
      <c r="AK3307" s="197"/>
      <c r="AL3307" s="197"/>
      <c r="AM3307" s="197"/>
      <c r="AN3307" s="197"/>
      <c r="AO3307" s="197"/>
      <c r="AP3307" s="197"/>
      <c r="AQ3307" s="197"/>
      <c r="AR3307" s="197"/>
      <c r="AS3307" s="197"/>
      <c r="AT3307" s="197"/>
      <c r="AU3307" s="197"/>
      <c r="AV3307" s="197"/>
      <c r="AW3307" s="197"/>
    </row>
    <row r="3308" spans="28:49" s="196" customFormat="1">
      <c r="AB3308" s="201"/>
      <c r="AC3308" s="201"/>
      <c r="AD3308" s="197"/>
      <c r="AE3308" s="197"/>
      <c r="AF3308" s="197"/>
      <c r="AG3308" s="197"/>
      <c r="AH3308" s="197"/>
      <c r="AI3308" s="197"/>
      <c r="AJ3308" s="197"/>
      <c r="AK3308" s="197"/>
      <c r="AL3308" s="197"/>
      <c r="AM3308" s="197"/>
      <c r="AN3308" s="197"/>
      <c r="AO3308" s="197"/>
      <c r="AP3308" s="197"/>
      <c r="AQ3308" s="197"/>
      <c r="AR3308" s="197"/>
      <c r="AS3308" s="197"/>
      <c r="AT3308" s="197"/>
      <c r="AU3308" s="197"/>
      <c r="AV3308" s="197"/>
      <c r="AW3308" s="197"/>
    </row>
    <row r="3309" spans="28:49" s="196" customFormat="1">
      <c r="AB3309" s="201"/>
      <c r="AC3309" s="201"/>
      <c r="AD3309" s="197"/>
      <c r="AE3309" s="197"/>
      <c r="AF3309" s="197"/>
      <c r="AG3309" s="197"/>
      <c r="AH3309" s="197"/>
      <c r="AI3309" s="197"/>
      <c r="AJ3309" s="197"/>
      <c r="AK3309" s="197"/>
      <c r="AL3309" s="197"/>
      <c r="AM3309" s="197"/>
      <c r="AN3309" s="197"/>
      <c r="AO3309" s="197"/>
      <c r="AP3309" s="197"/>
      <c r="AQ3309" s="197"/>
      <c r="AR3309" s="197"/>
      <c r="AS3309" s="197"/>
      <c r="AT3309" s="197"/>
      <c r="AU3309" s="197"/>
      <c r="AV3309" s="197"/>
      <c r="AW3309" s="197"/>
    </row>
    <row r="3310" spans="28:49" s="196" customFormat="1">
      <c r="AB3310" s="201"/>
      <c r="AC3310" s="201"/>
      <c r="AD3310" s="197"/>
      <c r="AE3310" s="197"/>
      <c r="AF3310" s="197"/>
      <c r="AG3310" s="197"/>
      <c r="AH3310" s="197"/>
      <c r="AI3310" s="197"/>
      <c r="AJ3310" s="197"/>
      <c r="AK3310" s="197"/>
      <c r="AL3310" s="197"/>
      <c r="AM3310" s="197"/>
      <c r="AN3310" s="197"/>
      <c r="AO3310" s="197"/>
      <c r="AP3310" s="197"/>
      <c r="AQ3310" s="197"/>
      <c r="AR3310" s="197"/>
      <c r="AS3310" s="197"/>
      <c r="AT3310" s="197"/>
      <c r="AU3310" s="197"/>
      <c r="AV3310" s="197"/>
      <c r="AW3310" s="197"/>
    </row>
    <row r="3311" spans="28:49" s="196" customFormat="1">
      <c r="AB3311" s="201"/>
      <c r="AC3311" s="201"/>
      <c r="AD3311" s="197"/>
      <c r="AE3311" s="197"/>
      <c r="AF3311" s="197"/>
      <c r="AG3311" s="197"/>
      <c r="AH3311" s="197"/>
      <c r="AI3311" s="197"/>
      <c r="AJ3311" s="197"/>
      <c r="AK3311" s="197"/>
      <c r="AL3311" s="197"/>
      <c r="AM3311" s="197"/>
      <c r="AN3311" s="197"/>
      <c r="AO3311" s="197"/>
      <c r="AP3311" s="197"/>
      <c r="AQ3311" s="197"/>
      <c r="AR3311" s="197"/>
      <c r="AS3311" s="197"/>
      <c r="AT3311" s="197"/>
      <c r="AU3311" s="197"/>
      <c r="AV3311" s="197"/>
      <c r="AW3311" s="197"/>
    </row>
    <row r="3312" spans="28:49" s="196" customFormat="1">
      <c r="AB3312" s="201"/>
      <c r="AC3312" s="201"/>
      <c r="AD3312" s="197"/>
      <c r="AE3312" s="197"/>
      <c r="AF3312" s="197"/>
      <c r="AG3312" s="197"/>
      <c r="AH3312" s="197"/>
      <c r="AI3312" s="197"/>
      <c r="AJ3312" s="197"/>
      <c r="AK3312" s="197"/>
      <c r="AL3312" s="197"/>
      <c r="AM3312" s="197"/>
      <c r="AN3312" s="197"/>
      <c r="AO3312" s="197"/>
      <c r="AP3312" s="197"/>
      <c r="AQ3312" s="197"/>
      <c r="AR3312" s="197"/>
      <c r="AS3312" s="197"/>
      <c r="AT3312" s="197"/>
      <c r="AU3312" s="197"/>
      <c r="AV3312" s="197"/>
      <c r="AW3312" s="197"/>
    </row>
    <row r="3313" spans="28:49" s="196" customFormat="1">
      <c r="AB3313" s="201"/>
      <c r="AC3313" s="201"/>
      <c r="AD3313" s="197"/>
      <c r="AE3313" s="197"/>
      <c r="AF3313" s="197"/>
      <c r="AG3313" s="197"/>
      <c r="AH3313" s="197"/>
      <c r="AI3313" s="197"/>
      <c r="AJ3313" s="197"/>
      <c r="AK3313" s="197"/>
      <c r="AL3313" s="197"/>
      <c r="AM3313" s="197"/>
      <c r="AN3313" s="197"/>
      <c r="AO3313" s="197"/>
      <c r="AP3313" s="197"/>
      <c r="AQ3313" s="197"/>
      <c r="AR3313" s="197"/>
      <c r="AS3313" s="197"/>
      <c r="AT3313" s="197"/>
      <c r="AU3313" s="197"/>
      <c r="AV3313" s="197"/>
      <c r="AW3313" s="197"/>
    </row>
    <row r="3314" spans="28:49" s="196" customFormat="1">
      <c r="AB3314" s="201"/>
      <c r="AC3314" s="201"/>
      <c r="AD3314" s="197"/>
      <c r="AE3314" s="197"/>
      <c r="AF3314" s="197"/>
      <c r="AG3314" s="197"/>
      <c r="AH3314" s="197"/>
      <c r="AI3314" s="197"/>
      <c r="AJ3314" s="197"/>
      <c r="AK3314" s="197"/>
      <c r="AL3314" s="197"/>
      <c r="AM3314" s="197"/>
      <c r="AN3314" s="197"/>
      <c r="AO3314" s="197"/>
      <c r="AP3314" s="197"/>
      <c r="AQ3314" s="197"/>
      <c r="AR3314" s="197"/>
      <c r="AS3314" s="197"/>
      <c r="AT3314" s="197"/>
      <c r="AU3314" s="197"/>
      <c r="AV3314" s="197"/>
      <c r="AW3314" s="197"/>
    </row>
    <row r="3315" spans="28:49" s="196" customFormat="1">
      <c r="AB3315" s="201"/>
      <c r="AC3315" s="201"/>
      <c r="AD3315" s="197"/>
      <c r="AE3315" s="197"/>
      <c r="AF3315" s="197"/>
      <c r="AG3315" s="197"/>
      <c r="AH3315" s="197"/>
      <c r="AI3315" s="197"/>
      <c r="AJ3315" s="197"/>
      <c r="AK3315" s="197"/>
      <c r="AL3315" s="197"/>
      <c r="AM3315" s="197"/>
      <c r="AN3315" s="197"/>
      <c r="AO3315" s="197"/>
      <c r="AP3315" s="197"/>
      <c r="AQ3315" s="197"/>
      <c r="AR3315" s="197"/>
      <c r="AS3315" s="197"/>
      <c r="AT3315" s="197"/>
      <c r="AU3315" s="197"/>
      <c r="AV3315" s="197"/>
      <c r="AW3315" s="197"/>
    </row>
    <row r="3316" spans="28:49" s="196" customFormat="1">
      <c r="AB3316" s="201"/>
      <c r="AC3316" s="201"/>
      <c r="AD3316" s="197"/>
      <c r="AE3316" s="197"/>
      <c r="AF3316" s="197"/>
      <c r="AG3316" s="197"/>
      <c r="AH3316" s="197"/>
      <c r="AI3316" s="197"/>
      <c r="AJ3316" s="197"/>
      <c r="AK3316" s="197"/>
      <c r="AL3316" s="197"/>
      <c r="AM3316" s="197"/>
      <c r="AN3316" s="197"/>
      <c r="AO3316" s="197"/>
      <c r="AP3316" s="197"/>
      <c r="AQ3316" s="197"/>
      <c r="AR3316" s="197"/>
      <c r="AS3316" s="197"/>
      <c r="AT3316" s="197"/>
      <c r="AU3316" s="197"/>
      <c r="AV3316" s="197"/>
      <c r="AW3316" s="197"/>
    </row>
    <row r="3317" spans="28:49" s="196" customFormat="1">
      <c r="AB3317" s="201"/>
      <c r="AC3317" s="201"/>
      <c r="AD3317" s="197"/>
      <c r="AE3317" s="197"/>
      <c r="AF3317" s="197"/>
      <c r="AG3317" s="197"/>
      <c r="AH3317" s="197"/>
      <c r="AI3317" s="197"/>
      <c r="AJ3317" s="197"/>
      <c r="AK3317" s="197"/>
      <c r="AL3317" s="197"/>
      <c r="AM3317" s="197"/>
      <c r="AN3317" s="197"/>
      <c r="AO3317" s="197"/>
      <c r="AP3317" s="197"/>
      <c r="AQ3317" s="197"/>
      <c r="AR3317" s="197"/>
      <c r="AS3317" s="197"/>
      <c r="AT3317" s="197"/>
      <c r="AU3317" s="197"/>
      <c r="AV3317" s="197"/>
      <c r="AW3317" s="197"/>
    </row>
    <row r="3318" spans="28:49" s="196" customFormat="1">
      <c r="AB3318" s="201"/>
      <c r="AC3318" s="201"/>
      <c r="AD3318" s="197"/>
      <c r="AE3318" s="197"/>
      <c r="AF3318" s="197"/>
      <c r="AG3318" s="197"/>
      <c r="AH3318" s="197"/>
      <c r="AI3318" s="197"/>
      <c r="AJ3318" s="197"/>
      <c r="AK3318" s="197"/>
      <c r="AL3318" s="197"/>
      <c r="AM3318" s="197"/>
      <c r="AN3318" s="197"/>
      <c r="AO3318" s="197"/>
      <c r="AP3318" s="197"/>
      <c r="AQ3318" s="197"/>
      <c r="AR3318" s="197"/>
      <c r="AS3318" s="197"/>
      <c r="AT3318" s="197"/>
      <c r="AU3318" s="197"/>
      <c r="AV3318" s="197"/>
      <c r="AW3318" s="197"/>
    </row>
    <row r="3319" spans="28:49" s="196" customFormat="1">
      <c r="AB3319" s="201"/>
      <c r="AC3319" s="201"/>
      <c r="AD3319" s="197"/>
      <c r="AE3319" s="197"/>
      <c r="AF3319" s="197"/>
      <c r="AG3319" s="197"/>
      <c r="AH3319" s="197"/>
      <c r="AI3319" s="197"/>
      <c r="AJ3319" s="197"/>
      <c r="AK3319" s="197"/>
      <c r="AL3319" s="197"/>
      <c r="AM3319" s="197"/>
      <c r="AN3319" s="197"/>
      <c r="AO3319" s="197"/>
      <c r="AP3319" s="197"/>
      <c r="AQ3319" s="197"/>
      <c r="AR3319" s="197"/>
      <c r="AS3319" s="197"/>
      <c r="AT3319" s="197"/>
      <c r="AU3319" s="197"/>
      <c r="AV3319" s="197"/>
      <c r="AW3319" s="197"/>
    </row>
    <row r="3320" spans="28:49" s="196" customFormat="1">
      <c r="AB3320" s="201"/>
      <c r="AC3320" s="201"/>
      <c r="AD3320" s="197"/>
      <c r="AE3320" s="197"/>
      <c r="AF3320" s="197"/>
      <c r="AG3320" s="197"/>
      <c r="AH3320" s="197"/>
      <c r="AI3320" s="197"/>
      <c r="AJ3320" s="197"/>
      <c r="AK3320" s="197"/>
      <c r="AL3320" s="197"/>
      <c r="AM3320" s="197"/>
      <c r="AN3320" s="197"/>
      <c r="AO3320" s="197"/>
      <c r="AP3320" s="197"/>
      <c r="AQ3320" s="197"/>
      <c r="AR3320" s="197"/>
      <c r="AS3320" s="197"/>
      <c r="AT3320" s="197"/>
      <c r="AU3320" s="197"/>
      <c r="AV3320" s="197"/>
      <c r="AW3320" s="197"/>
    </row>
    <row r="3321" spans="28:49" s="196" customFormat="1">
      <c r="AB3321" s="201"/>
      <c r="AC3321" s="201"/>
      <c r="AD3321" s="197"/>
      <c r="AE3321" s="197"/>
      <c r="AF3321" s="197"/>
      <c r="AG3321" s="197"/>
      <c r="AH3321" s="197"/>
      <c r="AI3321" s="197"/>
      <c r="AJ3321" s="197"/>
      <c r="AK3321" s="197"/>
      <c r="AL3321" s="197"/>
      <c r="AM3321" s="197"/>
      <c r="AN3321" s="197"/>
      <c r="AO3321" s="197"/>
      <c r="AP3321" s="197"/>
      <c r="AQ3321" s="197"/>
      <c r="AR3321" s="197"/>
      <c r="AS3321" s="197"/>
      <c r="AT3321" s="197"/>
      <c r="AU3321" s="197"/>
      <c r="AV3321" s="197"/>
      <c r="AW3321" s="197"/>
    </row>
    <row r="3322" spans="28:49" s="196" customFormat="1">
      <c r="AB3322" s="201"/>
      <c r="AC3322" s="201"/>
      <c r="AD3322" s="197"/>
      <c r="AE3322" s="197"/>
      <c r="AF3322" s="197"/>
      <c r="AG3322" s="197"/>
      <c r="AH3322" s="197"/>
      <c r="AI3322" s="197"/>
      <c r="AJ3322" s="197"/>
      <c r="AK3322" s="197"/>
      <c r="AL3322" s="197"/>
      <c r="AM3322" s="197"/>
      <c r="AN3322" s="197"/>
      <c r="AO3322" s="197"/>
      <c r="AP3322" s="197"/>
      <c r="AQ3322" s="197"/>
      <c r="AR3322" s="197"/>
      <c r="AS3322" s="197"/>
      <c r="AT3322" s="197"/>
      <c r="AU3322" s="197"/>
      <c r="AV3322" s="197"/>
      <c r="AW3322" s="197"/>
    </row>
    <row r="3323" spans="28:49" s="196" customFormat="1">
      <c r="AB3323" s="201"/>
      <c r="AC3323" s="201"/>
      <c r="AD3323" s="197"/>
      <c r="AE3323" s="197"/>
      <c r="AF3323" s="197"/>
      <c r="AG3323" s="197"/>
      <c r="AH3323" s="197"/>
      <c r="AI3323" s="197"/>
      <c r="AJ3323" s="197"/>
      <c r="AK3323" s="197"/>
      <c r="AL3323" s="197"/>
      <c r="AM3323" s="197"/>
      <c r="AN3323" s="197"/>
      <c r="AO3323" s="197"/>
      <c r="AP3323" s="197"/>
      <c r="AQ3323" s="197"/>
      <c r="AR3323" s="197"/>
      <c r="AS3323" s="197"/>
      <c r="AT3323" s="197"/>
      <c r="AU3323" s="197"/>
      <c r="AV3323" s="197"/>
      <c r="AW3323" s="197"/>
    </row>
    <row r="3324" spans="28:49" s="196" customFormat="1">
      <c r="AB3324" s="201"/>
      <c r="AC3324" s="201"/>
      <c r="AD3324" s="197"/>
      <c r="AE3324" s="197"/>
      <c r="AF3324" s="197"/>
      <c r="AG3324" s="197"/>
      <c r="AH3324" s="197"/>
      <c r="AI3324" s="197"/>
      <c r="AJ3324" s="197"/>
      <c r="AK3324" s="197"/>
      <c r="AL3324" s="197"/>
      <c r="AM3324" s="197"/>
      <c r="AN3324" s="197"/>
      <c r="AO3324" s="197"/>
      <c r="AP3324" s="197"/>
      <c r="AQ3324" s="197"/>
      <c r="AR3324" s="197"/>
      <c r="AS3324" s="197"/>
      <c r="AT3324" s="197"/>
      <c r="AU3324" s="197"/>
      <c r="AV3324" s="197"/>
      <c r="AW3324" s="197"/>
    </row>
    <row r="3325" spans="28:49" s="196" customFormat="1">
      <c r="AB3325" s="201"/>
      <c r="AC3325" s="201"/>
      <c r="AD3325" s="197"/>
      <c r="AE3325" s="197"/>
      <c r="AF3325" s="197"/>
      <c r="AG3325" s="197"/>
      <c r="AH3325" s="197"/>
      <c r="AI3325" s="197"/>
      <c r="AJ3325" s="197"/>
      <c r="AK3325" s="197"/>
      <c r="AL3325" s="197"/>
      <c r="AM3325" s="197"/>
      <c r="AN3325" s="197"/>
      <c r="AO3325" s="197"/>
      <c r="AP3325" s="197"/>
      <c r="AQ3325" s="197"/>
      <c r="AR3325" s="197"/>
      <c r="AS3325" s="197"/>
      <c r="AT3325" s="197"/>
      <c r="AU3325" s="197"/>
      <c r="AV3325" s="197"/>
      <c r="AW3325" s="197"/>
    </row>
    <row r="3326" spans="28:49" s="196" customFormat="1">
      <c r="AB3326" s="201"/>
      <c r="AC3326" s="201"/>
      <c r="AD3326" s="197"/>
      <c r="AE3326" s="197"/>
      <c r="AF3326" s="197"/>
      <c r="AG3326" s="197"/>
      <c r="AH3326" s="197"/>
      <c r="AI3326" s="197"/>
      <c r="AJ3326" s="197"/>
      <c r="AK3326" s="197"/>
      <c r="AL3326" s="197"/>
      <c r="AM3326" s="197"/>
      <c r="AN3326" s="197"/>
      <c r="AO3326" s="197"/>
      <c r="AP3326" s="197"/>
      <c r="AQ3326" s="197"/>
      <c r="AR3326" s="197"/>
      <c r="AS3326" s="197"/>
      <c r="AT3326" s="197"/>
      <c r="AU3326" s="197"/>
      <c r="AV3326" s="197"/>
      <c r="AW3326" s="197"/>
    </row>
    <row r="3327" spans="28:49" s="196" customFormat="1">
      <c r="AB3327" s="201"/>
      <c r="AC3327" s="201"/>
      <c r="AD3327" s="197"/>
      <c r="AE3327" s="197"/>
      <c r="AF3327" s="197"/>
      <c r="AG3327" s="197"/>
      <c r="AH3327" s="197"/>
      <c r="AI3327" s="197"/>
      <c r="AJ3327" s="197"/>
      <c r="AK3327" s="197"/>
      <c r="AL3327" s="197"/>
      <c r="AM3327" s="197"/>
      <c r="AN3327" s="197"/>
      <c r="AO3327" s="197"/>
      <c r="AP3327" s="197"/>
      <c r="AQ3327" s="197"/>
      <c r="AR3327" s="197"/>
      <c r="AS3327" s="197"/>
      <c r="AT3327" s="197"/>
      <c r="AU3327" s="197"/>
      <c r="AV3327" s="197"/>
      <c r="AW3327" s="197"/>
    </row>
    <row r="3328" spans="28:49" s="196" customFormat="1">
      <c r="AB3328" s="201"/>
      <c r="AC3328" s="201"/>
      <c r="AD3328" s="197"/>
      <c r="AE3328" s="197"/>
      <c r="AF3328" s="197"/>
      <c r="AG3328" s="197"/>
      <c r="AH3328" s="197"/>
      <c r="AI3328" s="197"/>
      <c r="AJ3328" s="197"/>
      <c r="AK3328" s="197"/>
      <c r="AL3328" s="197"/>
      <c r="AM3328" s="197"/>
      <c r="AN3328" s="197"/>
      <c r="AO3328" s="197"/>
      <c r="AP3328" s="197"/>
      <c r="AQ3328" s="197"/>
      <c r="AR3328" s="197"/>
      <c r="AS3328" s="197"/>
      <c r="AT3328" s="197"/>
      <c r="AU3328" s="197"/>
      <c r="AV3328" s="197"/>
      <c r="AW3328" s="197"/>
    </row>
    <row r="3329" spans="28:49" s="196" customFormat="1">
      <c r="AB3329" s="201"/>
      <c r="AC3329" s="201"/>
      <c r="AD3329" s="197"/>
      <c r="AE3329" s="197"/>
      <c r="AF3329" s="197"/>
      <c r="AG3329" s="197"/>
      <c r="AH3329" s="197"/>
      <c r="AI3329" s="197"/>
      <c r="AJ3329" s="197"/>
      <c r="AK3329" s="197"/>
      <c r="AL3329" s="197"/>
      <c r="AM3329" s="197"/>
      <c r="AN3329" s="197"/>
      <c r="AO3329" s="197"/>
      <c r="AP3329" s="197"/>
      <c r="AQ3329" s="197"/>
      <c r="AR3329" s="197"/>
      <c r="AS3329" s="197"/>
      <c r="AT3329" s="197"/>
      <c r="AU3329" s="197"/>
      <c r="AV3329" s="197"/>
      <c r="AW3329" s="197"/>
    </row>
    <row r="3330" spans="28:49" s="196" customFormat="1">
      <c r="AB3330" s="201"/>
      <c r="AC3330" s="201"/>
      <c r="AD3330" s="197"/>
      <c r="AE3330" s="197"/>
      <c r="AF3330" s="197"/>
      <c r="AG3330" s="197"/>
      <c r="AH3330" s="197"/>
      <c r="AI3330" s="197"/>
      <c r="AJ3330" s="197"/>
      <c r="AK3330" s="197"/>
      <c r="AL3330" s="197"/>
      <c r="AM3330" s="197"/>
      <c r="AN3330" s="197"/>
      <c r="AO3330" s="197"/>
      <c r="AP3330" s="197"/>
      <c r="AQ3330" s="197"/>
      <c r="AR3330" s="197"/>
      <c r="AS3330" s="197"/>
      <c r="AT3330" s="197"/>
      <c r="AU3330" s="197"/>
      <c r="AV3330" s="197"/>
      <c r="AW3330" s="197"/>
    </row>
    <row r="3331" spans="28:49" s="196" customFormat="1">
      <c r="AB3331" s="201"/>
      <c r="AC3331" s="201"/>
      <c r="AD3331" s="197"/>
      <c r="AE3331" s="197"/>
      <c r="AF3331" s="197"/>
      <c r="AG3331" s="197"/>
      <c r="AH3331" s="197"/>
      <c r="AI3331" s="197"/>
      <c r="AJ3331" s="197"/>
      <c r="AK3331" s="197"/>
      <c r="AL3331" s="197"/>
      <c r="AM3331" s="197"/>
      <c r="AN3331" s="197"/>
      <c r="AO3331" s="197"/>
      <c r="AP3331" s="197"/>
      <c r="AQ3331" s="197"/>
      <c r="AR3331" s="197"/>
      <c r="AS3331" s="197"/>
      <c r="AT3331" s="197"/>
      <c r="AU3331" s="197"/>
      <c r="AV3331" s="197"/>
      <c r="AW3331" s="197"/>
    </row>
    <row r="3332" spans="28:49" s="196" customFormat="1">
      <c r="AB3332" s="201"/>
      <c r="AC3332" s="201"/>
      <c r="AD3332" s="197"/>
      <c r="AE3332" s="197"/>
      <c r="AF3332" s="197"/>
      <c r="AG3332" s="197"/>
      <c r="AH3332" s="197"/>
      <c r="AI3332" s="197"/>
      <c r="AJ3332" s="197"/>
      <c r="AK3332" s="197"/>
      <c r="AL3332" s="197"/>
      <c r="AM3332" s="197"/>
      <c r="AN3332" s="197"/>
      <c r="AO3332" s="197"/>
      <c r="AP3332" s="197"/>
      <c r="AQ3332" s="197"/>
      <c r="AR3332" s="197"/>
      <c r="AS3332" s="197"/>
      <c r="AT3332" s="197"/>
      <c r="AU3332" s="197"/>
      <c r="AV3332" s="197"/>
      <c r="AW3332" s="197"/>
    </row>
    <row r="3333" spans="28:49" s="196" customFormat="1">
      <c r="AB3333" s="201"/>
      <c r="AC3333" s="201"/>
      <c r="AD3333" s="197"/>
      <c r="AE3333" s="197"/>
      <c r="AF3333" s="197"/>
      <c r="AG3333" s="197"/>
      <c r="AH3333" s="197"/>
      <c r="AI3333" s="197"/>
      <c r="AJ3333" s="197"/>
      <c r="AK3333" s="197"/>
      <c r="AL3333" s="197"/>
      <c r="AM3333" s="197"/>
      <c r="AN3333" s="197"/>
      <c r="AO3333" s="197"/>
      <c r="AP3333" s="197"/>
      <c r="AQ3333" s="197"/>
      <c r="AR3333" s="197"/>
      <c r="AS3333" s="197"/>
      <c r="AT3333" s="197"/>
      <c r="AU3333" s="197"/>
      <c r="AV3333" s="197"/>
      <c r="AW3333" s="197"/>
    </row>
    <row r="3334" spans="28:49" s="196" customFormat="1">
      <c r="AB3334" s="201"/>
      <c r="AC3334" s="201"/>
      <c r="AD3334" s="197"/>
      <c r="AE3334" s="197"/>
      <c r="AF3334" s="197"/>
      <c r="AG3334" s="197"/>
      <c r="AH3334" s="197"/>
      <c r="AI3334" s="197"/>
      <c r="AJ3334" s="197"/>
      <c r="AK3334" s="197"/>
      <c r="AL3334" s="197"/>
      <c r="AM3334" s="197"/>
      <c r="AN3334" s="197"/>
      <c r="AO3334" s="197"/>
      <c r="AP3334" s="197"/>
      <c r="AQ3334" s="197"/>
      <c r="AR3334" s="197"/>
      <c r="AS3334" s="197"/>
      <c r="AT3334" s="197"/>
      <c r="AU3334" s="197"/>
      <c r="AV3334" s="197"/>
      <c r="AW3334" s="197"/>
    </row>
    <row r="3335" spans="28:49" s="196" customFormat="1">
      <c r="AB3335" s="201"/>
      <c r="AC3335" s="201"/>
      <c r="AD3335" s="197"/>
      <c r="AE3335" s="197"/>
      <c r="AF3335" s="197"/>
      <c r="AG3335" s="197"/>
      <c r="AH3335" s="197"/>
      <c r="AI3335" s="197"/>
      <c r="AJ3335" s="197"/>
      <c r="AK3335" s="197"/>
      <c r="AL3335" s="197"/>
      <c r="AM3335" s="197"/>
      <c r="AN3335" s="197"/>
      <c r="AO3335" s="197"/>
      <c r="AP3335" s="197"/>
      <c r="AQ3335" s="197"/>
      <c r="AR3335" s="197"/>
      <c r="AS3335" s="197"/>
      <c r="AT3335" s="197"/>
      <c r="AU3335" s="197"/>
      <c r="AV3335" s="197"/>
      <c r="AW3335" s="197"/>
    </row>
    <row r="3336" spans="28:49" s="196" customFormat="1">
      <c r="AB3336" s="201"/>
      <c r="AC3336" s="201"/>
      <c r="AD3336" s="197"/>
      <c r="AE3336" s="197"/>
      <c r="AF3336" s="197"/>
      <c r="AG3336" s="197"/>
      <c r="AH3336" s="197"/>
      <c r="AI3336" s="197"/>
      <c r="AJ3336" s="197"/>
      <c r="AK3336" s="197"/>
      <c r="AL3336" s="197"/>
      <c r="AM3336" s="197"/>
      <c r="AN3336" s="197"/>
      <c r="AO3336" s="197"/>
      <c r="AP3336" s="197"/>
      <c r="AQ3336" s="197"/>
      <c r="AR3336" s="197"/>
      <c r="AS3336" s="197"/>
      <c r="AT3336" s="197"/>
      <c r="AU3336" s="197"/>
      <c r="AV3336" s="197"/>
      <c r="AW3336" s="197"/>
    </row>
    <row r="3337" spans="28:49" s="196" customFormat="1">
      <c r="AB3337" s="201"/>
      <c r="AC3337" s="201"/>
      <c r="AD3337" s="197"/>
      <c r="AE3337" s="197"/>
      <c r="AF3337" s="197"/>
      <c r="AG3337" s="197"/>
      <c r="AH3337" s="197"/>
      <c r="AI3337" s="197"/>
      <c r="AJ3337" s="197"/>
      <c r="AK3337" s="197"/>
      <c r="AL3337" s="197"/>
      <c r="AM3337" s="197"/>
      <c r="AN3337" s="197"/>
      <c r="AO3337" s="197"/>
      <c r="AP3337" s="197"/>
      <c r="AQ3337" s="197"/>
      <c r="AR3337" s="197"/>
      <c r="AS3337" s="197"/>
      <c r="AT3337" s="197"/>
      <c r="AU3337" s="197"/>
      <c r="AV3337" s="197"/>
      <c r="AW3337" s="197"/>
    </row>
    <row r="3338" spans="28:49" s="196" customFormat="1">
      <c r="AB3338" s="201"/>
      <c r="AC3338" s="201"/>
      <c r="AD3338" s="197"/>
      <c r="AE3338" s="197"/>
      <c r="AF3338" s="197"/>
      <c r="AG3338" s="197"/>
      <c r="AH3338" s="197"/>
      <c r="AI3338" s="197"/>
      <c r="AJ3338" s="197"/>
      <c r="AK3338" s="197"/>
      <c r="AL3338" s="197"/>
      <c r="AM3338" s="197"/>
      <c r="AN3338" s="197"/>
      <c r="AO3338" s="197"/>
      <c r="AP3338" s="197"/>
      <c r="AQ3338" s="197"/>
      <c r="AR3338" s="197"/>
      <c r="AS3338" s="197"/>
      <c r="AT3338" s="197"/>
      <c r="AU3338" s="197"/>
      <c r="AV3338" s="197"/>
      <c r="AW3338" s="197"/>
    </row>
    <row r="3339" spans="28:49" s="196" customFormat="1">
      <c r="AB3339" s="201"/>
      <c r="AC3339" s="201"/>
      <c r="AD3339" s="197"/>
      <c r="AE3339" s="197"/>
      <c r="AF3339" s="197"/>
      <c r="AG3339" s="197"/>
      <c r="AH3339" s="197"/>
      <c r="AI3339" s="197"/>
      <c r="AJ3339" s="197"/>
      <c r="AK3339" s="197"/>
      <c r="AL3339" s="197"/>
      <c r="AM3339" s="197"/>
      <c r="AN3339" s="197"/>
      <c r="AO3339" s="197"/>
      <c r="AP3339" s="197"/>
      <c r="AQ3339" s="197"/>
      <c r="AR3339" s="197"/>
      <c r="AS3339" s="197"/>
      <c r="AT3339" s="197"/>
      <c r="AU3339" s="197"/>
      <c r="AV3339" s="197"/>
      <c r="AW3339" s="197"/>
    </row>
    <row r="3340" spans="28:49" s="196" customFormat="1">
      <c r="AB3340" s="201"/>
      <c r="AC3340" s="201"/>
      <c r="AD3340" s="197"/>
      <c r="AE3340" s="197"/>
      <c r="AF3340" s="197"/>
      <c r="AG3340" s="197"/>
      <c r="AH3340" s="197"/>
      <c r="AI3340" s="197"/>
      <c r="AJ3340" s="197"/>
      <c r="AK3340" s="197"/>
      <c r="AL3340" s="197"/>
      <c r="AM3340" s="197"/>
      <c r="AN3340" s="197"/>
      <c r="AO3340" s="197"/>
      <c r="AP3340" s="197"/>
      <c r="AQ3340" s="197"/>
      <c r="AR3340" s="197"/>
      <c r="AS3340" s="197"/>
      <c r="AT3340" s="197"/>
      <c r="AU3340" s="197"/>
      <c r="AV3340" s="197"/>
      <c r="AW3340" s="197"/>
    </row>
    <row r="3341" spans="28:49" s="196" customFormat="1">
      <c r="AB3341" s="201"/>
      <c r="AC3341" s="201"/>
      <c r="AD3341" s="197"/>
      <c r="AE3341" s="197"/>
      <c r="AF3341" s="197"/>
      <c r="AG3341" s="197"/>
      <c r="AH3341" s="197"/>
      <c r="AI3341" s="197"/>
      <c r="AJ3341" s="197"/>
      <c r="AK3341" s="197"/>
      <c r="AL3341" s="197"/>
      <c r="AM3341" s="197"/>
      <c r="AN3341" s="197"/>
      <c r="AO3341" s="197"/>
      <c r="AP3341" s="197"/>
      <c r="AQ3341" s="197"/>
      <c r="AR3341" s="197"/>
      <c r="AS3341" s="197"/>
      <c r="AT3341" s="197"/>
      <c r="AU3341" s="197"/>
      <c r="AV3341" s="197"/>
      <c r="AW3341" s="197"/>
    </row>
    <row r="3342" spans="28:49" s="196" customFormat="1">
      <c r="AB3342" s="201"/>
      <c r="AC3342" s="201"/>
      <c r="AD3342" s="197"/>
      <c r="AE3342" s="197"/>
      <c r="AF3342" s="197"/>
      <c r="AG3342" s="197"/>
      <c r="AH3342" s="197"/>
      <c r="AI3342" s="197"/>
      <c r="AJ3342" s="197"/>
      <c r="AK3342" s="197"/>
      <c r="AL3342" s="197"/>
      <c r="AM3342" s="197"/>
      <c r="AN3342" s="197"/>
      <c r="AO3342" s="197"/>
      <c r="AP3342" s="197"/>
      <c r="AQ3342" s="197"/>
      <c r="AR3342" s="197"/>
      <c r="AS3342" s="197"/>
      <c r="AT3342" s="197"/>
      <c r="AU3342" s="197"/>
      <c r="AV3342" s="197"/>
      <c r="AW3342" s="197"/>
    </row>
    <row r="3343" spans="28:49" s="196" customFormat="1">
      <c r="AB3343" s="201"/>
      <c r="AC3343" s="201"/>
      <c r="AD3343" s="197"/>
      <c r="AE3343" s="197"/>
      <c r="AF3343" s="197"/>
      <c r="AG3343" s="197"/>
      <c r="AH3343" s="197"/>
      <c r="AI3343" s="197"/>
      <c r="AJ3343" s="197"/>
      <c r="AK3343" s="197"/>
      <c r="AL3343" s="197"/>
      <c r="AM3343" s="197"/>
      <c r="AN3343" s="197"/>
      <c r="AO3343" s="197"/>
      <c r="AP3343" s="197"/>
      <c r="AQ3343" s="197"/>
      <c r="AR3343" s="197"/>
      <c r="AS3343" s="197"/>
      <c r="AT3343" s="197"/>
      <c r="AU3343" s="197"/>
      <c r="AV3343" s="197"/>
      <c r="AW3343" s="197"/>
    </row>
    <row r="3344" spans="28:49" s="196" customFormat="1">
      <c r="AB3344" s="201"/>
      <c r="AC3344" s="201"/>
      <c r="AD3344" s="197"/>
      <c r="AE3344" s="197"/>
      <c r="AF3344" s="197"/>
      <c r="AG3344" s="197"/>
      <c r="AH3344" s="197"/>
      <c r="AI3344" s="197"/>
      <c r="AJ3344" s="197"/>
      <c r="AK3344" s="197"/>
      <c r="AL3344" s="197"/>
      <c r="AM3344" s="197"/>
      <c r="AN3344" s="197"/>
      <c r="AO3344" s="197"/>
      <c r="AP3344" s="197"/>
      <c r="AQ3344" s="197"/>
      <c r="AR3344" s="197"/>
      <c r="AS3344" s="197"/>
      <c r="AT3344" s="197"/>
      <c r="AU3344" s="197"/>
      <c r="AV3344" s="197"/>
      <c r="AW3344" s="197"/>
    </row>
    <row r="3345" spans="28:49" s="196" customFormat="1">
      <c r="AB3345" s="201"/>
      <c r="AC3345" s="201"/>
      <c r="AD3345" s="197"/>
      <c r="AE3345" s="197"/>
      <c r="AF3345" s="197"/>
      <c r="AG3345" s="197"/>
      <c r="AH3345" s="197"/>
      <c r="AI3345" s="197"/>
      <c r="AJ3345" s="197"/>
      <c r="AK3345" s="197"/>
      <c r="AL3345" s="197"/>
      <c r="AM3345" s="197"/>
      <c r="AN3345" s="197"/>
      <c r="AO3345" s="197"/>
      <c r="AP3345" s="197"/>
      <c r="AQ3345" s="197"/>
      <c r="AR3345" s="197"/>
      <c r="AS3345" s="197"/>
      <c r="AT3345" s="197"/>
      <c r="AU3345" s="197"/>
      <c r="AV3345" s="197"/>
      <c r="AW3345" s="197"/>
    </row>
    <row r="3346" spans="28:49" s="196" customFormat="1">
      <c r="AB3346" s="201"/>
      <c r="AC3346" s="201"/>
      <c r="AD3346" s="197"/>
      <c r="AE3346" s="197"/>
      <c r="AF3346" s="197"/>
      <c r="AG3346" s="197"/>
      <c r="AH3346" s="197"/>
      <c r="AI3346" s="197"/>
      <c r="AJ3346" s="197"/>
      <c r="AK3346" s="197"/>
      <c r="AL3346" s="197"/>
      <c r="AM3346" s="197"/>
      <c r="AN3346" s="197"/>
      <c r="AO3346" s="197"/>
      <c r="AP3346" s="197"/>
      <c r="AQ3346" s="197"/>
      <c r="AR3346" s="197"/>
      <c r="AS3346" s="197"/>
      <c r="AT3346" s="197"/>
      <c r="AU3346" s="197"/>
      <c r="AV3346" s="197"/>
      <c r="AW3346" s="197"/>
    </row>
    <row r="3347" spans="28:49" s="196" customFormat="1">
      <c r="AB3347" s="201"/>
      <c r="AC3347" s="201"/>
      <c r="AD3347" s="197"/>
      <c r="AE3347" s="197"/>
      <c r="AF3347" s="197"/>
      <c r="AG3347" s="197"/>
      <c r="AH3347" s="197"/>
      <c r="AI3347" s="197"/>
      <c r="AJ3347" s="197"/>
      <c r="AK3347" s="197"/>
      <c r="AL3347" s="197"/>
      <c r="AM3347" s="197"/>
      <c r="AN3347" s="197"/>
      <c r="AO3347" s="197"/>
      <c r="AP3347" s="197"/>
      <c r="AQ3347" s="197"/>
      <c r="AR3347" s="197"/>
      <c r="AS3347" s="197"/>
      <c r="AT3347" s="197"/>
      <c r="AU3347" s="197"/>
      <c r="AV3347" s="197"/>
      <c r="AW3347" s="197"/>
    </row>
    <row r="3348" spans="28:49" s="196" customFormat="1">
      <c r="AB3348" s="201"/>
      <c r="AC3348" s="201"/>
      <c r="AD3348" s="197"/>
      <c r="AE3348" s="197"/>
      <c r="AF3348" s="197"/>
      <c r="AG3348" s="197"/>
      <c r="AH3348" s="197"/>
      <c r="AI3348" s="197"/>
      <c r="AJ3348" s="197"/>
      <c r="AK3348" s="197"/>
      <c r="AL3348" s="197"/>
      <c r="AM3348" s="197"/>
      <c r="AN3348" s="197"/>
      <c r="AO3348" s="197"/>
      <c r="AP3348" s="197"/>
      <c r="AQ3348" s="197"/>
      <c r="AR3348" s="197"/>
      <c r="AS3348" s="197"/>
      <c r="AT3348" s="197"/>
      <c r="AU3348" s="197"/>
      <c r="AV3348" s="197"/>
      <c r="AW3348" s="197"/>
    </row>
    <row r="3349" spans="28:49" s="196" customFormat="1">
      <c r="AB3349" s="201"/>
      <c r="AC3349" s="201"/>
      <c r="AD3349" s="197"/>
      <c r="AE3349" s="197"/>
      <c r="AF3349" s="197"/>
      <c r="AG3349" s="197"/>
      <c r="AH3349" s="197"/>
      <c r="AI3349" s="197"/>
      <c r="AJ3349" s="197"/>
      <c r="AK3349" s="197"/>
      <c r="AL3349" s="197"/>
      <c r="AM3349" s="197"/>
      <c r="AN3349" s="197"/>
      <c r="AO3349" s="197"/>
      <c r="AP3349" s="197"/>
      <c r="AQ3349" s="197"/>
      <c r="AR3349" s="197"/>
      <c r="AS3349" s="197"/>
      <c r="AT3349" s="197"/>
      <c r="AU3349" s="197"/>
      <c r="AV3349" s="197"/>
      <c r="AW3349" s="197"/>
    </row>
    <row r="3350" spans="28:49" s="196" customFormat="1">
      <c r="AB3350" s="201"/>
      <c r="AC3350" s="201"/>
      <c r="AD3350" s="197"/>
      <c r="AE3350" s="197"/>
      <c r="AF3350" s="197"/>
      <c r="AG3350" s="197"/>
      <c r="AH3350" s="197"/>
      <c r="AI3350" s="197"/>
      <c r="AJ3350" s="197"/>
      <c r="AK3350" s="197"/>
      <c r="AL3350" s="197"/>
      <c r="AM3350" s="197"/>
      <c r="AN3350" s="197"/>
      <c r="AO3350" s="197"/>
      <c r="AP3350" s="197"/>
      <c r="AQ3350" s="197"/>
      <c r="AR3350" s="197"/>
      <c r="AS3350" s="197"/>
      <c r="AT3350" s="197"/>
      <c r="AU3350" s="197"/>
      <c r="AV3350" s="197"/>
      <c r="AW3350" s="197"/>
    </row>
    <row r="3351" spans="28:49" s="196" customFormat="1">
      <c r="AB3351" s="201"/>
      <c r="AC3351" s="201"/>
      <c r="AD3351" s="197"/>
      <c r="AE3351" s="197"/>
      <c r="AF3351" s="197"/>
      <c r="AG3351" s="197"/>
      <c r="AH3351" s="197"/>
      <c r="AI3351" s="197"/>
      <c r="AJ3351" s="197"/>
      <c r="AK3351" s="197"/>
      <c r="AL3351" s="197"/>
      <c r="AM3351" s="197"/>
      <c r="AN3351" s="197"/>
      <c r="AO3351" s="197"/>
      <c r="AP3351" s="197"/>
      <c r="AQ3351" s="197"/>
      <c r="AR3351" s="197"/>
      <c r="AS3351" s="197"/>
      <c r="AT3351" s="197"/>
      <c r="AU3351" s="197"/>
      <c r="AV3351" s="197"/>
      <c r="AW3351" s="197"/>
    </row>
    <row r="3352" spans="28:49" s="196" customFormat="1">
      <c r="AB3352" s="201"/>
      <c r="AC3352" s="201"/>
      <c r="AD3352" s="197"/>
      <c r="AE3352" s="197"/>
      <c r="AF3352" s="197"/>
      <c r="AG3352" s="197"/>
      <c r="AH3352" s="197"/>
      <c r="AI3352" s="197"/>
      <c r="AJ3352" s="197"/>
      <c r="AK3352" s="197"/>
      <c r="AL3352" s="197"/>
      <c r="AM3352" s="197"/>
      <c r="AN3352" s="197"/>
      <c r="AO3352" s="197"/>
      <c r="AP3352" s="197"/>
      <c r="AQ3352" s="197"/>
      <c r="AR3352" s="197"/>
      <c r="AS3352" s="197"/>
      <c r="AT3352" s="197"/>
      <c r="AU3352" s="197"/>
      <c r="AV3352" s="197"/>
      <c r="AW3352" s="197"/>
    </row>
    <row r="3353" spans="28:49" s="196" customFormat="1">
      <c r="AB3353" s="201"/>
      <c r="AC3353" s="201"/>
      <c r="AD3353" s="197"/>
      <c r="AE3353" s="197"/>
      <c r="AF3353" s="197"/>
      <c r="AG3353" s="197"/>
      <c r="AH3353" s="197"/>
      <c r="AI3353" s="197"/>
      <c r="AJ3353" s="197"/>
      <c r="AK3353" s="197"/>
      <c r="AL3353" s="197"/>
      <c r="AM3353" s="197"/>
      <c r="AN3353" s="197"/>
      <c r="AO3353" s="197"/>
      <c r="AP3353" s="197"/>
      <c r="AQ3353" s="197"/>
      <c r="AR3353" s="197"/>
      <c r="AS3353" s="197"/>
      <c r="AT3353" s="197"/>
      <c r="AU3353" s="197"/>
      <c r="AV3353" s="197"/>
      <c r="AW3353" s="197"/>
    </row>
    <row r="3354" spans="28:49" s="196" customFormat="1">
      <c r="AB3354" s="201"/>
      <c r="AC3354" s="201"/>
      <c r="AD3354" s="197"/>
      <c r="AE3354" s="197"/>
      <c r="AF3354" s="197"/>
      <c r="AG3354" s="197"/>
      <c r="AH3354" s="197"/>
      <c r="AI3354" s="197"/>
      <c r="AJ3354" s="197"/>
      <c r="AK3354" s="197"/>
      <c r="AL3354" s="197"/>
      <c r="AM3354" s="197"/>
      <c r="AN3354" s="197"/>
      <c r="AO3354" s="197"/>
      <c r="AP3354" s="197"/>
      <c r="AQ3354" s="197"/>
      <c r="AR3354" s="197"/>
      <c r="AS3354" s="197"/>
      <c r="AT3354" s="197"/>
      <c r="AU3354" s="197"/>
      <c r="AV3354" s="197"/>
      <c r="AW3354" s="197"/>
    </row>
    <row r="3355" spans="28:49" s="196" customFormat="1">
      <c r="AB3355" s="201"/>
      <c r="AC3355" s="201"/>
      <c r="AD3355" s="197"/>
      <c r="AE3355" s="197"/>
      <c r="AF3355" s="197"/>
      <c r="AG3355" s="197"/>
      <c r="AH3355" s="197"/>
      <c r="AI3355" s="197"/>
      <c r="AJ3355" s="197"/>
      <c r="AK3355" s="197"/>
      <c r="AL3355" s="197"/>
      <c r="AM3355" s="197"/>
      <c r="AN3355" s="197"/>
      <c r="AO3355" s="197"/>
      <c r="AP3355" s="197"/>
      <c r="AQ3355" s="197"/>
      <c r="AR3355" s="197"/>
      <c r="AS3355" s="197"/>
      <c r="AT3355" s="197"/>
      <c r="AU3355" s="197"/>
      <c r="AV3355" s="197"/>
      <c r="AW3355" s="197"/>
    </row>
    <row r="3356" spans="28:49" s="196" customFormat="1">
      <c r="AB3356" s="201"/>
      <c r="AC3356" s="201"/>
      <c r="AD3356" s="197"/>
      <c r="AE3356" s="197"/>
      <c r="AF3356" s="197"/>
      <c r="AG3356" s="197"/>
      <c r="AH3356" s="197"/>
      <c r="AI3356" s="197"/>
      <c r="AJ3356" s="197"/>
      <c r="AK3356" s="197"/>
      <c r="AL3356" s="197"/>
      <c r="AM3356" s="197"/>
      <c r="AN3356" s="197"/>
      <c r="AO3356" s="197"/>
      <c r="AP3356" s="197"/>
      <c r="AQ3356" s="197"/>
      <c r="AR3356" s="197"/>
      <c r="AS3356" s="197"/>
      <c r="AT3356" s="197"/>
      <c r="AU3356" s="197"/>
      <c r="AV3356" s="197"/>
      <c r="AW3356" s="197"/>
    </row>
    <row r="3357" spans="28:49" s="196" customFormat="1">
      <c r="AB3357" s="201"/>
      <c r="AC3357" s="201"/>
      <c r="AD3357" s="197"/>
      <c r="AE3357" s="197"/>
      <c r="AF3357" s="197"/>
      <c r="AG3357" s="197"/>
      <c r="AH3357" s="197"/>
      <c r="AI3357" s="197"/>
      <c r="AJ3357" s="197"/>
      <c r="AK3357" s="197"/>
      <c r="AL3357" s="197"/>
      <c r="AM3357" s="197"/>
      <c r="AN3357" s="197"/>
      <c r="AO3357" s="197"/>
      <c r="AP3357" s="197"/>
      <c r="AQ3357" s="197"/>
      <c r="AR3357" s="197"/>
      <c r="AS3357" s="197"/>
      <c r="AT3357" s="197"/>
      <c r="AU3357" s="197"/>
      <c r="AV3357" s="197"/>
      <c r="AW3357" s="197"/>
    </row>
    <row r="3358" spans="28:49" s="196" customFormat="1">
      <c r="AB3358" s="201"/>
      <c r="AC3358" s="201"/>
      <c r="AD3358" s="197"/>
      <c r="AE3358" s="197"/>
      <c r="AF3358" s="197"/>
      <c r="AG3358" s="197"/>
      <c r="AH3358" s="197"/>
      <c r="AI3358" s="197"/>
      <c r="AJ3358" s="197"/>
      <c r="AK3358" s="197"/>
      <c r="AL3358" s="197"/>
      <c r="AM3358" s="197"/>
      <c r="AN3358" s="197"/>
      <c r="AO3358" s="197"/>
      <c r="AP3358" s="197"/>
      <c r="AQ3358" s="197"/>
      <c r="AR3358" s="197"/>
      <c r="AS3358" s="197"/>
      <c r="AT3358" s="197"/>
      <c r="AU3358" s="197"/>
      <c r="AV3358" s="197"/>
      <c r="AW3358" s="197"/>
    </row>
    <row r="3359" spans="28:49" s="196" customFormat="1">
      <c r="AB3359" s="201"/>
      <c r="AC3359" s="201"/>
      <c r="AD3359" s="197"/>
      <c r="AE3359" s="197"/>
      <c r="AF3359" s="197"/>
      <c r="AG3359" s="197"/>
      <c r="AH3359" s="197"/>
      <c r="AI3359" s="197"/>
      <c r="AJ3359" s="197"/>
      <c r="AK3359" s="197"/>
      <c r="AL3359" s="197"/>
      <c r="AM3359" s="197"/>
      <c r="AN3359" s="197"/>
      <c r="AO3359" s="197"/>
      <c r="AP3359" s="197"/>
      <c r="AQ3359" s="197"/>
      <c r="AR3359" s="197"/>
      <c r="AS3359" s="197"/>
      <c r="AT3359" s="197"/>
      <c r="AU3359" s="197"/>
      <c r="AV3359" s="197"/>
      <c r="AW3359" s="197"/>
    </row>
    <row r="3360" spans="28:49" s="196" customFormat="1">
      <c r="AB3360" s="201"/>
      <c r="AC3360" s="201"/>
      <c r="AD3360" s="197"/>
      <c r="AE3360" s="197"/>
      <c r="AF3360" s="197"/>
      <c r="AG3360" s="197"/>
      <c r="AH3360" s="197"/>
      <c r="AI3360" s="197"/>
      <c r="AJ3360" s="197"/>
      <c r="AK3360" s="197"/>
      <c r="AL3360" s="197"/>
      <c r="AM3360" s="197"/>
      <c r="AN3360" s="197"/>
      <c r="AO3360" s="197"/>
      <c r="AP3360" s="197"/>
      <c r="AQ3360" s="197"/>
      <c r="AR3360" s="197"/>
      <c r="AS3360" s="197"/>
      <c r="AT3360" s="197"/>
      <c r="AU3360" s="197"/>
      <c r="AV3360" s="197"/>
      <c r="AW3360" s="197"/>
    </row>
    <row r="3361" spans="28:49" s="196" customFormat="1">
      <c r="AB3361" s="201"/>
      <c r="AC3361" s="201"/>
      <c r="AD3361" s="197"/>
      <c r="AE3361" s="197"/>
      <c r="AF3361" s="197"/>
      <c r="AG3361" s="197"/>
      <c r="AH3361" s="197"/>
      <c r="AI3361" s="197"/>
      <c r="AJ3361" s="197"/>
      <c r="AK3361" s="197"/>
      <c r="AL3361" s="197"/>
      <c r="AM3361" s="197"/>
      <c r="AN3361" s="197"/>
      <c r="AO3361" s="197"/>
      <c r="AP3361" s="197"/>
      <c r="AQ3361" s="197"/>
      <c r="AR3361" s="197"/>
      <c r="AS3361" s="197"/>
      <c r="AT3361" s="197"/>
      <c r="AU3361" s="197"/>
      <c r="AV3361" s="197"/>
      <c r="AW3361" s="197"/>
    </row>
    <row r="3362" spans="28:49" s="196" customFormat="1">
      <c r="AB3362" s="201"/>
      <c r="AC3362" s="201"/>
      <c r="AD3362" s="197"/>
      <c r="AE3362" s="197"/>
      <c r="AF3362" s="197"/>
      <c r="AG3362" s="197"/>
      <c r="AH3362" s="197"/>
      <c r="AI3362" s="197"/>
      <c r="AJ3362" s="197"/>
      <c r="AK3362" s="197"/>
      <c r="AL3362" s="197"/>
      <c r="AM3362" s="197"/>
      <c r="AN3362" s="197"/>
      <c r="AO3362" s="197"/>
      <c r="AP3362" s="197"/>
      <c r="AQ3362" s="197"/>
      <c r="AR3362" s="197"/>
      <c r="AS3362" s="197"/>
      <c r="AT3362" s="197"/>
      <c r="AU3362" s="197"/>
      <c r="AV3362" s="197"/>
      <c r="AW3362" s="197"/>
    </row>
    <row r="3363" spans="28:49" s="196" customFormat="1">
      <c r="AB3363" s="201"/>
      <c r="AC3363" s="201"/>
      <c r="AD3363" s="197"/>
      <c r="AE3363" s="197"/>
      <c r="AF3363" s="197"/>
      <c r="AG3363" s="197"/>
      <c r="AH3363" s="197"/>
      <c r="AI3363" s="197"/>
      <c r="AJ3363" s="197"/>
      <c r="AK3363" s="197"/>
      <c r="AL3363" s="197"/>
      <c r="AM3363" s="197"/>
      <c r="AN3363" s="197"/>
      <c r="AO3363" s="197"/>
      <c r="AP3363" s="197"/>
      <c r="AQ3363" s="197"/>
      <c r="AR3363" s="197"/>
      <c r="AS3363" s="197"/>
      <c r="AT3363" s="197"/>
      <c r="AU3363" s="197"/>
      <c r="AV3363" s="197"/>
      <c r="AW3363" s="197"/>
    </row>
    <row r="3364" spans="28:49" s="196" customFormat="1">
      <c r="AB3364" s="201"/>
      <c r="AC3364" s="201"/>
      <c r="AD3364" s="197"/>
      <c r="AE3364" s="197"/>
      <c r="AF3364" s="197"/>
      <c r="AG3364" s="197"/>
      <c r="AH3364" s="197"/>
      <c r="AI3364" s="197"/>
      <c r="AJ3364" s="197"/>
      <c r="AK3364" s="197"/>
      <c r="AL3364" s="197"/>
      <c r="AM3364" s="197"/>
      <c r="AN3364" s="197"/>
      <c r="AO3364" s="197"/>
      <c r="AP3364" s="197"/>
      <c r="AQ3364" s="197"/>
      <c r="AR3364" s="197"/>
      <c r="AS3364" s="197"/>
      <c r="AT3364" s="197"/>
      <c r="AU3364" s="197"/>
      <c r="AV3364" s="197"/>
      <c r="AW3364" s="197"/>
    </row>
    <row r="3365" spans="28:49" s="196" customFormat="1">
      <c r="AB3365" s="201"/>
      <c r="AC3365" s="201"/>
      <c r="AD3365" s="197"/>
      <c r="AE3365" s="197"/>
      <c r="AF3365" s="197"/>
      <c r="AG3365" s="197"/>
      <c r="AH3365" s="197"/>
      <c r="AI3365" s="197"/>
      <c r="AJ3365" s="197"/>
      <c r="AK3365" s="197"/>
      <c r="AL3365" s="197"/>
      <c r="AM3365" s="197"/>
      <c r="AN3365" s="197"/>
      <c r="AO3365" s="197"/>
      <c r="AP3365" s="197"/>
      <c r="AQ3365" s="197"/>
      <c r="AR3365" s="197"/>
      <c r="AS3365" s="197"/>
      <c r="AT3365" s="197"/>
      <c r="AU3365" s="197"/>
      <c r="AV3365" s="197"/>
      <c r="AW3365" s="197"/>
    </row>
    <row r="3366" spans="28:49" s="196" customFormat="1">
      <c r="AB3366" s="201"/>
      <c r="AC3366" s="201"/>
      <c r="AD3366" s="197"/>
      <c r="AE3366" s="197"/>
      <c r="AF3366" s="197"/>
      <c r="AG3366" s="197"/>
      <c r="AH3366" s="197"/>
      <c r="AI3366" s="197"/>
      <c r="AJ3366" s="197"/>
      <c r="AK3366" s="197"/>
      <c r="AL3366" s="197"/>
      <c r="AM3366" s="197"/>
      <c r="AN3366" s="197"/>
      <c r="AO3366" s="197"/>
      <c r="AP3366" s="197"/>
      <c r="AQ3366" s="197"/>
      <c r="AR3366" s="197"/>
      <c r="AS3366" s="197"/>
      <c r="AT3366" s="197"/>
      <c r="AU3366" s="197"/>
      <c r="AV3366" s="197"/>
      <c r="AW3366" s="197"/>
    </row>
    <row r="3367" spans="28:49" s="196" customFormat="1">
      <c r="AB3367" s="201"/>
      <c r="AC3367" s="201"/>
      <c r="AD3367" s="197"/>
      <c r="AE3367" s="197"/>
      <c r="AF3367" s="197"/>
      <c r="AG3367" s="197"/>
      <c r="AH3367" s="197"/>
      <c r="AI3367" s="197"/>
      <c r="AJ3367" s="197"/>
      <c r="AK3367" s="197"/>
      <c r="AL3367" s="197"/>
      <c r="AM3367" s="197"/>
      <c r="AN3367" s="197"/>
      <c r="AO3367" s="197"/>
      <c r="AP3367" s="197"/>
      <c r="AQ3367" s="197"/>
      <c r="AR3367" s="197"/>
      <c r="AS3367" s="197"/>
      <c r="AT3367" s="197"/>
      <c r="AU3367" s="197"/>
      <c r="AV3367" s="197"/>
      <c r="AW3367" s="197"/>
    </row>
    <row r="3368" spans="28:49" s="196" customFormat="1">
      <c r="AB3368" s="201"/>
      <c r="AC3368" s="201"/>
      <c r="AD3368" s="197"/>
      <c r="AE3368" s="197"/>
      <c r="AF3368" s="197"/>
      <c r="AG3368" s="197"/>
      <c r="AH3368" s="197"/>
      <c r="AI3368" s="197"/>
      <c r="AJ3368" s="197"/>
      <c r="AK3368" s="197"/>
      <c r="AL3368" s="197"/>
      <c r="AM3368" s="197"/>
      <c r="AN3368" s="197"/>
      <c r="AO3368" s="197"/>
      <c r="AP3368" s="197"/>
      <c r="AQ3368" s="197"/>
      <c r="AR3368" s="197"/>
      <c r="AS3368" s="197"/>
      <c r="AT3368" s="197"/>
      <c r="AU3368" s="197"/>
      <c r="AV3368" s="197"/>
      <c r="AW3368" s="197"/>
    </row>
    <row r="3369" spans="28:49" s="196" customFormat="1">
      <c r="AB3369" s="201"/>
      <c r="AC3369" s="201"/>
      <c r="AD3369" s="197"/>
      <c r="AE3369" s="197"/>
      <c r="AF3369" s="197"/>
      <c r="AG3369" s="197"/>
      <c r="AH3369" s="197"/>
      <c r="AI3369" s="197"/>
      <c r="AJ3369" s="197"/>
      <c r="AK3369" s="197"/>
      <c r="AL3369" s="197"/>
      <c r="AM3369" s="197"/>
      <c r="AN3369" s="197"/>
      <c r="AO3369" s="197"/>
      <c r="AP3369" s="197"/>
      <c r="AQ3369" s="197"/>
      <c r="AR3369" s="197"/>
      <c r="AS3369" s="197"/>
      <c r="AT3369" s="197"/>
      <c r="AU3369" s="197"/>
      <c r="AV3369" s="197"/>
      <c r="AW3369" s="197"/>
    </row>
    <row r="3370" spans="28:49" s="196" customFormat="1">
      <c r="AB3370" s="201"/>
      <c r="AC3370" s="201"/>
      <c r="AD3370" s="197"/>
      <c r="AE3370" s="197"/>
      <c r="AF3370" s="197"/>
      <c r="AG3370" s="197"/>
      <c r="AH3370" s="197"/>
      <c r="AI3370" s="197"/>
      <c r="AJ3370" s="197"/>
      <c r="AK3370" s="197"/>
      <c r="AL3370" s="197"/>
      <c r="AM3370" s="197"/>
      <c r="AN3370" s="197"/>
      <c r="AO3370" s="197"/>
      <c r="AP3370" s="197"/>
      <c r="AQ3370" s="197"/>
      <c r="AR3370" s="197"/>
      <c r="AS3370" s="197"/>
      <c r="AT3370" s="197"/>
      <c r="AU3370" s="197"/>
      <c r="AV3370" s="197"/>
      <c r="AW3370" s="197"/>
    </row>
    <row r="3371" spans="28:49" s="196" customFormat="1">
      <c r="AB3371" s="201"/>
      <c r="AC3371" s="201"/>
      <c r="AD3371" s="197"/>
      <c r="AE3371" s="197"/>
      <c r="AF3371" s="197"/>
      <c r="AG3371" s="197"/>
      <c r="AH3371" s="197"/>
      <c r="AI3371" s="197"/>
      <c r="AJ3371" s="197"/>
      <c r="AK3371" s="197"/>
      <c r="AL3371" s="197"/>
      <c r="AM3371" s="197"/>
      <c r="AN3371" s="197"/>
      <c r="AO3371" s="197"/>
      <c r="AP3371" s="197"/>
      <c r="AQ3371" s="197"/>
      <c r="AR3371" s="197"/>
      <c r="AS3371" s="197"/>
      <c r="AT3371" s="197"/>
      <c r="AU3371" s="197"/>
      <c r="AV3371" s="197"/>
      <c r="AW3371" s="197"/>
    </row>
    <row r="3372" spans="28:49" s="196" customFormat="1">
      <c r="AB3372" s="201"/>
      <c r="AC3372" s="201"/>
      <c r="AD3372" s="197"/>
      <c r="AE3372" s="197"/>
      <c r="AF3372" s="197"/>
      <c r="AG3372" s="197"/>
      <c r="AH3372" s="197"/>
      <c r="AI3372" s="197"/>
      <c r="AJ3372" s="197"/>
      <c r="AK3372" s="197"/>
      <c r="AL3372" s="197"/>
      <c r="AM3372" s="197"/>
      <c r="AN3372" s="197"/>
      <c r="AO3372" s="197"/>
      <c r="AP3372" s="197"/>
      <c r="AQ3372" s="197"/>
      <c r="AR3372" s="197"/>
      <c r="AS3372" s="197"/>
      <c r="AT3372" s="197"/>
      <c r="AU3372" s="197"/>
      <c r="AV3372" s="197"/>
      <c r="AW3372" s="197"/>
    </row>
    <row r="3373" spans="28:49" s="196" customFormat="1">
      <c r="AB3373" s="201"/>
      <c r="AC3373" s="201"/>
      <c r="AD3373" s="197"/>
      <c r="AE3373" s="197"/>
      <c r="AF3373" s="197"/>
      <c r="AG3373" s="197"/>
      <c r="AH3373" s="197"/>
      <c r="AI3373" s="197"/>
      <c r="AJ3373" s="197"/>
      <c r="AK3373" s="197"/>
      <c r="AL3373" s="197"/>
      <c r="AM3373" s="197"/>
      <c r="AN3373" s="197"/>
      <c r="AO3373" s="197"/>
      <c r="AP3373" s="197"/>
      <c r="AQ3373" s="197"/>
      <c r="AR3373" s="197"/>
      <c r="AS3373" s="197"/>
      <c r="AT3373" s="197"/>
      <c r="AU3373" s="197"/>
      <c r="AV3373" s="197"/>
      <c r="AW3373" s="197"/>
    </row>
    <row r="3374" spans="28:49" s="196" customFormat="1">
      <c r="AB3374" s="201"/>
      <c r="AC3374" s="201"/>
      <c r="AD3374" s="197"/>
      <c r="AE3374" s="197"/>
      <c r="AF3374" s="197"/>
      <c r="AG3374" s="197"/>
      <c r="AH3374" s="197"/>
      <c r="AI3374" s="197"/>
      <c r="AJ3374" s="197"/>
      <c r="AK3374" s="197"/>
      <c r="AL3374" s="197"/>
      <c r="AM3374" s="197"/>
      <c r="AN3374" s="197"/>
      <c r="AO3374" s="197"/>
      <c r="AP3374" s="197"/>
      <c r="AQ3374" s="197"/>
      <c r="AR3374" s="197"/>
      <c r="AS3374" s="197"/>
      <c r="AT3374" s="197"/>
      <c r="AU3374" s="197"/>
      <c r="AV3374" s="197"/>
      <c r="AW3374" s="197"/>
    </row>
    <row r="3375" spans="28:49" s="196" customFormat="1">
      <c r="AB3375" s="201"/>
      <c r="AC3375" s="201"/>
      <c r="AD3375" s="197"/>
      <c r="AE3375" s="197"/>
      <c r="AF3375" s="197"/>
      <c r="AG3375" s="197"/>
      <c r="AH3375" s="197"/>
      <c r="AI3375" s="197"/>
      <c r="AJ3375" s="197"/>
      <c r="AK3375" s="197"/>
      <c r="AL3375" s="197"/>
      <c r="AM3375" s="197"/>
      <c r="AN3375" s="197"/>
      <c r="AO3375" s="197"/>
      <c r="AP3375" s="197"/>
      <c r="AQ3375" s="197"/>
      <c r="AR3375" s="197"/>
      <c r="AS3375" s="197"/>
      <c r="AT3375" s="197"/>
      <c r="AU3375" s="197"/>
      <c r="AV3375" s="197"/>
      <c r="AW3375" s="197"/>
    </row>
    <row r="3376" spans="28:49" s="196" customFormat="1">
      <c r="AB3376" s="201"/>
      <c r="AC3376" s="201"/>
      <c r="AD3376" s="197"/>
      <c r="AE3376" s="197"/>
      <c r="AF3376" s="197"/>
      <c r="AG3376" s="197"/>
      <c r="AH3376" s="197"/>
      <c r="AI3376" s="197"/>
      <c r="AJ3376" s="197"/>
      <c r="AK3376" s="197"/>
      <c r="AL3376" s="197"/>
      <c r="AM3376" s="197"/>
      <c r="AN3376" s="197"/>
      <c r="AO3376" s="197"/>
      <c r="AP3376" s="197"/>
      <c r="AQ3376" s="197"/>
      <c r="AR3376" s="197"/>
      <c r="AS3376" s="197"/>
      <c r="AT3376" s="197"/>
      <c r="AU3376" s="197"/>
      <c r="AV3376" s="197"/>
      <c r="AW3376" s="197"/>
    </row>
    <row r="3377" spans="28:49" s="196" customFormat="1">
      <c r="AB3377" s="201"/>
      <c r="AC3377" s="201"/>
      <c r="AD3377" s="197"/>
      <c r="AE3377" s="197"/>
      <c r="AF3377" s="197"/>
      <c r="AG3377" s="197"/>
      <c r="AH3377" s="197"/>
      <c r="AI3377" s="197"/>
      <c r="AJ3377" s="197"/>
      <c r="AK3377" s="197"/>
      <c r="AL3377" s="197"/>
      <c r="AM3377" s="197"/>
      <c r="AN3377" s="197"/>
      <c r="AO3377" s="197"/>
      <c r="AP3377" s="197"/>
      <c r="AQ3377" s="197"/>
      <c r="AR3377" s="197"/>
      <c r="AS3377" s="197"/>
      <c r="AT3377" s="197"/>
      <c r="AU3377" s="197"/>
      <c r="AV3377" s="197"/>
      <c r="AW3377" s="197"/>
    </row>
    <row r="3378" spans="28:49" s="196" customFormat="1">
      <c r="AB3378" s="201"/>
      <c r="AC3378" s="201"/>
      <c r="AD3378" s="197"/>
      <c r="AE3378" s="197"/>
      <c r="AF3378" s="197"/>
      <c r="AG3378" s="197"/>
      <c r="AH3378" s="197"/>
      <c r="AI3378" s="197"/>
      <c r="AJ3378" s="197"/>
      <c r="AK3378" s="197"/>
      <c r="AL3378" s="197"/>
      <c r="AM3378" s="197"/>
      <c r="AN3378" s="197"/>
      <c r="AO3378" s="197"/>
      <c r="AP3378" s="197"/>
      <c r="AQ3378" s="197"/>
      <c r="AR3378" s="197"/>
      <c r="AS3378" s="197"/>
      <c r="AT3378" s="197"/>
      <c r="AU3378" s="197"/>
      <c r="AV3378" s="197"/>
      <c r="AW3378" s="197"/>
    </row>
    <row r="3379" spans="28:49" s="196" customFormat="1">
      <c r="AB3379" s="201"/>
      <c r="AC3379" s="201"/>
      <c r="AD3379" s="197"/>
      <c r="AE3379" s="197"/>
      <c r="AF3379" s="197"/>
      <c r="AG3379" s="197"/>
      <c r="AH3379" s="197"/>
      <c r="AI3379" s="197"/>
      <c r="AJ3379" s="197"/>
      <c r="AK3379" s="197"/>
      <c r="AL3379" s="197"/>
      <c r="AM3379" s="197"/>
      <c r="AN3379" s="197"/>
      <c r="AO3379" s="197"/>
      <c r="AP3379" s="197"/>
      <c r="AQ3379" s="197"/>
      <c r="AR3379" s="197"/>
      <c r="AS3379" s="197"/>
      <c r="AT3379" s="197"/>
      <c r="AU3379" s="197"/>
      <c r="AV3379" s="197"/>
      <c r="AW3379" s="197"/>
    </row>
    <row r="3380" spans="28:49" s="196" customFormat="1">
      <c r="AB3380" s="201"/>
      <c r="AC3380" s="201"/>
      <c r="AD3380" s="197"/>
      <c r="AE3380" s="197"/>
      <c r="AF3380" s="197"/>
      <c r="AG3380" s="197"/>
      <c r="AH3380" s="197"/>
      <c r="AI3380" s="197"/>
      <c r="AJ3380" s="197"/>
      <c r="AK3380" s="197"/>
      <c r="AL3380" s="197"/>
      <c r="AM3380" s="197"/>
      <c r="AN3380" s="197"/>
      <c r="AO3380" s="197"/>
      <c r="AP3380" s="197"/>
      <c r="AQ3380" s="197"/>
      <c r="AR3380" s="197"/>
      <c r="AS3380" s="197"/>
      <c r="AT3380" s="197"/>
      <c r="AU3380" s="197"/>
      <c r="AV3380" s="197"/>
      <c r="AW3380" s="197"/>
    </row>
    <row r="3381" spans="28:49" s="196" customFormat="1">
      <c r="AB3381" s="201"/>
      <c r="AC3381" s="201"/>
      <c r="AD3381" s="197"/>
      <c r="AE3381" s="197"/>
      <c r="AF3381" s="197"/>
      <c r="AG3381" s="197"/>
      <c r="AH3381" s="197"/>
      <c r="AI3381" s="197"/>
      <c r="AJ3381" s="197"/>
      <c r="AK3381" s="197"/>
      <c r="AL3381" s="197"/>
      <c r="AM3381" s="197"/>
      <c r="AN3381" s="197"/>
      <c r="AO3381" s="197"/>
      <c r="AP3381" s="197"/>
      <c r="AQ3381" s="197"/>
      <c r="AR3381" s="197"/>
      <c r="AS3381" s="197"/>
      <c r="AT3381" s="197"/>
      <c r="AU3381" s="197"/>
      <c r="AV3381" s="197"/>
      <c r="AW3381" s="197"/>
    </row>
    <row r="3382" spans="28:49" s="196" customFormat="1">
      <c r="AB3382" s="201"/>
      <c r="AC3382" s="201"/>
      <c r="AD3382" s="197"/>
      <c r="AE3382" s="197"/>
      <c r="AF3382" s="197"/>
      <c r="AG3382" s="197"/>
      <c r="AH3382" s="197"/>
      <c r="AI3382" s="197"/>
      <c r="AJ3382" s="197"/>
      <c r="AK3382" s="197"/>
      <c r="AL3382" s="197"/>
      <c r="AM3382" s="197"/>
      <c r="AN3382" s="197"/>
      <c r="AO3382" s="197"/>
      <c r="AP3382" s="197"/>
      <c r="AQ3382" s="197"/>
      <c r="AR3382" s="197"/>
      <c r="AS3382" s="197"/>
      <c r="AT3382" s="197"/>
      <c r="AU3382" s="197"/>
      <c r="AV3382" s="197"/>
      <c r="AW3382" s="197"/>
    </row>
    <row r="3383" spans="28:49" s="196" customFormat="1">
      <c r="AB3383" s="201"/>
      <c r="AC3383" s="201"/>
      <c r="AD3383" s="197"/>
      <c r="AE3383" s="197"/>
      <c r="AF3383" s="197"/>
      <c r="AG3383" s="197"/>
      <c r="AH3383" s="197"/>
      <c r="AI3383" s="197"/>
      <c r="AJ3383" s="197"/>
      <c r="AK3383" s="197"/>
      <c r="AL3383" s="197"/>
      <c r="AM3383" s="197"/>
      <c r="AN3383" s="197"/>
      <c r="AO3383" s="197"/>
      <c r="AP3383" s="197"/>
      <c r="AQ3383" s="197"/>
      <c r="AR3383" s="197"/>
      <c r="AS3383" s="197"/>
      <c r="AT3383" s="197"/>
      <c r="AU3383" s="197"/>
      <c r="AV3383" s="197"/>
      <c r="AW3383" s="197"/>
    </row>
    <row r="3384" spans="28:49" s="196" customFormat="1">
      <c r="AB3384" s="201"/>
      <c r="AC3384" s="201"/>
      <c r="AD3384" s="197"/>
      <c r="AE3384" s="197"/>
      <c r="AF3384" s="197"/>
      <c r="AG3384" s="197"/>
      <c r="AH3384" s="197"/>
      <c r="AI3384" s="197"/>
      <c r="AJ3384" s="197"/>
      <c r="AK3384" s="197"/>
      <c r="AL3384" s="197"/>
      <c r="AM3384" s="197"/>
      <c r="AN3384" s="197"/>
      <c r="AO3384" s="197"/>
      <c r="AP3384" s="197"/>
      <c r="AQ3384" s="197"/>
      <c r="AR3384" s="197"/>
      <c r="AS3384" s="197"/>
      <c r="AT3384" s="197"/>
      <c r="AU3384" s="197"/>
      <c r="AV3384" s="197"/>
      <c r="AW3384" s="197"/>
    </row>
    <row r="3385" spans="28:49" s="196" customFormat="1">
      <c r="AB3385" s="201"/>
      <c r="AC3385" s="201"/>
      <c r="AD3385" s="197"/>
      <c r="AE3385" s="197"/>
      <c r="AF3385" s="197"/>
      <c r="AG3385" s="197"/>
      <c r="AH3385" s="197"/>
      <c r="AI3385" s="197"/>
      <c r="AJ3385" s="197"/>
      <c r="AK3385" s="197"/>
      <c r="AL3385" s="197"/>
      <c r="AM3385" s="197"/>
      <c r="AN3385" s="197"/>
      <c r="AO3385" s="197"/>
      <c r="AP3385" s="197"/>
      <c r="AQ3385" s="197"/>
      <c r="AR3385" s="197"/>
      <c r="AS3385" s="197"/>
      <c r="AT3385" s="197"/>
      <c r="AU3385" s="197"/>
      <c r="AV3385" s="197"/>
      <c r="AW3385" s="197"/>
    </row>
    <row r="3386" spans="28:49" s="196" customFormat="1">
      <c r="AB3386" s="201"/>
      <c r="AC3386" s="201"/>
      <c r="AD3386" s="197"/>
      <c r="AE3386" s="197"/>
      <c r="AF3386" s="197"/>
      <c r="AG3386" s="197"/>
      <c r="AH3386" s="197"/>
      <c r="AI3386" s="197"/>
      <c r="AJ3386" s="197"/>
      <c r="AK3386" s="197"/>
      <c r="AL3386" s="197"/>
      <c r="AM3386" s="197"/>
      <c r="AN3386" s="197"/>
      <c r="AO3386" s="197"/>
      <c r="AP3386" s="197"/>
      <c r="AQ3386" s="197"/>
      <c r="AR3386" s="197"/>
      <c r="AS3386" s="197"/>
      <c r="AT3386" s="197"/>
      <c r="AU3386" s="197"/>
      <c r="AV3386" s="197"/>
      <c r="AW3386" s="197"/>
    </row>
    <row r="3387" spans="28:49" s="196" customFormat="1">
      <c r="AB3387" s="201"/>
      <c r="AC3387" s="201"/>
      <c r="AD3387" s="197"/>
      <c r="AE3387" s="197"/>
      <c r="AF3387" s="197"/>
      <c r="AG3387" s="197"/>
      <c r="AH3387" s="197"/>
      <c r="AI3387" s="197"/>
      <c r="AJ3387" s="197"/>
      <c r="AK3387" s="197"/>
      <c r="AL3387" s="197"/>
      <c r="AM3387" s="197"/>
      <c r="AN3387" s="197"/>
      <c r="AO3387" s="197"/>
      <c r="AP3387" s="197"/>
      <c r="AQ3387" s="197"/>
      <c r="AR3387" s="197"/>
      <c r="AS3387" s="197"/>
      <c r="AT3387" s="197"/>
      <c r="AU3387" s="197"/>
      <c r="AV3387" s="197"/>
      <c r="AW3387" s="197"/>
    </row>
    <row r="3388" spans="28:49" s="196" customFormat="1">
      <c r="AB3388" s="201"/>
      <c r="AC3388" s="201"/>
      <c r="AD3388" s="197"/>
      <c r="AE3388" s="197"/>
      <c r="AF3388" s="197"/>
      <c r="AG3388" s="197"/>
      <c r="AH3388" s="197"/>
      <c r="AI3388" s="197"/>
      <c r="AJ3388" s="197"/>
      <c r="AK3388" s="197"/>
      <c r="AL3388" s="197"/>
      <c r="AM3388" s="197"/>
      <c r="AN3388" s="197"/>
      <c r="AO3388" s="197"/>
      <c r="AP3388" s="197"/>
      <c r="AQ3388" s="197"/>
      <c r="AR3388" s="197"/>
      <c r="AS3388" s="197"/>
      <c r="AT3388" s="197"/>
      <c r="AU3388" s="197"/>
      <c r="AV3388" s="197"/>
      <c r="AW3388" s="197"/>
    </row>
    <row r="3389" spans="28:49" s="196" customFormat="1">
      <c r="AB3389" s="201"/>
      <c r="AC3389" s="201"/>
      <c r="AD3389" s="197"/>
      <c r="AE3389" s="197"/>
      <c r="AF3389" s="197"/>
      <c r="AG3389" s="197"/>
      <c r="AH3389" s="197"/>
      <c r="AI3389" s="197"/>
      <c r="AJ3389" s="197"/>
      <c r="AK3389" s="197"/>
      <c r="AL3389" s="197"/>
      <c r="AM3389" s="197"/>
      <c r="AN3389" s="197"/>
      <c r="AO3389" s="197"/>
      <c r="AP3389" s="197"/>
      <c r="AQ3389" s="197"/>
      <c r="AR3389" s="197"/>
      <c r="AS3389" s="197"/>
      <c r="AT3389" s="197"/>
      <c r="AU3389" s="197"/>
      <c r="AV3389" s="197"/>
      <c r="AW3389" s="197"/>
    </row>
    <row r="3390" spans="28:49" s="196" customFormat="1">
      <c r="AB3390" s="201"/>
      <c r="AC3390" s="201"/>
      <c r="AD3390" s="197"/>
      <c r="AE3390" s="197"/>
      <c r="AF3390" s="197"/>
      <c r="AG3390" s="197"/>
      <c r="AH3390" s="197"/>
      <c r="AI3390" s="197"/>
      <c r="AJ3390" s="197"/>
      <c r="AK3390" s="197"/>
      <c r="AL3390" s="197"/>
      <c r="AM3390" s="197"/>
      <c r="AN3390" s="197"/>
      <c r="AO3390" s="197"/>
      <c r="AP3390" s="197"/>
      <c r="AQ3390" s="197"/>
      <c r="AR3390" s="197"/>
      <c r="AS3390" s="197"/>
      <c r="AT3390" s="197"/>
      <c r="AU3390" s="197"/>
      <c r="AV3390" s="197"/>
      <c r="AW3390" s="197"/>
    </row>
    <row r="3391" spans="28:49" s="196" customFormat="1">
      <c r="AB3391" s="201"/>
      <c r="AC3391" s="201"/>
      <c r="AD3391" s="197"/>
      <c r="AE3391" s="197"/>
      <c r="AF3391" s="197"/>
      <c r="AG3391" s="197"/>
      <c r="AH3391" s="197"/>
      <c r="AI3391" s="197"/>
      <c r="AJ3391" s="197"/>
      <c r="AK3391" s="197"/>
      <c r="AL3391" s="197"/>
      <c r="AM3391" s="197"/>
      <c r="AN3391" s="197"/>
      <c r="AO3391" s="197"/>
      <c r="AP3391" s="197"/>
      <c r="AQ3391" s="197"/>
      <c r="AR3391" s="197"/>
      <c r="AS3391" s="197"/>
      <c r="AT3391" s="197"/>
      <c r="AU3391" s="197"/>
      <c r="AV3391" s="197"/>
      <c r="AW3391" s="197"/>
    </row>
    <row r="3392" spans="28:49" s="196" customFormat="1">
      <c r="AB3392" s="201"/>
      <c r="AC3392" s="201"/>
      <c r="AD3392" s="197"/>
      <c r="AE3392" s="197"/>
      <c r="AF3392" s="197"/>
      <c r="AG3392" s="197"/>
      <c r="AH3392" s="197"/>
      <c r="AI3392" s="197"/>
      <c r="AJ3392" s="197"/>
      <c r="AK3392" s="197"/>
      <c r="AL3392" s="197"/>
      <c r="AM3392" s="197"/>
      <c r="AN3392" s="197"/>
      <c r="AO3392" s="197"/>
      <c r="AP3392" s="197"/>
      <c r="AQ3392" s="197"/>
      <c r="AR3392" s="197"/>
      <c r="AS3392" s="197"/>
      <c r="AT3392" s="197"/>
      <c r="AU3392" s="197"/>
      <c r="AV3392" s="197"/>
      <c r="AW3392" s="197"/>
    </row>
    <row r="3393" spans="28:49" s="196" customFormat="1">
      <c r="AB3393" s="201"/>
      <c r="AC3393" s="201"/>
      <c r="AD3393" s="197"/>
      <c r="AE3393" s="197"/>
      <c r="AF3393" s="197"/>
      <c r="AG3393" s="197"/>
      <c r="AH3393" s="197"/>
      <c r="AI3393" s="197"/>
      <c r="AJ3393" s="197"/>
      <c r="AK3393" s="197"/>
      <c r="AL3393" s="197"/>
      <c r="AM3393" s="197"/>
      <c r="AN3393" s="197"/>
      <c r="AO3393" s="197"/>
      <c r="AP3393" s="197"/>
      <c r="AQ3393" s="197"/>
      <c r="AR3393" s="197"/>
      <c r="AS3393" s="197"/>
      <c r="AT3393" s="197"/>
      <c r="AU3393" s="197"/>
      <c r="AV3393" s="197"/>
      <c r="AW3393" s="197"/>
    </row>
    <row r="3394" spans="28:49" s="196" customFormat="1">
      <c r="AB3394" s="201"/>
      <c r="AC3394" s="201"/>
      <c r="AD3394" s="197"/>
      <c r="AE3394" s="197"/>
      <c r="AF3394" s="197"/>
      <c r="AG3394" s="197"/>
      <c r="AH3394" s="197"/>
      <c r="AI3394" s="197"/>
      <c r="AJ3394" s="197"/>
      <c r="AK3394" s="197"/>
      <c r="AL3394" s="197"/>
      <c r="AM3394" s="197"/>
      <c r="AN3394" s="197"/>
      <c r="AO3394" s="197"/>
      <c r="AP3394" s="197"/>
      <c r="AQ3394" s="197"/>
      <c r="AR3394" s="197"/>
      <c r="AS3394" s="197"/>
      <c r="AT3394" s="197"/>
      <c r="AU3394" s="197"/>
      <c r="AV3394" s="197"/>
      <c r="AW3394" s="197"/>
    </row>
    <row r="3395" spans="28:49" s="196" customFormat="1">
      <c r="AB3395" s="201"/>
      <c r="AC3395" s="201"/>
      <c r="AD3395" s="197"/>
      <c r="AE3395" s="197"/>
      <c r="AF3395" s="197"/>
      <c r="AG3395" s="197"/>
      <c r="AH3395" s="197"/>
      <c r="AI3395" s="197"/>
      <c r="AJ3395" s="197"/>
      <c r="AK3395" s="197"/>
      <c r="AL3395" s="197"/>
      <c r="AM3395" s="197"/>
      <c r="AN3395" s="197"/>
      <c r="AO3395" s="197"/>
      <c r="AP3395" s="197"/>
      <c r="AQ3395" s="197"/>
      <c r="AR3395" s="197"/>
      <c r="AS3395" s="197"/>
      <c r="AT3395" s="197"/>
      <c r="AU3395" s="197"/>
      <c r="AV3395" s="197"/>
      <c r="AW3395" s="197"/>
    </row>
    <row r="3396" spans="28:49" s="196" customFormat="1">
      <c r="AB3396" s="201"/>
      <c r="AC3396" s="201"/>
      <c r="AD3396" s="197"/>
      <c r="AE3396" s="197"/>
      <c r="AF3396" s="197"/>
      <c r="AG3396" s="197"/>
      <c r="AH3396" s="197"/>
      <c r="AI3396" s="197"/>
      <c r="AJ3396" s="197"/>
      <c r="AK3396" s="197"/>
      <c r="AL3396" s="197"/>
      <c r="AM3396" s="197"/>
      <c r="AN3396" s="197"/>
      <c r="AO3396" s="197"/>
      <c r="AP3396" s="197"/>
      <c r="AQ3396" s="197"/>
      <c r="AR3396" s="197"/>
      <c r="AS3396" s="197"/>
      <c r="AT3396" s="197"/>
      <c r="AU3396" s="197"/>
      <c r="AV3396" s="197"/>
      <c r="AW3396" s="197"/>
    </row>
    <row r="3397" spans="28:49" s="196" customFormat="1">
      <c r="AB3397" s="201"/>
      <c r="AC3397" s="201"/>
      <c r="AD3397" s="197"/>
      <c r="AE3397" s="197"/>
      <c r="AF3397" s="197"/>
      <c r="AG3397" s="197"/>
      <c r="AH3397" s="197"/>
      <c r="AI3397" s="197"/>
      <c r="AJ3397" s="197"/>
      <c r="AK3397" s="197"/>
      <c r="AL3397" s="197"/>
      <c r="AM3397" s="197"/>
      <c r="AN3397" s="197"/>
      <c r="AO3397" s="197"/>
      <c r="AP3397" s="197"/>
      <c r="AQ3397" s="197"/>
      <c r="AR3397" s="197"/>
      <c r="AS3397" s="197"/>
      <c r="AT3397" s="197"/>
      <c r="AU3397" s="197"/>
      <c r="AV3397" s="197"/>
      <c r="AW3397" s="197"/>
    </row>
    <row r="3398" spans="28:49" s="196" customFormat="1">
      <c r="AB3398" s="201"/>
      <c r="AC3398" s="201"/>
      <c r="AD3398" s="197"/>
      <c r="AE3398" s="197"/>
      <c r="AF3398" s="197"/>
      <c r="AG3398" s="197"/>
      <c r="AH3398" s="197"/>
      <c r="AI3398" s="197"/>
      <c r="AJ3398" s="197"/>
      <c r="AK3398" s="197"/>
      <c r="AL3398" s="197"/>
      <c r="AM3398" s="197"/>
      <c r="AN3398" s="197"/>
      <c r="AO3398" s="197"/>
      <c r="AP3398" s="197"/>
      <c r="AQ3398" s="197"/>
      <c r="AR3398" s="197"/>
      <c r="AS3398" s="197"/>
      <c r="AT3398" s="197"/>
      <c r="AU3398" s="197"/>
      <c r="AV3398" s="197"/>
      <c r="AW3398" s="197"/>
    </row>
    <row r="3399" spans="28:49" s="196" customFormat="1">
      <c r="AB3399" s="201"/>
      <c r="AC3399" s="201"/>
      <c r="AD3399" s="197"/>
      <c r="AE3399" s="197"/>
      <c r="AF3399" s="197"/>
      <c r="AG3399" s="197"/>
      <c r="AH3399" s="197"/>
      <c r="AI3399" s="197"/>
      <c r="AJ3399" s="197"/>
      <c r="AK3399" s="197"/>
      <c r="AL3399" s="197"/>
      <c r="AM3399" s="197"/>
      <c r="AN3399" s="197"/>
      <c r="AO3399" s="197"/>
      <c r="AP3399" s="197"/>
      <c r="AQ3399" s="197"/>
      <c r="AR3399" s="197"/>
      <c r="AS3399" s="197"/>
      <c r="AT3399" s="197"/>
      <c r="AU3399" s="197"/>
      <c r="AV3399" s="197"/>
      <c r="AW3399" s="197"/>
    </row>
    <row r="3400" spans="28:49" s="196" customFormat="1">
      <c r="AB3400" s="201"/>
      <c r="AC3400" s="201"/>
      <c r="AD3400" s="197"/>
      <c r="AE3400" s="197"/>
      <c r="AF3400" s="197"/>
      <c r="AG3400" s="197"/>
      <c r="AH3400" s="197"/>
      <c r="AI3400" s="197"/>
      <c r="AJ3400" s="197"/>
      <c r="AK3400" s="197"/>
      <c r="AL3400" s="197"/>
      <c r="AM3400" s="197"/>
      <c r="AN3400" s="197"/>
      <c r="AO3400" s="197"/>
      <c r="AP3400" s="197"/>
      <c r="AQ3400" s="197"/>
      <c r="AR3400" s="197"/>
      <c r="AS3400" s="197"/>
      <c r="AT3400" s="197"/>
      <c r="AU3400" s="197"/>
      <c r="AV3400" s="197"/>
      <c r="AW3400" s="197"/>
    </row>
    <row r="3401" spans="28:49" s="196" customFormat="1">
      <c r="AB3401" s="201"/>
      <c r="AC3401" s="201"/>
      <c r="AD3401" s="197"/>
      <c r="AE3401" s="197"/>
      <c r="AF3401" s="197"/>
      <c r="AG3401" s="197"/>
      <c r="AH3401" s="197"/>
      <c r="AI3401" s="197"/>
      <c r="AJ3401" s="197"/>
      <c r="AK3401" s="197"/>
      <c r="AL3401" s="197"/>
      <c r="AM3401" s="197"/>
      <c r="AN3401" s="197"/>
      <c r="AO3401" s="197"/>
      <c r="AP3401" s="197"/>
      <c r="AQ3401" s="197"/>
      <c r="AR3401" s="197"/>
      <c r="AS3401" s="197"/>
      <c r="AT3401" s="197"/>
      <c r="AU3401" s="197"/>
      <c r="AV3401" s="197"/>
      <c r="AW3401" s="197"/>
    </row>
    <row r="3402" spans="28:49" s="196" customFormat="1">
      <c r="AB3402" s="201"/>
      <c r="AC3402" s="201"/>
      <c r="AD3402" s="197"/>
      <c r="AE3402" s="197"/>
      <c r="AF3402" s="197"/>
      <c r="AG3402" s="197"/>
      <c r="AH3402" s="197"/>
      <c r="AI3402" s="197"/>
      <c r="AJ3402" s="197"/>
      <c r="AK3402" s="197"/>
      <c r="AL3402" s="197"/>
      <c r="AM3402" s="197"/>
      <c r="AN3402" s="197"/>
      <c r="AO3402" s="197"/>
      <c r="AP3402" s="197"/>
      <c r="AQ3402" s="197"/>
      <c r="AR3402" s="197"/>
      <c r="AS3402" s="197"/>
      <c r="AT3402" s="197"/>
      <c r="AU3402" s="197"/>
      <c r="AV3402" s="197"/>
      <c r="AW3402" s="197"/>
    </row>
    <row r="3403" spans="28:49" s="196" customFormat="1">
      <c r="AB3403" s="201"/>
      <c r="AC3403" s="201"/>
      <c r="AD3403" s="197"/>
      <c r="AE3403" s="197"/>
      <c r="AF3403" s="197"/>
      <c r="AG3403" s="197"/>
      <c r="AH3403" s="197"/>
      <c r="AI3403" s="197"/>
      <c r="AJ3403" s="197"/>
      <c r="AK3403" s="197"/>
      <c r="AL3403" s="197"/>
      <c r="AM3403" s="197"/>
      <c r="AN3403" s="197"/>
      <c r="AO3403" s="197"/>
      <c r="AP3403" s="197"/>
      <c r="AQ3403" s="197"/>
      <c r="AR3403" s="197"/>
      <c r="AS3403" s="197"/>
      <c r="AT3403" s="197"/>
      <c r="AU3403" s="197"/>
      <c r="AV3403" s="197"/>
      <c r="AW3403" s="197"/>
    </row>
    <row r="3404" spans="28:49" s="196" customFormat="1">
      <c r="AB3404" s="201"/>
      <c r="AC3404" s="201"/>
      <c r="AD3404" s="197"/>
      <c r="AE3404" s="197"/>
      <c r="AF3404" s="197"/>
      <c r="AG3404" s="197"/>
      <c r="AH3404" s="197"/>
      <c r="AI3404" s="197"/>
      <c r="AJ3404" s="197"/>
      <c r="AK3404" s="197"/>
      <c r="AL3404" s="197"/>
      <c r="AM3404" s="197"/>
      <c r="AN3404" s="197"/>
      <c r="AO3404" s="197"/>
      <c r="AP3404" s="197"/>
      <c r="AQ3404" s="197"/>
      <c r="AR3404" s="197"/>
      <c r="AS3404" s="197"/>
      <c r="AT3404" s="197"/>
      <c r="AU3404" s="197"/>
      <c r="AV3404" s="197"/>
      <c r="AW3404" s="197"/>
    </row>
    <row r="3405" spans="28:49" s="196" customFormat="1">
      <c r="AB3405" s="201"/>
      <c r="AC3405" s="201"/>
      <c r="AD3405" s="197"/>
      <c r="AE3405" s="197"/>
      <c r="AF3405" s="197"/>
      <c r="AG3405" s="197"/>
      <c r="AH3405" s="197"/>
      <c r="AI3405" s="197"/>
      <c r="AJ3405" s="197"/>
      <c r="AK3405" s="197"/>
      <c r="AL3405" s="197"/>
      <c r="AM3405" s="197"/>
      <c r="AN3405" s="197"/>
      <c r="AO3405" s="197"/>
      <c r="AP3405" s="197"/>
      <c r="AQ3405" s="197"/>
      <c r="AR3405" s="197"/>
      <c r="AS3405" s="197"/>
      <c r="AT3405" s="197"/>
      <c r="AU3405" s="197"/>
      <c r="AV3405" s="197"/>
      <c r="AW3405" s="197"/>
    </row>
    <row r="3406" spans="28:49" s="196" customFormat="1">
      <c r="AB3406" s="201"/>
      <c r="AC3406" s="201"/>
      <c r="AD3406" s="197"/>
      <c r="AE3406" s="197"/>
      <c r="AF3406" s="197"/>
      <c r="AG3406" s="197"/>
      <c r="AH3406" s="197"/>
      <c r="AI3406" s="197"/>
      <c r="AJ3406" s="197"/>
      <c r="AK3406" s="197"/>
      <c r="AL3406" s="197"/>
      <c r="AM3406" s="197"/>
      <c r="AN3406" s="197"/>
      <c r="AO3406" s="197"/>
      <c r="AP3406" s="197"/>
      <c r="AQ3406" s="197"/>
      <c r="AR3406" s="197"/>
      <c r="AS3406" s="197"/>
      <c r="AT3406" s="197"/>
      <c r="AU3406" s="197"/>
      <c r="AV3406" s="197"/>
      <c r="AW3406" s="197"/>
    </row>
    <row r="3407" spans="28:49" s="196" customFormat="1">
      <c r="AB3407" s="201"/>
      <c r="AC3407" s="201"/>
      <c r="AD3407" s="197"/>
      <c r="AE3407" s="197"/>
      <c r="AF3407" s="197"/>
      <c r="AG3407" s="197"/>
      <c r="AH3407" s="197"/>
      <c r="AI3407" s="197"/>
      <c r="AJ3407" s="197"/>
      <c r="AK3407" s="197"/>
      <c r="AL3407" s="197"/>
      <c r="AM3407" s="197"/>
      <c r="AN3407" s="197"/>
      <c r="AO3407" s="197"/>
      <c r="AP3407" s="197"/>
      <c r="AQ3407" s="197"/>
      <c r="AR3407" s="197"/>
      <c r="AS3407" s="197"/>
      <c r="AT3407" s="197"/>
      <c r="AU3407" s="197"/>
      <c r="AV3407" s="197"/>
      <c r="AW3407" s="197"/>
    </row>
    <row r="3408" spans="28:49" s="196" customFormat="1">
      <c r="AB3408" s="201"/>
      <c r="AC3408" s="201"/>
      <c r="AD3408" s="197"/>
      <c r="AE3408" s="197"/>
      <c r="AF3408" s="197"/>
      <c r="AG3408" s="197"/>
      <c r="AH3408" s="197"/>
      <c r="AI3408" s="197"/>
      <c r="AJ3408" s="197"/>
      <c r="AK3408" s="197"/>
      <c r="AL3408" s="197"/>
      <c r="AM3408" s="197"/>
      <c r="AN3408" s="197"/>
      <c r="AO3408" s="197"/>
      <c r="AP3408" s="197"/>
      <c r="AQ3408" s="197"/>
      <c r="AR3408" s="197"/>
      <c r="AS3408" s="197"/>
      <c r="AT3408" s="197"/>
      <c r="AU3408" s="197"/>
      <c r="AV3408" s="197"/>
      <c r="AW3408" s="197"/>
    </row>
    <row r="3409" spans="28:49" s="196" customFormat="1">
      <c r="AB3409" s="201"/>
      <c r="AC3409" s="201"/>
      <c r="AD3409" s="197"/>
      <c r="AE3409" s="197"/>
      <c r="AF3409" s="197"/>
      <c r="AG3409" s="197"/>
      <c r="AH3409" s="197"/>
      <c r="AI3409" s="197"/>
      <c r="AJ3409" s="197"/>
      <c r="AK3409" s="197"/>
      <c r="AL3409" s="197"/>
      <c r="AM3409" s="197"/>
      <c r="AN3409" s="197"/>
      <c r="AO3409" s="197"/>
      <c r="AP3409" s="197"/>
      <c r="AQ3409" s="197"/>
      <c r="AR3409" s="197"/>
      <c r="AS3409" s="197"/>
      <c r="AT3409" s="197"/>
      <c r="AU3409" s="197"/>
      <c r="AV3409" s="197"/>
      <c r="AW3409" s="197"/>
    </row>
    <row r="3410" spans="28:49" s="196" customFormat="1">
      <c r="AB3410" s="201"/>
      <c r="AC3410" s="201"/>
      <c r="AD3410" s="197"/>
      <c r="AE3410" s="197"/>
      <c r="AF3410" s="197"/>
      <c r="AG3410" s="197"/>
      <c r="AH3410" s="197"/>
      <c r="AI3410" s="197"/>
      <c r="AJ3410" s="197"/>
      <c r="AK3410" s="197"/>
      <c r="AL3410" s="197"/>
      <c r="AM3410" s="197"/>
      <c r="AN3410" s="197"/>
      <c r="AO3410" s="197"/>
      <c r="AP3410" s="197"/>
      <c r="AQ3410" s="197"/>
      <c r="AR3410" s="197"/>
      <c r="AS3410" s="197"/>
      <c r="AT3410" s="197"/>
      <c r="AU3410" s="197"/>
      <c r="AV3410" s="197"/>
      <c r="AW3410" s="197"/>
    </row>
    <row r="3411" spans="28:49" s="196" customFormat="1">
      <c r="AB3411" s="201"/>
      <c r="AC3411" s="201"/>
      <c r="AD3411" s="197"/>
      <c r="AE3411" s="197"/>
      <c r="AF3411" s="197"/>
      <c r="AG3411" s="197"/>
      <c r="AH3411" s="197"/>
      <c r="AI3411" s="197"/>
      <c r="AJ3411" s="197"/>
      <c r="AK3411" s="197"/>
      <c r="AL3411" s="197"/>
      <c r="AM3411" s="197"/>
      <c r="AN3411" s="197"/>
      <c r="AO3411" s="197"/>
      <c r="AP3411" s="197"/>
      <c r="AQ3411" s="197"/>
      <c r="AR3411" s="197"/>
      <c r="AS3411" s="197"/>
      <c r="AT3411" s="197"/>
      <c r="AU3411" s="197"/>
      <c r="AV3411" s="197"/>
      <c r="AW3411" s="197"/>
    </row>
    <row r="3412" spans="28:49" s="196" customFormat="1">
      <c r="AB3412" s="201"/>
      <c r="AC3412" s="201"/>
      <c r="AD3412" s="197"/>
      <c r="AE3412" s="197"/>
      <c r="AF3412" s="197"/>
      <c r="AG3412" s="197"/>
      <c r="AH3412" s="197"/>
      <c r="AI3412" s="197"/>
      <c r="AJ3412" s="197"/>
      <c r="AK3412" s="197"/>
      <c r="AL3412" s="197"/>
      <c r="AM3412" s="197"/>
      <c r="AN3412" s="197"/>
      <c r="AO3412" s="197"/>
      <c r="AP3412" s="197"/>
      <c r="AQ3412" s="197"/>
      <c r="AR3412" s="197"/>
      <c r="AS3412" s="197"/>
      <c r="AT3412" s="197"/>
      <c r="AU3412" s="197"/>
      <c r="AV3412" s="197"/>
      <c r="AW3412" s="197"/>
    </row>
    <row r="3413" spans="28:49" s="196" customFormat="1">
      <c r="AB3413" s="201"/>
      <c r="AC3413" s="201"/>
      <c r="AD3413" s="197"/>
      <c r="AE3413" s="197"/>
      <c r="AF3413" s="197"/>
      <c r="AG3413" s="197"/>
      <c r="AH3413" s="197"/>
      <c r="AI3413" s="197"/>
      <c r="AJ3413" s="197"/>
      <c r="AK3413" s="197"/>
      <c r="AL3413" s="197"/>
      <c r="AM3413" s="197"/>
      <c r="AN3413" s="197"/>
      <c r="AO3413" s="197"/>
      <c r="AP3413" s="197"/>
      <c r="AQ3413" s="197"/>
      <c r="AR3413" s="197"/>
      <c r="AS3413" s="197"/>
      <c r="AT3413" s="197"/>
      <c r="AU3413" s="197"/>
      <c r="AV3413" s="197"/>
      <c r="AW3413" s="197"/>
    </row>
    <row r="3414" spans="28:49" s="196" customFormat="1">
      <c r="AB3414" s="201"/>
      <c r="AC3414" s="201"/>
      <c r="AD3414" s="197"/>
      <c r="AE3414" s="197"/>
      <c r="AF3414" s="197"/>
      <c r="AG3414" s="197"/>
      <c r="AH3414" s="197"/>
      <c r="AI3414" s="197"/>
      <c r="AJ3414" s="197"/>
      <c r="AK3414" s="197"/>
      <c r="AL3414" s="197"/>
      <c r="AM3414" s="197"/>
      <c r="AN3414" s="197"/>
      <c r="AO3414" s="197"/>
      <c r="AP3414" s="197"/>
      <c r="AQ3414" s="197"/>
      <c r="AR3414" s="197"/>
      <c r="AS3414" s="197"/>
      <c r="AT3414" s="197"/>
      <c r="AU3414" s="197"/>
      <c r="AV3414" s="197"/>
      <c r="AW3414" s="197"/>
    </row>
    <row r="3415" spans="28:49" s="196" customFormat="1">
      <c r="AB3415" s="201"/>
      <c r="AC3415" s="201"/>
      <c r="AD3415" s="197"/>
      <c r="AE3415" s="197"/>
      <c r="AF3415" s="197"/>
      <c r="AG3415" s="197"/>
      <c r="AH3415" s="197"/>
      <c r="AI3415" s="197"/>
      <c r="AJ3415" s="197"/>
      <c r="AK3415" s="197"/>
      <c r="AL3415" s="197"/>
      <c r="AM3415" s="197"/>
      <c r="AN3415" s="197"/>
      <c r="AO3415" s="197"/>
      <c r="AP3415" s="197"/>
      <c r="AQ3415" s="197"/>
      <c r="AR3415" s="197"/>
      <c r="AS3415" s="197"/>
      <c r="AT3415" s="197"/>
      <c r="AU3415" s="197"/>
      <c r="AV3415" s="197"/>
      <c r="AW3415" s="197"/>
    </row>
    <row r="3416" spans="28:49" s="196" customFormat="1">
      <c r="AB3416" s="201"/>
      <c r="AC3416" s="201"/>
      <c r="AD3416" s="197"/>
      <c r="AE3416" s="197"/>
      <c r="AF3416" s="197"/>
      <c r="AG3416" s="197"/>
      <c r="AH3416" s="197"/>
      <c r="AI3416" s="197"/>
      <c r="AJ3416" s="197"/>
      <c r="AK3416" s="197"/>
      <c r="AL3416" s="197"/>
      <c r="AM3416" s="197"/>
      <c r="AN3416" s="197"/>
      <c r="AO3416" s="197"/>
      <c r="AP3416" s="197"/>
      <c r="AQ3416" s="197"/>
      <c r="AR3416" s="197"/>
      <c r="AS3416" s="197"/>
      <c r="AT3416" s="197"/>
      <c r="AU3416" s="197"/>
      <c r="AV3416" s="197"/>
      <c r="AW3416" s="197"/>
    </row>
    <row r="3417" spans="28:49" s="196" customFormat="1">
      <c r="AB3417" s="201"/>
      <c r="AC3417" s="201"/>
      <c r="AD3417" s="197"/>
      <c r="AE3417" s="197"/>
      <c r="AF3417" s="197"/>
      <c r="AG3417" s="197"/>
      <c r="AH3417" s="197"/>
      <c r="AI3417" s="197"/>
      <c r="AJ3417" s="197"/>
      <c r="AK3417" s="197"/>
      <c r="AL3417" s="197"/>
      <c r="AM3417" s="197"/>
      <c r="AN3417" s="197"/>
      <c r="AO3417" s="197"/>
      <c r="AP3417" s="197"/>
      <c r="AQ3417" s="197"/>
      <c r="AR3417" s="197"/>
      <c r="AS3417" s="197"/>
      <c r="AT3417" s="197"/>
      <c r="AU3417" s="197"/>
      <c r="AV3417" s="197"/>
      <c r="AW3417" s="197"/>
    </row>
    <row r="3418" spans="28:49" s="196" customFormat="1">
      <c r="AB3418" s="201"/>
      <c r="AC3418" s="201"/>
      <c r="AD3418" s="197"/>
      <c r="AE3418" s="197"/>
      <c r="AF3418" s="197"/>
      <c r="AG3418" s="197"/>
      <c r="AH3418" s="197"/>
      <c r="AI3418" s="197"/>
      <c r="AJ3418" s="197"/>
      <c r="AK3418" s="197"/>
      <c r="AL3418" s="197"/>
      <c r="AM3418" s="197"/>
      <c r="AN3418" s="197"/>
      <c r="AO3418" s="197"/>
      <c r="AP3418" s="197"/>
      <c r="AQ3418" s="197"/>
      <c r="AR3418" s="197"/>
      <c r="AS3418" s="197"/>
      <c r="AT3418" s="197"/>
      <c r="AU3418" s="197"/>
      <c r="AV3418" s="197"/>
      <c r="AW3418" s="197"/>
    </row>
    <row r="3419" spans="28:49" s="196" customFormat="1">
      <c r="AB3419" s="201"/>
      <c r="AC3419" s="201"/>
      <c r="AD3419" s="197"/>
      <c r="AE3419" s="197"/>
      <c r="AF3419" s="197"/>
      <c r="AG3419" s="197"/>
      <c r="AH3419" s="197"/>
      <c r="AI3419" s="197"/>
      <c r="AJ3419" s="197"/>
      <c r="AK3419" s="197"/>
      <c r="AL3419" s="197"/>
      <c r="AM3419" s="197"/>
      <c r="AN3419" s="197"/>
      <c r="AO3419" s="197"/>
      <c r="AP3419" s="197"/>
      <c r="AQ3419" s="197"/>
      <c r="AR3419" s="197"/>
      <c r="AS3419" s="197"/>
      <c r="AT3419" s="197"/>
      <c r="AU3419" s="197"/>
      <c r="AV3419" s="197"/>
      <c r="AW3419" s="197"/>
    </row>
    <row r="3420" spans="28:49" s="196" customFormat="1">
      <c r="AB3420" s="201"/>
      <c r="AC3420" s="201"/>
      <c r="AD3420" s="197"/>
      <c r="AE3420" s="197"/>
      <c r="AF3420" s="197"/>
      <c r="AG3420" s="197"/>
      <c r="AH3420" s="197"/>
      <c r="AI3420" s="197"/>
      <c r="AJ3420" s="197"/>
      <c r="AK3420" s="197"/>
      <c r="AL3420" s="197"/>
      <c r="AM3420" s="197"/>
      <c r="AN3420" s="197"/>
      <c r="AO3420" s="197"/>
      <c r="AP3420" s="197"/>
      <c r="AQ3420" s="197"/>
      <c r="AR3420" s="197"/>
      <c r="AS3420" s="197"/>
      <c r="AT3420" s="197"/>
      <c r="AU3420" s="197"/>
      <c r="AV3420" s="197"/>
      <c r="AW3420" s="197"/>
    </row>
    <row r="3421" spans="28:49" s="196" customFormat="1">
      <c r="AB3421" s="201"/>
      <c r="AC3421" s="201"/>
      <c r="AD3421" s="197"/>
      <c r="AE3421" s="197"/>
      <c r="AF3421" s="197"/>
      <c r="AG3421" s="197"/>
      <c r="AH3421" s="197"/>
      <c r="AI3421" s="197"/>
      <c r="AJ3421" s="197"/>
      <c r="AK3421" s="197"/>
      <c r="AL3421" s="197"/>
      <c r="AM3421" s="197"/>
      <c r="AN3421" s="197"/>
      <c r="AO3421" s="197"/>
      <c r="AP3421" s="197"/>
      <c r="AQ3421" s="197"/>
      <c r="AR3421" s="197"/>
      <c r="AS3421" s="197"/>
      <c r="AT3421" s="197"/>
      <c r="AU3421" s="197"/>
      <c r="AV3421" s="197"/>
      <c r="AW3421" s="197"/>
    </row>
    <row r="3422" spans="28:49" s="196" customFormat="1">
      <c r="AB3422" s="201"/>
      <c r="AC3422" s="201"/>
      <c r="AD3422" s="197"/>
      <c r="AE3422" s="197"/>
      <c r="AF3422" s="197"/>
      <c r="AG3422" s="197"/>
      <c r="AH3422" s="197"/>
      <c r="AI3422" s="197"/>
      <c r="AJ3422" s="197"/>
      <c r="AK3422" s="197"/>
      <c r="AL3422" s="197"/>
      <c r="AM3422" s="197"/>
      <c r="AN3422" s="197"/>
      <c r="AO3422" s="197"/>
      <c r="AP3422" s="197"/>
      <c r="AQ3422" s="197"/>
      <c r="AR3422" s="197"/>
      <c r="AS3422" s="197"/>
      <c r="AT3422" s="197"/>
      <c r="AU3422" s="197"/>
      <c r="AV3422" s="197"/>
      <c r="AW3422" s="197"/>
    </row>
    <row r="3423" spans="28:49" s="196" customFormat="1">
      <c r="AB3423" s="201"/>
      <c r="AC3423" s="201"/>
      <c r="AD3423" s="197"/>
      <c r="AE3423" s="197"/>
      <c r="AF3423" s="197"/>
      <c r="AG3423" s="197"/>
      <c r="AH3423" s="197"/>
      <c r="AI3423" s="197"/>
      <c r="AJ3423" s="197"/>
      <c r="AK3423" s="197"/>
      <c r="AL3423" s="197"/>
      <c r="AM3423" s="197"/>
      <c r="AN3423" s="197"/>
      <c r="AO3423" s="197"/>
      <c r="AP3423" s="197"/>
      <c r="AQ3423" s="197"/>
      <c r="AR3423" s="197"/>
      <c r="AS3423" s="197"/>
      <c r="AT3423" s="197"/>
      <c r="AU3423" s="197"/>
      <c r="AV3423" s="197"/>
      <c r="AW3423" s="197"/>
    </row>
    <row r="3424" spans="28:49" s="196" customFormat="1">
      <c r="AB3424" s="201"/>
      <c r="AC3424" s="201"/>
      <c r="AD3424" s="197"/>
      <c r="AE3424" s="197"/>
      <c r="AF3424" s="197"/>
      <c r="AG3424" s="197"/>
      <c r="AH3424" s="197"/>
      <c r="AI3424" s="197"/>
      <c r="AJ3424" s="197"/>
      <c r="AK3424" s="197"/>
      <c r="AL3424" s="197"/>
      <c r="AM3424" s="197"/>
      <c r="AN3424" s="197"/>
      <c r="AO3424" s="197"/>
      <c r="AP3424" s="197"/>
      <c r="AQ3424" s="197"/>
      <c r="AR3424" s="197"/>
      <c r="AS3424" s="197"/>
      <c r="AT3424" s="197"/>
      <c r="AU3424" s="197"/>
      <c r="AV3424" s="197"/>
      <c r="AW3424" s="197"/>
    </row>
    <row r="3425" spans="28:49" s="196" customFormat="1">
      <c r="AB3425" s="201"/>
      <c r="AC3425" s="201"/>
      <c r="AD3425" s="197"/>
      <c r="AE3425" s="197"/>
      <c r="AF3425" s="197"/>
      <c r="AG3425" s="197"/>
      <c r="AH3425" s="197"/>
      <c r="AI3425" s="197"/>
      <c r="AJ3425" s="197"/>
      <c r="AK3425" s="197"/>
      <c r="AL3425" s="197"/>
      <c r="AM3425" s="197"/>
      <c r="AN3425" s="197"/>
      <c r="AO3425" s="197"/>
      <c r="AP3425" s="197"/>
      <c r="AQ3425" s="197"/>
      <c r="AR3425" s="197"/>
      <c r="AS3425" s="197"/>
      <c r="AT3425" s="197"/>
      <c r="AU3425" s="197"/>
      <c r="AV3425" s="197"/>
      <c r="AW3425" s="197"/>
    </row>
    <row r="3426" spans="28:49" s="196" customFormat="1">
      <c r="AB3426" s="201"/>
      <c r="AC3426" s="201"/>
      <c r="AD3426" s="197"/>
      <c r="AE3426" s="197"/>
      <c r="AF3426" s="197"/>
      <c r="AG3426" s="197"/>
      <c r="AH3426" s="197"/>
      <c r="AI3426" s="197"/>
      <c r="AJ3426" s="197"/>
      <c r="AK3426" s="197"/>
      <c r="AL3426" s="197"/>
      <c r="AM3426" s="197"/>
      <c r="AN3426" s="197"/>
      <c r="AO3426" s="197"/>
      <c r="AP3426" s="197"/>
      <c r="AQ3426" s="197"/>
      <c r="AR3426" s="197"/>
      <c r="AS3426" s="197"/>
      <c r="AT3426" s="197"/>
      <c r="AU3426" s="197"/>
      <c r="AV3426" s="197"/>
      <c r="AW3426" s="197"/>
    </row>
    <row r="3427" spans="28:49" s="196" customFormat="1">
      <c r="AB3427" s="201"/>
      <c r="AC3427" s="201"/>
      <c r="AD3427" s="197"/>
      <c r="AE3427" s="197"/>
      <c r="AF3427" s="197"/>
      <c r="AG3427" s="197"/>
      <c r="AH3427" s="197"/>
      <c r="AI3427" s="197"/>
      <c r="AJ3427" s="197"/>
      <c r="AK3427" s="197"/>
      <c r="AL3427" s="197"/>
      <c r="AM3427" s="197"/>
      <c r="AN3427" s="197"/>
      <c r="AO3427" s="197"/>
      <c r="AP3427" s="197"/>
      <c r="AQ3427" s="197"/>
      <c r="AR3427" s="197"/>
      <c r="AS3427" s="197"/>
      <c r="AT3427" s="197"/>
      <c r="AU3427" s="197"/>
      <c r="AV3427" s="197"/>
      <c r="AW3427" s="197"/>
    </row>
    <row r="3428" spans="28:49" s="196" customFormat="1">
      <c r="AB3428" s="201"/>
      <c r="AC3428" s="201"/>
      <c r="AD3428" s="197"/>
      <c r="AE3428" s="197"/>
      <c r="AF3428" s="197"/>
      <c r="AG3428" s="197"/>
      <c r="AH3428" s="197"/>
      <c r="AI3428" s="197"/>
      <c r="AJ3428" s="197"/>
      <c r="AK3428" s="197"/>
      <c r="AL3428" s="197"/>
      <c r="AM3428" s="197"/>
      <c r="AN3428" s="197"/>
      <c r="AO3428" s="197"/>
      <c r="AP3428" s="197"/>
      <c r="AQ3428" s="197"/>
      <c r="AR3428" s="197"/>
      <c r="AS3428" s="197"/>
      <c r="AT3428" s="197"/>
      <c r="AU3428" s="197"/>
      <c r="AV3428" s="197"/>
      <c r="AW3428" s="197"/>
    </row>
    <row r="3429" spans="28:49" s="196" customFormat="1">
      <c r="AB3429" s="201"/>
      <c r="AC3429" s="201"/>
      <c r="AD3429" s="197"/>
      <c r="AE3429" s="197"/>
      <c r="AF3429" s="197"/>
      <c r="AG3429" s="197"/>
      <c r="AH3429" s="197"/>
      <c r="AI3429" s="197"/>
      <c r="AJ3429" s="197"/>
      <c r="AK3429" s="197"/>
      <c r="AL3429" s="197"/>
      <c r="AM3429" s="197"/>
      <c r="AN3429" s="197"/>
      <c r="AO3429" s="197"/>
      <c r="AP3429" s="197"/>
      <c r="AQ3429" s="197"/>
      <c r="AR3429" s="197"/>
      <c r="AS3429" s="197"/>
      <c r="AT3429" s="197"/>
      <c r="AU3429" s="197"/>
      <c r="AV3429" s="197"/>
      <c r="AW3429" s="197"/>
    </row>
    <row r="3430" spans="28:49" s="196" customFormat="1">
      <c r="AB3430" s="201"/>
      <c r="AC3430" s="201"/>
      <c r="AD3430" s="197"/>
      <c r="AE3430" s="197"/>
      <c r="AF3430" s="197"/>
      <c r="AG3430" s="197"/>
      <c r="AH3430" s="197"/>
      <c r="AI3430" s="197"/>
      <c r="AJ3430" s="197"/>
      <c r="AK3430" s="197"/>
      <c r="AL3430" s="197"/>
      <c r="AM3430" s="197"/>
      <c r="AN3430" s="197"/>
      <c r="AO3430" s="197"/>
      <c r="AP3430" s="197"/>
      <c r="AQ3430" s="197"/>
      <c r="AR3430" s="197"/>
      <c r="AS3430" s="197"/>
      <c r="AT3430" s="197"/>
      <c r="AU3430" s="197"/>
      <c r="AV3430" s="197"/>
      <c r="AW3430" s="197"/>
    </row>
    <row r="3431" spans="28:49" s="196" customFormat="1">
      <c r="AB3431" s="201"/>
      <c r="AC3431" s="201"/>
      <c r="AD3431" s="197"/>
      <c r="AE3431" s="197"/>
      <c r="AF3431" s="197"/>
      <c r="AG3431" s="197"/>
      <c r="AH3431" s="197"/>
      <c r="AI3431" s="197"/>
      <c r="AJ3431" s="197"/>
      <c r="AK3431" s="197"/>
      <c r="AL3431" s="197"/>
      <c r="AM3431" s="197"/>
      <c r="AN3431" s="197"/>
      <c r="AO3431" s="197"/>
      <c r="AP3431" s="197"/>
      <c r="AQ3431" s="197"/>
      <c r="AR3431" s="197"/>
      <c r="AS3431" s="197"/>
      <c r="AT3431" s="197"/>
      <c r="AU3431" s="197"/>
      <c r="AV3431" s="197"/>
      <c r="AW3431" s="197"/>
    </row>
    <row r="3432" spans="28:49" s="196" customFormat="1">
      <c r="AB3432" s="201"/>
      <c r="AC3432" s="201"/>
      <c r="AD3432" s="197"/>
      <c r="AE3432" s="197"/>
      <c r="AF3432" s="197"/>
      <c r="AG3432" s="197"/>
      <c r="AH3432" s="197"/>
      <c r="AI3432" s="197"/>
      <c r="AJ3432" s="197"/>
      <c r="AK3432" s="197"/>
      <c r="AL3432" s="197"/>
      <c r="AM3432" s="197"/>
      <c r="AN3432" s="197"/>
      <c r="AO3432" s="197"/>
      <c r="AP3432" s="197"/>
      <c r="AQ3432" s="197"/>
      <c r="AR3432" s="197"/>
      <c r="AS3432" s="197"/>
      <c r="AT3432" s="197"/>
      <c r="AU3432" s="197"/>
      <c r="AV3432" s="197"/>
      <c r="AW3432" s="197"/>
    </row>
    <row r="3433" spans="28:49" s="196" customFormat="1">
      <c r="AB3433" s="201"/>
      <c r="AC3433" s="201"/>
      <c r="AD3433" s="197"/>
      <c r="AE3433" s="197"/>
      <c r="AF3433" s="197"/>
      <c r="AG3433" s="197"/>
      <c r="AH3433" s="197"/>
      <c r="AI3433" s="197"/>
      <c r="AJ3433" s="197"/>
      <c r="AK3433" s="197"/>
      <c r="AL3433" s="197"/>
      <c r="AM3433" s="197"/>
      <c r="AN3433" s="197"/>
      <c r="AO3433" s="197"/>
      <c r="AP3433" s="197"/>
      <c r="AQ3433" s="197"/>
      <c r="AR3433" s="197"/>
      <c r="AS3433" s="197"/>
      <c r="AT3433" s="197"/>
      <c r="AU3433" s="197"/>
      <c r="AV3433" s="197"/>
      <c r="AW3433" s="197"/>
    </row>
    <row r="3434" spans="28:49" s="196" customFormat="1">
      <c r="AB3434" s="201"/>
      <c r="AC3434" s="201"/>
      <c r="AD3434" s="197"/>
      <c r="AE3434" s="197"/>
      <c r="AF3434" s="197"/>
      <c r="AG3434" s="197"/>
      <c r="AH3434" s="197"/>
      <c r="AI3434" s="197"/>
      <c r="AJ3434" s="197"/>
      <c r="AK3434" s="197"/>
      <c r="AL3434" s="197"/>
      <c r="AM3434" s="197"/>
      <c r="AN3434" s="197"/>
      <c r="AO3434" s="197"/>
      <c r="AP3434" s="197"/>
      <c r="AQ3434" s="197"/>
      <c r="AR3434" s="197"/>
      <c r="AS3434" s="197"/>
      <c r="AT3434" s="197"/>
      <c r="AU3434" s="197"/>
      <c r="AV3434" s="197"/>
      <c r="AW3434" s="197"/>
    </row>
    <row r="3435" spans="28:49" s="196" customFormat="1">
      <c r="AB3435" s="201"/>
      <c r="AC3435" s="201"/>
      <c r="AD3435" s="197"/>
      <c r="AE3435" s="197"/>
      <c r="AF3435" s="197"/>
      <c r="AG3435" s="197"/>
      <c r="AH3435" s="197"/>
      <c r="AI3435" s="197"/>
      <c r="AJ3435" s="197"/>
      <c r="AK3435" s="197"/>
      <c r="AL3435" s="197"/>
      <c r="AM3435" s="197"/>
      <c r="AN3435" s="197"/>
      <c r="AO3435" s="197"/>
      <c r="AP3435" s="197"/>
      <c r="AQ3435" s="197"/>
      <c r="AR3435" s="197"/>
      <c r="AS3435" s="197"/>
      <c r="AT3435" s="197"/>
      <c r="AU3435" s="197"/>
      <c r="AV3435" s="197"/>
      <c r="AW3435" s="197"/>
    </row>
    <row r="3436" spans="28:49" s="196" customFormat="1">
      <c r="AB3436" s="201"/>
      <c r="AC3436" s="201"/>
      <c r="AD3436" s="197"/>
      <c r="AE3436" s="197"/>
      <c r="AF3436" s="197"/>
      <c r="AG3436" s="197"/>
      <c r="AH3436" s="197"/>
      <c r="AI3436" s="197"/>
      <c r="AJ3436" s="197"/>
      <c r="AK3436" s="197"/>
      <c r="AL3436" s="197"/>
      <c r="AM3436" s="197"/>
      <c r="AN3436" s="197"/>
      <c r="AO3436" s="197"/>
      <c r="AP3436" s="197"/>
      <c r="AQ3436" s="197"/>
      <c r="AR3436" s="197"/>
      <c r="AS3436" s="197"/>
      <c r="AT3436" s="197"/>
      <c r="AU3436" s="197"/>
      <c r="AV3436" s="197"/>
      <c r="AW3436" s="197"/>
    </row>
    <row r="3437" spans="28:49" s="196" customFormat="1">
      <c r="AB3437" s="201"/>
      <c r="AC3437" s="201"/>
      <c r="AD3437" s="197"/>
      <c r="AE3437" s="197"/>
      <c r="AF3437" s="197"/>
      <c r="AG3437" s="197"/>
      <c r="AH3437" s="197"/>
      <c r="AI3437" s="197"/>
      <c r="AJ3437" s="197"/>
      <c r="AK3437" s="197"/>
      <c r="AL3437" s="197"/>
      <c r="AM3437" s="197"/>
      <c r="AN3437" s="197"/>
      <c r="AO3437" s="197"/>
      <c r="AP3437" s="197"/>
      <c r="AQ3437" s="197"/>
      <c r="AR3437" s="197"/>
      <c r="AS3437" s="197"/>
      <c r="AT3437" s="197"/>
      <c r="AU3437" s="197"/>
      <c r="AV3437" s="197"/>
      <c r="AW3437" s="197"/>
    </row>
    <row r="3438" spans="28:49" s="196" customFormat="1">
      <c r="AB3438" s="201"/>
      <c r="AC3438" s="201"/>
      <c r="AD3438" s="197"/>
      <c r="AE3438" s="197"/>
      <c r="AF3438" s="197"/>
      <c r="AG3438" s="197"/>
      <c r="AH3438" s="197"/>
      <c r="AI3438" s="197"/>
      <c r="AJ3438" s="197"/>
      <c r="AK3438" s="197"/>
      <c r="AL3438" s="197"/>
      <c r="AM3438" s="197"/>
      <c r="AN3438" s="197"/>
      <c r="AO3438" s="197"/>
      <c r="AP3438" s="197"/>
      <c r="AQ3438" s="197"/>
      <c r="AR3438" s="197"/>
      <c r="AS3438" s="197"/>
      <c r="AT3438" s="197"/>
      <c r="AU3438" s="197"/>
      <c r="AV3438" s="197"/>
      <c r="AW3438" s="197"/>
    </row>
    <row r="3439" spans="28:49" s="196" customFormat="1">
      <c r="AB3439" s="201"/>
      <c r="AC3439" s="201"/>
      <c r="AD3439" s="197"/>
      <c r="AE3439" s="197"/>
      <c r="AF3439" s="197"/>
      <c r="AG3439" s="197"/>
      <c r="AH3439" s="197"/>
      <c r="AI3439" s="197"/>
      <c r="AJ3439" s="197"/>
      <c r="AK3439" s="197"/>
      <c r="AL3439" s="197"/>
      <c r="AM3439" s="197"/>
      <c r="AN3439" s="197"/>
      <c r="AO3439" s="197"/>
      <c r="AP3439" s="197"/>
      <c r="AQ3439" s="197"/>
      <c r="AR3439" s="197"/>
      <c r="AS3439" s="197"/>
      <c r="AT3439" s="197"/>
      <c r="AU3439" s="197"/>
      <c r="AV3439" s="197"/>
      <c r="AW3439" s="197"/>
    </row>
    <row r="3440" spans="28:49" s="196" customFormat="1">
      <c r="AB3440" s="201"/>
      <c r="AC3440" s="201"/>
      <c r="AD3440" s="197"/>
      <c r="AE3440" s="197"/>
      <c r="AF3440" s="197"/>
      <c r="AG3440" s="197"/>
      <c r="AH3440" s="197"/>
      <c r="AI3440" s="197"/>
      <c r="AJ3440" s="197"/>
      <c r="AK3440" s="197"/>
      <c r="AL3440" s="197"/>
      <c r="AM3440" s="197"/>
      <c r="AN3440" s="197"/>
      <c r="AO3440" s="197"/>
      <c r="AP3440" s="197"/>
      <c r="AQ3440" s="197"/>
      <c r="AR3440" s="197"/>
      <c r="AS3440" s="197"/>
      <c r="AT3440" s="197"/>
      <c r="AU3440" s="197"/>
      <c r="AV3440" s="197"/>
      <c r="AW3440" s="197"/>
    </row>
    <row r="3441" spans="28:49" s="196" customFormat="1">
      <c r="AB3441" s="201"/>
      <c r="AC3441" s="201"/>
      <c r="AD3441" s="197"/>
      <c r="AE3441" s="197"/>
      <c r="AF3441" s="197"/>
      <c r="AG3441" s="197"/>
      <c r="AH3441" s="197"/>
      <c r="AI3441" s="197"/>
      <c r="AJ3441" s="197"/>
      <c r="AK3441" s="197"/>
      <c r="AL3441" s="197"/>
      <c r="AM3441" s="197"/>
      <c r="AN3441" s="197"/>
      <c r="AO3441" s="197"/>
      <c r="AP3441" s="197"/>
      <c r="AQ3441" s="197"/>
      <c r="AR3441" s="197"/>
      <c r="AS3441" s="197"/>
      <c r="AT3441" s="197"/>
      <c r="AU3441" s="197"/>
      <c r="AV3441" s="197"/>
      <c r="AW3441" s="197"/>
    </row>
    <row r="3442" spans="28:49" s="196" customFormat="1">
      <c r="AB3442" s="201"/>
      <c r="AC3442" s="201"/>
      <c r="AD3442" s="197"/>
      <c r="AE3442" s="197"/>
      <c r="AF3442" s="197"/>
      <c r="AG3442" s="197"/>
      <c r="AH3442" s="197"/>
      <c r="AI3442" s="197"/>
      <c r="AJ3442" s="197"/>
      <c r="AK3442" s="197"/>
      <c r="AL3442" s="197"/>
      <c r="AM3442" s="197"/>
      <c r="AN3442" s="197"/>
      <c r="AO3442" s="197"/>
      <c r="AP3442" s="197"/>
      <c r="AQ3442" s="197"/>
      <c r="AR3442" s="197"/>
      <c r="AS3442" s="197"/>
      <c r="AT3442" s="197"/>
      <c r="AU3442" s="197"/>
      <c r="AV3442" s="197"/>
      <c r="AW3442" s="197"/>
    </row>
    <row r="3443" spans="28:49" s="196" customFormat="1">
      <c r="AB3443" s="201"/>
      <c r="AC3443" s="201"/>
      <c r="AD3443" s="197"/>
      <c r="AE3443" s="197"/>
      <c r="AF3443" s="197"/>
      <c r="AG3443" s="197"/>
      <c r="AH3443" s="197"/>
      <c r="AI3443" s="197"/>
      <c r="AJ3443" s="197"/>
      <c r="AK3443" s="197"/>
      <c r="AL3443" s="197"/>
      <c r="AM3443" s="197"/>
      <c r="AN3443" s="197"/>
      <c r="AO3443" s="197"/>
      <c r="AP3443" s="197"/>
      <c r="AQ3443" s="197"/>
      <c r="AR3443" s="197"/>
      <c r="AS3443" s="197"/>
      <c r="AT3443" s="197"/>
      <c r="AU3443" s="197"/>
      <c r="AV3443" s="197"/>
      <c r="AW3443" s="197"/>
    </row>
    <row r="3444" spans="28:49" s="196" customFormat="1">
      <c r="AB3444" s="201"/>
      <c r="AC3444" s="201"/>
      <c r="AD3444" s="197"/>
      <c r="AE3444" s="197"/>
      <c r="AF3444" s="197"/>
      <c r="AG3444" s="197"/>
      <c r="AH3444" s="197"/>
      <c r="AI3444" s="197"/>
      <c r="AJ3444" s="197"/>
      <c r="AK3444" s="197"/>
      <c r="AL3444" s="197"/>
      <c r="AM3444" s="197"/>
      <c r="AN3444" s="197"/>
      <c r="AO3444" s="197"/>
      <c r="AP3444" s="197"/>
      <c r="AQ3444" s="197"/>
      <c r="AR3444" s="197"/>
      <c r="AS3444" s="197"/>
      <c r="AT3444" s="197"/>
      <c r="AU3444" s="197"/>
      <c r="AV3444" s="197"/>
      <c r="AW3444" s="197"/>
    </row>
    <row r="3445" spans="28:49" s="196" customFormat="1">
      <c r="AB3445" s="201"/>
      <c r="AC3445" s="201"/>
      <c r="AD3445" s="197"/>
      <c r="AE3445" s="197"/>
      <c r="AF3445" s="197"/>
      <c r="AG3445" s="197"/>
      <c r="AH3445" s="197"/>
      <c r="AI3445" s="197"/>
      <c r="AJ3445" s="197"/>
      <c r="AK3445" s="197"/>
      <c r="AL3445" s="197"/>
      <c r="AM3445" s="197"/>
      <c r="AN3445" s="197"/>
      <c r="AO3445" s="197"/>
      <c r="AP3445" s="197"/>
      <c r="AQ3445" s="197"/>
      <c r="AR3445" s="197"/>
      <c r="AS3445" s="197"/>
      <c r="AT3445" s="197"/>
      <c r="AU3445" s="197"/>
      <c r="AV3445" s="197"/>
      <c r="AW3445" s="197"/>
    </row>
    <row r="3446" spans="28:49" s="196" customFormat="1">
      <c r="AB3446" s="201"/>
      <c r="AC3446" s="201"/>
      <c r="AD3446" s="197"/>
      <c r="AE3446" s="197"/>
      <c r="AF3446" s="197"/>
      <c r="AG3446" s="197"/>
      <c r="AH3446" s="197"/>
      <c r="AI3446" s="197"/>
      <c r="AJ3446" s="197"/>
      <c r="AK3446" s="197"/>
      <c r="AL3446" s="197"/>
      <c r="AM3446" s="197"/>
      <c r="AN3446" s="197"/>
      <c r="AO3446" s="197"/>
      <c r="AP3446" s="197"/>
      <c r="AQ3446" s="197"/>
      <c r="AR3446" s="197"/>
      <c r="AS3446" s="197"/>
      <c r="AT3446" s="197"/>
      <c r="AU3446" s="197"/>
      <c r="AV3446" s="197"/>
      <c r="AW3446" s="197"/>
    </row>
    <row r="3447" spans="28:49" s="196" customFormat="1">
      <c r="AB3447" s="201"/>
      <c r="AC3447" s="201"/>
      <c r="AD3447" s="197"/>
      <c r="AE3447" s="197"/>
      <c r="AF3447" s="197"/>
      <c r="AG3447" s="197"/>
      <c r="AH3447" s="197"/>
      <c r="AI3447" s="197"/>
      <c r="AJ3447" s="197"/>
      <c r="AK3447" s="197"/>
      <c r="AL3447" s="197"/>
      <c r="AM3447" s="197"/>
      <c r="AN3447" s="197"/>
      <c r="AO3447" s="197"/>
      <c r="AP3447" s="197"/>
      <c r="AQ3447" s="197"/>
      <c r="AR3447" s="197"/>
      <c r="AS3447" s="197"/>
      <c r="AT3447" s="197"/>
      <c r="AU3447" s="197"/>
      <c r="AV3447" s="197"/>
      <c r="AW3447" s="197"/>
    </row>
    <row r="3448" spans="28:49" s="196" customFormat="1">
      <c r="AB3448" s="201"/>
      <c r="AC3448" s="201"/>
      <c r="AD3448" s="197"/>
      <c r="AE3448" s="197"/>
      <c r="AF3448" s="197"/>
      <c r="AG3448" s="197"/>
      <c r="AH3448" s="197"/>
      <c r="AI3448" s="197"/>
      <c r="AJ3448" s="197"/>
      <c r="AK3448" s="197"/>
      <c r="AL3448" s="197"/>
      <c r="AM3448" s="197"/>
      <c r="AN3448" s="197"/>
      <c r="AO3448" s="197"/>
      <c r="AP3448" s="197"/>
      <c r="AQ3448" s="197"/>
      <c r="AR3448" s="197"/>
      <c r="AS3448" s="197"/>
      <c r="AT3448" s="197"/>
      <c r="AU3448" s="197"/>
      <c r="AV3448" s="197"/>
      <c r="AW3448" s="197"/>
    </row>
    <row r="3449" spans="28:49" s="196" customFormat="1">
      <c r="AB3449" s="201"/>
      <c r="AC3449" s="201"/>
      <c r="AD3449" s="197"/>
      <c r="AE3449" s="197"/>
      <c r="AF3449" s="197"/>
      <c r="AG3449" s="197"/>
      <c r="AH3449" s="197"/>
      <c r="AI3449" s="197"/>
      <c r="AJ3449" s="197"/>
      <c r="AK3449" s="197"/>
      <c r="AL3449" s="197"/>
      <c r="AM3449" s="197"/>
      <c r="AN3449" s="197"/>
      <c r="AO3449" s="197"/>
      <c r="AP3449" s="197"/>
      <c r="AQ3449" s="197"/>
      <c r="AR3449" s="197"/>
      <c r="AS3449" s="197"/>
      <c r="AT3449" s="197"/>
      <c r="AU3449" s="197"/>
      <c r="AV3449" s="197"/>
      <c r="AW3449" s="197"/>
    </row>
    <row r="3450" spans="28:49" s="196" customFormat="1">
      <c r="AB3450" s="201"/>
      <c r="AC3450" s="201"/>
      <c r="AD3450" s="197"/>
      <c r="AE3450" s="197"/>
      <c r="AF3450" s="197"/>
      <c r="AG3450" s="197"/>
      <c r="AH3450" s="197"/>
      <c r="AI3450" s="197"/>
      <c r="AJ3450" s="197"/>
      <c r="AK3450" s="197"/>
      <c r="AL3450" s="197"/>
      <c r="AM3450" s="197"/>
      <c r="AN3450" s="197"/>
      <c r="AO3450" s="197"/>
      <c r="AP3450" s="197"/>
      <c r="AQ3450" s="197"/>
      <c r="AR3450" s="197"/>
      <c r="AS3450" s="197"/>
      <c r="AT3450" s="197"/>
      <c r="AU3450" s="197"/>
      <c r="AV3450" s="197"/>
      <c r="AW3450" s="197"/>
    </row>
    <row r="3451" spans="28:49" s="196" customFormat="1">
      <c r="AB3451" s="201"/>
      <c r="AC3451" s="201"/>
      <c r="AD3451" s="197"/>
      <c r="AE3451" s="197"/>
      <c r="AF3451" s="197"/>
      <c r="AG3451" s="197"/>
      <c r="AH3451" s="197"/>
      <c r="AI3451" s="197"/>
      <c r="AJ3451" s="197"/>
      <c r="AK3451" s="197"/>
      <c r="AL3451" s="197"/>
      <c r="AM3451" s="197"/>
      <c r="AN3451" s="197"/>
      <c r="AO3451" s="197"/>
      <c r="AP3451" s="197"/>
      <c r="AQ3451" s="197"/>
      <c r="AR3451" s="197"/>
      <c r="AS3451" s="197"/>
      <c r="AT3451" s="197"/>
      <c r="AU3451" s="197"/>
      <c r="AV3451" s="197"/>
      <c r="AW3451" s="197"/>
    </row>
    <row r="3452" spans="28:49" s="196" customFormat="1">
      <c r="AB3452" s="201"/>
      <c r="AC3452" s="201"/>
      <c r="AD3452" s="197"/>
      <c r="AE3452" s="197"/>
      <c r="AF3452" s="197"/>
      <c r="AG3452" s="197"/>
      <c r="AH3452" s="197"/>
      <c r="AI3452" s="197"/>
      <c r="AJ3452" s="197"/>
      <c r="AK3452" s="197"/>
      <c r="AL3452" s="197"/>
      <c r="AM3452" s="197"/>
      <c r="AN3452" s="197"/>
      <c r="AO3452" s="197"/>
      <c r="AP3452" s="197"/>
      <c r="AQ3452" s="197"/>
      <c r="AR3452" s="197"/>
      <c r="AS3452" s="197"/>
      <c r="AT3452" s="197"/>
      <c r="AU3452" s="197"/>
      <c r="AV3452" s="197"/>
      <c r="AW3452" s="197"/>
    </row>
    <row r="3453" spans="28:49" s="196" customFormat="1">
      <c r="AB3453" s="201"/>
      <c r="AC3453" s="201"/>
      <c r="AD3453" s="197"/>
      <c r="AE3453" s="197"/>
      <c r="AF3453" s="197"/>
      <c r="AG3453" s="197"/>
      <c r="AH3453" s="197"/>
      <c r="AI3453" s="197"/>
      <c r="AJ3453" s="197"/>
      <c r="AK3453" s="197"/>
      <c r="AL3453" s="197"/>
      <c r="AM3453" s="197"/>
      <c r="AN3453" s="197"/>
      <c r="AO3453" s="197"/>
      <c r="AP3453" s="197"/>
      <c r="AQ3453" s="197"/>
      <c r="AR3453" s="197"/>
      <c r="AS3453" s="197"/>
      <c r="AT3453" s="197"/>
      <c r="AU3453" s="197"/>
      <c r="AV3453" s="197"/>
      <c r="AW3453" s="197"/>
    </row>
    <row r="3454" spans="28:49" s="196" customFormat="1">
      <c r="AB3454" s="201"/>
      <c r="AC3454" s="201"/>
      <c r="AD3454" s="197"/>
      <c r="AE3454" s="197"/>
      <c r="AF3454" s="197"/>
      <c r="AG3454" s="197"/>
      <c r="AH3454" s="197"/>
      <c r="AI3454" s="197"/>
      <c r="AJ3454" s="197"/>
      <c r="AK3454" s="197"/>
      <c r="AL3454" s="197"/>
      <c r="AM3454" s="197"/>
      <c r="AN3454" s="197"/>
      <c r="AO3454" s="197"/>
      <c r="AP3454" s="197"/>
      <c r="AQ3454" s="197"/>
      <c r="AR3454" s="197"/>
      <c r="AS3454" s="197"/>
      <c r="AT3454" s="197"/>
      <c r="AU3454" s="197"/>
      <c r="AV3454" s="197"/>
      <c r="AW3454" s="197"/>
    </row>
    <row r="3455" spans="28:49" s="196" customFormat="1">
      <c r="AB3455" s="201"/>
      <c r="AC3455" s="201"/>
      <c r="AD3455" s="197"/>
      <c r="AE3455" s="197"/>
      <c r="AF3455" s="197"/>
      <c r="AG3455" s="197"/>
      <c r="AH3455" s="197"/>
      <c r="AI3455" s="197"/>
      <c r="AJ3455" s="197"/>
      <c r="AK3455" s="197"/>
      <c r="AL3455" s="197"/>
      <c r="AM3455" s="197"/>
      <c r="AN3455" s="197"/>
      <c r="AO3455" s="197"/>
      <c r="AP3455" s="197"/>
      <c r="AQ3455" s="197"/>
      <c r="AR3455" s="197"/>
      <c r="AS3455" s="197"/>
      <c r="AT3455" s="197"/>
      <c r="AU3455" s="197"/>
      <c r="AV3455" s="197"/>
      <c r="AW3455" s="197"/>
    </row>
    <row r="3456" spans="28:49" s="196" customFormat="1">
      <c r="AB3456" s="201"/>
      <c r="AC3456" s="201"/>
      <c r="AD3456" s="197"/>
      <c r="AE3456" s="197"/>
      <c r="AF3456" s="197"/>
      <c r="AG3456" s="197"/>
      <c r="AH3456" s="197"/>
      <c r="AI3456" s="197"/>
      <c r="AJ3456" s="197"/>
      <c r="AK3456" s="197"/>
      <c r="AL3456" s="197"/>
      <c r="AM3456" s="197"/>
      <c r="AN3456" s="197"/>
      <c r="AO3456" s="197"/>
      <c r="AP3456" s="197"/>
      <c r="AQ3456" s="197"/>
      <c r="AR3456" s="197"/>
      <c r="AS3456" s="197"/>
      <c r="AT3456" s="197"/>
      <c r="AU3456" s="197"/>
      <c r="AV3456" s="197"/>
      <c r="AW3456" s="197"/>
    </row>
    <row r="3457" spans="28:49" s="196" customFormat="1">
      <c r="AB3457" s="201"/>
      <c r="AC3457" s="201"/>
      <c r="AD3457" s="197"/>
      <c r="AE3457" s="197"/>
      <c r="AF3457" s="197"/>
      <c r="AG3457" s="197"/>
      <c r="AH3457" s="197"/>
      <c r="AI3457" s="197"/>
      <c r="AJ3457" s="197"/>
      <c r="AK3457" s="197"/>
      <c r="AL3457" s="197"/>
      <c r="AM3457" s="197"/>
      <c r="AN3457" s="197"/>
      <c r="AO3457" s="197"/>
      <c r="AP3457" s="197"/>
      <c r="AQ3457" s="197"/>
      <c r="AR3457" s="197"/>
      <c r="AS3457" s="197"/>
      <c r="AT3457" s="197"/>
      <c r="AU3457" s="197"/>
      <c r="AV3457" s="197"/>
      <c r="AW3457" s="197"/>
    </row>
    <row r="3458" spans="28:49" s="196" customFormat="1">
      <c r="AB3458" s="201"/>
      <c r="AC3458" s="201"/>
      <c r="AD3458" s="197"/>
      <c r="AE3458" s="197"/>
      <c r="AF3458" s="197"/>
      <c r="AG3458" s="197"/>
      <c r="AH3458" s="197"/>
      <c r="AI3458" s="197"/>
      <c r="AJ3458" s="197"/>
      <c r="AK3458" s="197"/>
      <c r="AL3458" s="197"/>
      <c r="AM3458" s="197"/>
      <c r="AN3458" s="197"/>
      <c r="AO3458" s="197"/>
      <c r="AP3458" s="197"/>
      <c r="AQ3458" s="197"/>
      <c r="AR3458" s="197"/>
      <c r="AS3458" s="197"/>
      <c r="AT3458" s="197"/>
      <c r="AU3458" s="197"/>
      <c r="AV3458" s="197"/>
      <c r="AW3458" s="197"/>
    </row>
    <row r="3459" spans="28:49" s="196" customFormat="1">
      <c r="AB3459" s="201"/>
      <c r="AC3459" s="201"/>
      <c r="AD3459" s="197"/>
      <c r="AE3459" s="197"/>
      <c r="AF3459" s="197"/>
      <c r="AG3459" s="197"/>
      <c r="AH3459" s="197"/>
      <c r="AI3459" s="197"/>
      <c r="AJ3459" s="197"/>
      <c r="AK3459" s="197"/>
      <c r="AL3459" s="197"/>
      <c r="AM3459" s="197"/>
      <c r="AN3459" s="197"/>
      <c r="AO3459" s="197"/>
      <c r="AP3459" s="197"/>
      <c r="AQ3459" s="197"/>
      <c r="AR3459" s="197"/>
      <c r="AS3459" s="197"/>
      <c r="AT3459" s="197"/>
      <c r="AU3459" s="197"/>
      <c r="AV3459" s="197"/>
      <c r="AW3459" s="197"/>
    </row>
    <row r="3460" spans="28:49" s="196" customFormat="1">
      <c r="AB3460" s="201"/>
      <c r="AC3460" s="201"/>
      <c r="AD3460" s="197"/>
      <c r="AE3460" s="197"/>
      <c r="AF3460" s="197"/>
      <c r="AG3460" s="197"/>
      <c r="AH3460" s="197"/>
      <c r="AI3460" s="197"/>
      <c r="AJ3460" s="197"/>
      <c r="AK3460" s="197"/>
      <c r="AL3460" s="197"/>
      <c r="AM3460" s="197"/>
      <c r="AN3460" s="197"/>
      <c r="AO3460" s="197"/>
      <c r="AP3460" s="197"/>
      <c r="AQ3460" s="197"/>
      <c r="AR3460" s="197"/>
      <c r="AS3460" s="197"/>
      <c r="AT3460" s="197"/>
      <c r="AU3460" s="197"/>
      <c r="AV3460" s="197"/>
      <c r="AW3460" s="197"/>
    </row>
    <row r="3461" spans="28:49" s="196" customFormat="1">
      <c r="AB3461" s="201"/>
      <c r="AC3461" s="201"/>
      <c r="AD3461" s="197"/>
      <c r="AE3461" s="197"/>
      <c r="AF3461" s="197"/>
      <c r="AG3461" s="197"/>
      <c r="AH3461" s="197"/>
      <c r="AI3461" s="197"/>
      <c r="AJ3461" s="197"/>
      <c r="AK3461" s="197"/>
      <c r="AL3461" s="197"/>
      <c r="AM3461" s="197"/>
      <c r="AN3461" s="197"/>
      <c r="AO3461" s="197"/>
      <c r="AP3461" s="197"/>
      <c r="AQ3461" s="197"/>
      <c r="AR3461" s="197"/>
      <c r="AS3461" s="197"/>
      <c r="AT3461" s="197"/>
      <c r="AU3461" s="197"/>
      <c r="AV3461" s="197"/>
      <c r="AW3461" s="197"/>
    </row>
    <row r="3462" spans="28:49" s="196" customFormat="1">
      <c r="AB3462" s="201"/>
      <c r="AC3462" s="201"/>
      <c r="AD3462" s="197"/>
      <c r="AE3462" s="197"/>
      <c r="AF3462" s="197"/>
      <c r="AG3462" s="197"/>
      <c r="AH3462" s="197"/>
      <c r="AI3462" s="197"/>
      <c r="AJ3462" s="197"/>
      <c r="AK3462" s="197"/>
      <c r="AL3462" s="197"/>
      <c r="AM3462" s="197"/>
      <c r="AN3462" s="197"/>
      <c r="AO3462" s="197"/>
      <c r="AP3462" s="197"/>
      <c r="AQ3462" s="197"/>
      <c r="AR3462" s="197"/>
      <c r="AS3462" s="197"/>
      <c r="AT3462" s="197"/>
      <c r="AU3462" s="197"/>
      <c r="AV3462" s="197"/>
      <c r="AW3462" s="197"/>
    </row>
    <row r="3463" spans="28:49" s="196" customFormat="1">
      <c r="AB3463" s="201"/>
      <c r="AC3463" s="201"/>
      <c r="AD3463" s="197"/>
      <c r="AE3463" s="197"/>
      <c r="AF3463" s="197"/>
      <c r="AG3463" s="197"/>
      <c r="AH3463" s="197"/>
      <c r="AI3463" s="197"/>
      <c r="AJ3463" s="197"/>
      <c r="AK3463" s="197"/>
      <c r="AL3463" s="197"/>
      <c r="AM3463" s="197"/>
      <c r="AN3463" s="197"/>
      <c r="AO3463" s="197"/>
      <c r="AP3463" s="197"/>
      <c r="AQ3463" s="197"/>
      <c r="AR3463" s="197"/>
      <c r="AS3463" s="197"/>
      <c r="AT3463" s="197"/>
      <c r="AU3463" s="197"/>
      <c r="AV3463" s="197"/>
      <c r="AW3463" s="197"/>
    </row>
    <row r="3464" spans="28:49" s="196" customFormat="1">
      <c r="AB3464" s="201"/>
      <c r="AC3464" s="201"/>
      <c r="AD3464" s="197"/>
      <c r="AE3464" s="197"/>
      <c r="AF3464" s="197"/>
      <c r="AG3464" s="197"/>
      <c r="AH3464" s="197"/>
      <c r="AI3464" s="197"/>
      <c r="AJ3464" s="197"/>
      <c r="AK3464" s="197"/>
      <c r="AL3464" s="197"/>
      <c r="AM3464" s="197"/>
      <c r="AN3464" s="197"/>
      <c r="AO3464" s="197"/>
      <c r="AP3464" s="197"/>
      <c r="AQ3464" s="197"/>
      <c r="AR3464" s="197"/>
      <c r="AS3464" s="197"/>
      <c r="AT3464" s="197"/>
      <c r="AU3464" s="197"/>
      <c r="AV3464" s="197"/>
      <c r="AW3464" s="197"/>
    </row>
    <row r="3465" spans="28:49" s="196" customFormat="1">
      <c r="AB3465" s="201"/>
      <c r="AC3465" s="201"/>
      <c r="AD3465" s="197"/>
      <c r="AE3465" s="197"/>
      <c r="AF3465" s="197"/>
      <c r="AG3465" s="197"/>
      <c r="AH3465" s="197"/>
      <c r="AI3465" s="197"/>
      <c r="AJ3465" s="197"/>
      <c r="AK3465" s="197"/>
      <c r="AL3465" s="197"/>
      <c r="AM3465" s="197"/>
      <c r="AN3465" s="197"/>
      <c r="AO3465" s="197"/>
      <c r="AP3465" s="197"/>
      <c r="AQ3465" s="197"/>
      <c r="AR3465" s="197"/>
      <c r="AS3465" s="197"/>
      <c r="AT3465" s="197"/>
      <c r="AU3465" s="197"/>
      <c r="AV3465" s="197"/>
      <c r="AW3465" s="197"/>
    </row>
    <row r="3466" spans="28:49" s="196" customFormat="1">
      <c r="AB3466" s="201"/>
      <c r="AC3466" s="201"/>
      <c r="AD3466" s="197"/>
      <c r="AE3466" s="197"/>
      <c r="AF3466" s="197"/>
      <c r="AG3466" s="197"/>
      <c r="AH3466" s="197"/>
      <c r="AI3466" s="197"/>
      <c r="AJ3466" s="197"/>
      <c r="AK3466" s="197"/>
      <c r="AL3466" s="197"/>
      <c r="AM3466" s="197"/>
      <c r="AN3466" s="197"/>
      <c r="AO3466" s="197"/>
      <c r="AP3466" s="197"/>
      <c r="AQ3466" s="197"/>
      <c r="AR3466" s="197"/>
      <c r="AS3466" s="197"/>
      <c r="AT3466" s="197"/>
      <c r="AU3466" s="197"/>
      <c r="AV3466" s="197"/>
      <c r="AW3466" s="197"/>
    </row>
    <row r="3467" spans="28:49" s="196" customFormat="1">
      <c r="AB3467" s="201"/>
      <c r="AC3467" s="201"/>
      <c r="AD3467" s="197"/>
      <c r="AE3467" s="197"/>
      <c r="AF3467" s="197"/>
      <c r="AG3467" s="197"/>
      <c r="AH3467" s="197"/>
      <c r="AI3467" s="197"/>
      <c r="AJ3467" s="197"/>
      <c r="AK3467" s="197"/>
      <c r="AL3467" s="197"/>
      <c r="AM3467" s="197"/>
      <c r="AN3467" s="197"/>
      <c r="AO3467" s="197"/>
      <c r="AP3467" s="197"/>
      <c r="AQ3467" s="197"/>
      <c r="AR3467" s="197"/>
      <c r="AS3467" s="197"/>
      <c r="AT3467" s="197"/>
      <c r="AU3467" s="197"/>
      <c r="AV3467" s="197"/>
      <c r="AW3467" s="197"/>
    </row>
    <row r="3468" spans="28:49" s="196" customFormat="1">
      <c r="AB3468" s="201"/>
      <c r="AC3468" s="201"/>
      <c r="AD3468" s="197"/>
      <c r="AE3468" s="197"/>
      <c r="AF3468" s="197"/>
      <c r="AG3468" s="197"/>
      <c r="AH3468" s="197"/>
      <c r="AI3468" s="197"/>
      <c r="AJ3468" s="197"/>
      <c r="AK3468" s="197"/>
      <c r="AL3468" s="197"/>
      <c r="AM3468" s="197"/>
      <c r="AN3468" s="197"/>
      <c r="AO3468" s="197"/>
      <c r="AP3468" s="197"/>
      <c r="AQ3468" s="197"/>
      <c r="AR3468" s="197"/>
      <c r="AS3468" s="197"/>
      <c r="AT3468" s="197"/>
      <c r="AU3468" s="197"/>
      <c r="AV3468" s="197"/>
      <c r="AW3468" s="197"/>
    </row>
    <row r="3469" spans="28:49" s="196" customFormat="1">
      <c r="AB3469" s="201"/>
      <c r="AC3469" s="201"/>
      <c r="AD3469" s="197"/>
      <c r="AE3469" s="197"/>
      <c r="AF3469" s="197"/>
      <c r="AG3469" s="197"/>
      <c r="AH3469" s="197"/>
      <c r="AI3469" s="197"/>
      <c r="AJ3469" s="197"/>
      <c r="AK3469" s="197"/>
      <c r="AL3469" s="197"/>
      <c r="AM3469" s="197"/>
      <c r="AN3469" s="197"/>
      <c r="AO3469" s="197"/>
      <c r="AP3469" s="197"/>
      <c r="AQ3469" s="197"/>
      <c r="AR3469" s="197"/>
      <c r="AS3469" s="197"/>
      <c r="AT3469" s="197"/>
      <c r="AU3469" s="197"/>
      <c r="AV3469" s="197"/>
      <c r="AW3469" s="197"/>
    </row>
    <row r="3470" spans="28:49" s="196" customFormat="1">
      <c r="AB3470" s="201"/>
      <c r="AC3470" s="201"/>
      <c r="AD3470" s="197"/>
      <c r="AE3470" s="197"/>
      <c r="AF3470" s="197"/>
      <c r="AG3470" s="197"/>
      <c r="AH3470" s="197"/>
      <c r="AI3470" s="197"/>
      <c r="AJ3470" s="197"/>
      <c r="AK3470" s="197"/>
      <c r="AL3470" s="197"/>
      <c r="AM3470" s="197"/>
      <c r="AN3470" s="197"/>
      <c r="AO3470" s="197"/>
      <c r="AP3470" s="197"/>
      <c r="AQ3470" s="197"/>
      <c r="AR3470" s="197"/>
      <c r="AS3470" s="197"/>
      <c r="AT3470" s="197"/>
      <c r="AU3470" s="197"/>
      <c r="AV3470" s="197"/>
      <c r="AW3470" s="197"/>
    </row>
    <row r="3471" spans="28:49" s="196" customFormat="1">
      <c r="AB3471" s="201"/>
      <c r="AC3471" s="201"/>
      <c r="AD3471" s="197"/>
      <c r="AE3471" s="197"/>
      <c r="AF3471" s="197"/>
      <c r="AG3471" s="197"/>
      <c r="AH3471" s="197"/>
      <c r="AI3471" s="197"/>
      <c r="AJ3471" s="197"/>
      <c r="AK3471" s="197"/>
      <c r="AL3471" s="197"/>
      <c r="AM3471" s="197"/>
      <c r="AN3471" s="197"/>
      <c r="AO3471" s="197"/>
      <c r="AP3471" s="197"/>
      <c r="AQ3471" s="197"/>
      <c r="AR3471" s="197"/>
      <c r="AS3471" s="197"/>
      <c r="AT3471" s="197"/>
      <c r="AU3471" s="197"/>
      <c r="AV3471" s="197"/>
      <c r="AW3471" s="197"/>
    </row>
    <row r="3472" spans="28:49" s="196" customFormat="1">
      <c r="AB3472" s="201"/>
      <c r="AC3472" s="201"/>
      <c r="AD3472" s="197"/>
      <c r="AE3472" s="197"/>
      <c r="AF3472" s="197"/>
      <c r="AG3472" s="197"/>
      <c r="AH3472" s="197"/>
      <c r="AI3472" s="197"/>
      <c r="AJ3472" s="197"/>
      <c r="AK3472" s="197"/>
      <c r="AL3472" s="197"/>
      <c r="AM3472" s="197"/>
      <c r="AN3472" s="197"/>
      <c r="AO3472" s="197"/>
      <c r="AP3472" s="197"/>
      <c r="AQ3472" s="197"/>
      <c r="AR3472" s="197"/>
      <c r="AS3472" s="197"/>
      <c r="AT3472" s="197"/>
      <c r="AU3472" s="197"/>
      <c r="AV3472" s="197"/>
      <c r="AW3472" s="197"/>
    </row>
    <row r="3473" spans="28:49" s="196" customFormat="1">
      <c r="AB3473" s="201"/>
      <c r="AC3473" s="201"/>
      <c r="AD3473" s="197"/>
      <c r="AE3473" s="197"/>
      <c r="AF3473" s="197"/>
      <c r="AG3473" s="197"/>
      <c r="AH3473" s="197"/>
      <c r="AI3473" s="197"/>
      <c r="AJ3473" s="197"/>
      <c r="AK3473" s="197"/>
      <c r="AL3473" s="197"/>
      <c r="AM3473" s="197"/>
      <c r="AN3473" s="197"/>
      <c r="AO3473" s="197"/>
      <c r="AP3473" s="197"/>
      <c r="AQ3473" s="197"/>
      <c r="AR3473" s="197"/>
      <c r="AS3473" s="197"/>
      <c r="AT3473" s="197"/>
      <c r="AU3473" s="197"/>
      <c r="AV3473" s="197"/>
      <c r="AW3473" s="197"/>
    </row>
    <row r="3474" spans="28:49" s="196" customFormat="1">
      <c r="AB3474" s="201"/>
      <c r="AC3474" s="201"/>
      <c r="AD3474" s="197"/>
      <c r="AE3474" s="197"/>
      <c r="AF3474" s="197"/>
      <c r="AG3474" s="197"/>
      <c r="AH3474" s="197"/>
      <c r="AI3474" s="197"/>
      <c r="AJ3474" s="197"/>
      <c r="AK3474" s="197"/>
      <c r="AL3474" s="197"/>
      <c r="AM3474" s="197"/>
      <c r="AN3474" s="197"/>
      <c r="AO3474" s="197"/>
      <c r="AP3474" s="197"/>
      <c r="AQ3474" s="197"/>
      <c r="AR3474" s="197"/>
      <c r="AS3474" s="197"/>
      <c r="AT3474" s="197"/>
      <c r="AU3474" s="197"/>
      <c r="AV3474" s="197"/>
      <c r="AW3474" s="197"/>
    </row>
    <row r="3475" spans="28:49" s="196" customFormat="1">
      <c r="AB3475" s="201"/>
      <c r="AC3475" s="201"/>
      <c r="AD3475" s="197"/>
      <c r="AE3475" s="197"/>
      <c r="AF3475" s="197"/>
      <c r="AG3475" s="197"/>
      <c r="AH3475" s="197"/>
      <c r="AI3475" s="197"/>
      <c r="AJ3475" s="197"/>
      <c r="AK3475" s="197"/>
      <c r="AL3475" s="197"/>
      <c r="AM3475" s="197"/>
      <c r="AN3475" s="197"/>
      <c r="AO3475" s="197"/>
      <c r="AP3475" s="197"/>
      <c r="AQ3475" s="197"/>
      <c r="AR3475" s="197"/>
      <c r="AS3475" s="197"/>
      <c r="AT3475" s="197"/>
      <c r="AU3475" s="197"/>
      <c r="AV3475" s="197"/>
      <c r="AW3475" s="197"/>
    </row>
    <row r="3476" spans="28:49" s="196" customFormat="1">
      <c r="AB3476" s="201"/>
      <c r="AC3476" s="201"/>
      <c r="AD3476" s="197"/>
      <c r="AE3476" s="197"/>
      <c r="AF3476" s="197"/>
      <c r="AG3476" s="197"/>
      <c r="AH3476" s="197"/>
      <c r="AI3476" s="197"/>
      <c r="AJ3476" s="197"/>
      <c r="AK3476" s="197"/>
      <c r="AL3476" s="197"/>
      <c r="AM3476" s="197"/>
      <c r="AN3476" s="197"/>
      <c r="AO3476" s="197"/>
      <c r="AP3476" s="197"/>
      <c r="AQ3476" s="197"/>
      <c r="AR3476" s="197"/>
      <c r="AS3476" s="197"/>
      <c r="AT3476" s="197"/>
      <c r="AU3476" s="197"/>
      <c r="AV3476" s="197"/>
      <c r="AW3476" s="197"/>
    </row>
    <row r="3477" spans="28:49" s="196" customFormat="1">
      <c r="AB3477" s="201"/>
      <c r="AC3477" s="201"/>
      <c r="AD3477" s="197"/>
      <c r="AE3477" s="197"/>
      <c r="AF3477" s="197"/>
      <c r="AG3477" s="197"/>
      <c r="AH3477" s="197"/>
      <c r="AI3477" s="197"/>
      <c r="AJ3477" s="197"/>
      <c r="AK3477" s="197"/>
      <c r="AL3477" s="197"/>
      <c r="AM3477" s="197"/>
      <c r="AN3477" s="197"/>
      <c r="AO3477" s="197"/>
      <c r="AP3477" s="197"/>
      <c r="AQ3477" s="197"/>
      <c r="AR3477" s="197"/>
      <c r="AS3477" s="197"/>
      <c r="AT3477" s="197"/>
      <c r="AU3477" s="197"/>
      <c r="AV3477" s="197"/>
      <c r="AW3477" s="197"/>
    </row>
    <row r="3478" spans="28:49" s="196" customFormat="1">
      <c r="AB3478" s="201"/>
      <c r="AC3478" s="201"/>
      <c r="AD3478" s="197"/>
      <c r="AE3478" s="197"/>
      <c r="AF3478" s="197"/>
      <c r="AG3478" s="197"/>
      <c r="AH3478" s="197"/>
      <c r="AI3478" s="197"/>
      <c r="AJ3478" s="197"/>
      <c r="AK3478" s="197"/>
      <c r="AL3478" s="197"/>
      <c r="AM3478" s="197"/>
      <c r="AN3478" s="197"/>
      <c r="AO3478" s="197"/>
      <c r="AP3478" s="197"/>
      <c r="AQ3478" s="197"/>
      <c r="AR3478" s="197"/>
      <c r="AS3478" s="197"/>
      <c r="AT3478" s="197"/>
      <c r="AU3478" s="197"/>
      <c r="AV3478" s="197"/>
      <c r="AW3478" s="197"/>
    </row>
    <row r="3479" spans="28:49" s="196" customFormat="1">
      <c r="AB3479" s="201"/>
      <c r="AC3479" s="201"/>
      <c r="AD3479" s="197"/>
      <c r="AE3479" s="197"/>
      <c r="AF3479" s="197"/>
      <c r="AG3479" s="197"/>
      <c r="AH3479" s="197"/>
      <c r="AI3479" s="197"/>
      <c r="AJ3479" s="197"/>
      <c r="AK3479" s="197"/>
      <c r="AL3479" s="197"/>
      <c r="AM3479" s="197"/>
      <c r="AN3479" s="197"/>
      <c r="AO3479" s="197"/>
      <c r="AP3479" s="197"/>
      <c r="AQ3479" s="197"/>
      <c r="AR3479" s="197"/>
      <c r="AS3479" s="197"/>
      <c r="AT3479" s="197"/>
      <c r="AU3479" s="197"/>
      <c r="AV3479" s="197"/>
      <c r="AW3479" s="197"/>
    </row>
    <row r="3480" spans="28:49" s="196" customFormat="1">
      <c r="AB3480" s="201"/>
      <c r="AC3480" s="201"/>
      <c r="AD3480" s="197"/>
      <c r="AE3480" s="197"/>
      <c r="AF3480" s="197"/>
      <c r="AG3480" s="197"/>
      <c r="AH3480" s="197"/>
      <c r="AI3480" s="197"/>
      <c r="AJ3480" s="197"/>
      <c r="AK3480" s="197"/>
      <c r="AL3480" s="197"/>
      <c r="AM3480" s="197"/>
      <c r="AN3480" s="197"/>
      <c r="AO3480" s="197"/>
      <c r="AP3480" s="197"/>
      <c r="AQ3480" s="197"/>
      <c r="AR3480" s="197"/>
      <c r="AS3480" s="197"/>
      <c r="AT3480" s="197"/>
      <c r="AU3480" s="197"/>
      <c r="AV3480" s="197"/>
      <c r="AW3480" s="197"/>
    </row>
    <row r="3481" spans="28:49" s="196" customFormat="1">
      <c r="AB3481" s="201"/>
      <c r="AC3481" s="201"/>
      <c r="AD3481" s="197"/>
      <c r="AE3481" s="197"/>
      <c r="AF3481" s="197"/>
      <c r="AG3481" s="197"/>
      <c r="AH3481" s="197"/>
      <c r="AI3481" s="197"/>
      <c r="AJ3481" s="197"/>
      <c r="AK3481" s="197"/>
      <c r="AL3481" s="197"/>
      <c r="AM3481" s="197"/>
      <c r="AN3481" s="197"/>
      <c r="AO3481" s="197"/>
      <c r="AP3481" s="197"/>
      <c r="AQ3481" s="197"/>
      <c r="AR3481" s="197"/>
      <c r="AS3481" s="197"/>
      <c r="AT3481" s="197"/>
      <c r="AU3481" s="197"/>
      <c r="AV3481" s="197"/>
      <c r="AW3481" s="197"/>
    </row>
    <row r="3482" spans="28:49" s="196" customFormat="1">
      <c r="AB3482" s="201"/>
      <c r="AC3482" s="201"/>
      <c r="AD3482" s="197"/>
      <c r="AE3482" s="197"/>
      <c r="AF3482" s="197"/>
      <c r="AG3482" s="197"/>
      <c r="AH3482" s="197"/>
      <c r="AI3482" s="197"/>
      <c r="AJ3482" s="197"/>
      <c r="AK3482" s="197"/>
      <c r="AL3482" s="197"/>
      <c r="AM3482" s="197"/>
      <c r="AN3482" s="197"/>
      <c r="AO3482" s="197"/>
      <c r="AP3482" s="197"/>
      <c r="AQ3482" s="197"/>
      <c r="AR3482" s="197"/>
      <c r="AS3482" s="197"/>
      <c r="AT3482" s="197"/>
      <c r="AU3482" s="197"/>
      <c r="AV3482" s="197"/>
      <c r="AW3482" s="197"/>
    </row>
    <row r="3483" spans="28:49" s="196" customFormat="1">
      <c r="AB3483" s="201"/>
      <c r="AC3483" s="201"/>
      <c r="AD3483" s="197"/>
      <c r="AE3483" s="197"/>
      <c r="AF3483" s="197"/>
      <c r="AG3483" s="197"/>
      <c r="AH3483" s="197"/>
      <c r="AI3483" s="197"/>
      <c r="AJ3483" s="197"/>
      <c r="AK3483" s="197"/>
      <c r="AL3483" s="197"/>
      <c r="AM3483" s="197"/>
      <c r="AN3483" s="197"/>
      <c r="AO3483" s="197"/>
      <c r="AP3483" s="197"/>
      <c r="AQ3483" s="197"/>
      <c r="AR3483" s="197"/>
      <c r="AS3483" s="197"/>
      <c r="AT3483" s="197"/>
      <c r="AU3483" s="197"/>
      <c r="AV3483" s="197"/>
      <c r="AW3483" s="197"/>
    </row>
    <row r="3484" spans="28:49" s="196" customFormat="1">
      <c r="AB3484" s="201"/>
      <c r="AC3484" s="201"/>
      <c r="AD3484" s="197"/>
      <c r="AE3484" s="197"/>
      <c r="AF3484" s="197"/>
      <c r="AG3484" s="197"/>
      <c r="AH3484" s="197"/>
      <c r="AI3484" s="197"/>
      <c r="AJ3484" s="197"/>
      <c r="AK3484" s="197"/>
      <c r="AL3484" s="197"/>
      <c r="AM3484" s="197"/>
      <c r="AN3484" s="197"/>
      <c r="AO3484" s="197"/>
      <c r="AP3484" s="197"/>
      <c r="AQ3484" s="197"/>
      <c r="AR3484" s="197"/>
      <c r="AS3484" s="197"/>
      <c r="AT3484" s="197"/>
      <c r="AU3484" s="197"/>
      <c r="AV3484" s="197"/>
      <c r="AW3484" s="197"/>
    </row>
    <row r="3485" spans="28:49" s="196" customFormat="1">
      <c r="AB3485" s="201"/>
      <c r="AC3485" s="201"/>
      <c r="AD3485" s="197"/>
      <c r="AE3485" s="197"/>
      <c r="AF3485" s="197"/>
      <c r="AG3485" s="197"/>
      <c r="AH3485" s="197"/>
      <c r="AI3485" s="197"/>
      <c r="AJ3485" s="197"/>
      <c r="AK3485" s="197"/>
      <c r="AL3485" s="197"/>
      <c r="AM3485" s="197"/>
      <c r="AN3485" s="197"/>
      <c r="AO3485" s="197"/>
      <c r="AP3485" s="197"/>
      <c r="AQ3485" s="197"/>
      <c r="AR3485" s="197"/>
      <c r="AS3485" s="197"/>
      <c r="AT3485" s="197"/>
      <c r="AU3485" s="197"/>
      <c r="AV3485" s="197"/>
      <c r="AW3485" s="197"/>
    </row>
    <row r="3486" spans="28:49" s="196" customFormat="1">
      <c r="AB3486" s="201"/>
      <c r="AC3486" s="201"/>
      <c r="AD3486" s="197"/>
      <c r="AE3486" s="197"/>
      <c r="AF3486" s="197"/>
      <c r="AG3486" s="197"/>
      <c r="AH3486" s="197"/>
      <c r="AI3486" s="197"/>
      <c r="AJ3486" s="197"/>
      <c r="AK3486" s="197"/>
      <c r="AL3486" s="197"/>
      <c r="AM3486" s="197"/>
      <c r="AN3486" s="197"/>
      <c r="AO3486" s="197"/>
      <c r="AP3486" s="197"/>
      <c r="AQ3486" s="197"/>
      <c r="AR3486" s="197"/>
      <c r="AS3486" s="197"/>
      <c r="AT3486" s="197"/>
      <c r="AU3486" s="197"/>
      <c r="AV3486" s="197"/>
      <c r="AW3486" s="197"/>
    </row>
    <row r="3487" spans="28:49" s="196" customFormat="1">
      <c r="AB3487" s="201"/>
      <c r="AC3487" s="201"/>
      <c r="AD3487" s="197"/>
      <c r="AE3487" s="197"/>
      <c r="AF3487" s="197"/>
      <c r="AG3487" s="197"/>
      <c r="AH3487" s="197"/>
      <c r="AI3487" s="197"/>
      <c r="AJ3487" s="197"/>
      <c r="AK3487" s="197"/>
      <c r="AL3487" s="197"/>
      <c r="AM3487" s="197"/>
      <c r="AN3487" s="197"/>
      <c r="AO3487" s="197"/>
      <c r="AP3487" s="197"/>
      <c r="AQ3487" s="197"/>
      <c r="AR3487" s="197"/>
      <c r="AS3487" s="197"/>
      <c r="AT3487" s="197"/>
      <c r="AU3487" s="197"/>
      <c r="AV3487" s="197"/>
      <c r="AW3487" s="197"/>
    </row>
    <row r="3488" spans="28:49" s="196" customFormat="1">
      <c r="AB3488" s="201"/>
      <c r="AC3488" s="201"/>
      <c r="AD3488" s="197"/>
      <c r="AE3488" s="197"/>
      <c r="AF3488" s="197"/>
      <c r="AG3488" s="197"/>
      <c r="AH3488" s="197"/>
      <c r="AI3488" s="197"/>
      <c r="AJ3488" s="197"/>
      <c r="AK3488" s="197"/>
      <c r="AL3488" s="197"/>
      <c r="AM3488" s="197"/>
      <c r="AN3488" s="197"/>
      <c r="AO3488" s="197"/>
      <c r="AP3488" s="197"/>
      <c r="AQ3488" s="197"/>
      <c r="AR3488" s="197"/>
      <c r="AS3488" s="197"/>
      <c r="AT3488" s="197"/>
      <c r="AU3488" s="197"/>
      <c r="AV3488" s="197"/>
      <c r="AW3488" s="197"/>
    </row>
    <row r="3489" spans="28:49" s="196" customFormat="1">
      <c r="AB3489" s="201"/>
      <c r="AC3489" s="201"/>
      <c r="AD3489" s="197"/>
      <c r="AE3489" s="197"/>
      <c r="AF3489" s="197"/>
      <c r="AG3489" s="197"/>
      <c r="AH3489" s="197"/>
      <c r="AI3489" s="197"/>
      <c r="AJ3489" s="197"/>
      <c r="AK3489" s="197"/>
      <c r="AL3489" s="197"/>
      <c r="AM3489" s="197"/>
      <c r="AN3489" s="197"/>
      <c r="AO3489" s="197"/>
      <c r="AP3489" s="197"/>
      <c r="AQ3489" s="197"/>
      <c r="AR3489" s="197"/>
      <c r="AS3489" s="197"/>
      <c r="AT3489" s="197"/>
      <c r="AU3489" s="197"/>
      <c r="AV3489" s="197"/>
      <c r="AW3489" s="197"/>
    </row>
    <row r="3490" spans="28:49" s="196" customFormat="1">
      <c r="AB3490" s="201"/>
      <c r="AC3490" s="201"/>
      <c r="AD3490" s="197"/>
      <c r="AE3490" s="197"/>
      <c r="AF3490" s="197"/>
      <c r="AG3490" s="197"/>
      <c r="AH3490" s="197"/>
      <c r="AI3490" s="197"/>
      <c r="AJ3490" s="197"/>
      <c r="AK3490" s="197"/>
      <c r="AL3490" s="197"/>
      <c r="AM3490" s="197"/>
      <c r="AN3490" s="197"/>
      <c r="AO3490" s="197"/>
      <c r="AP3490" s="197"/>
      <c r="AQ3490" s="197"/>
      <c r="AR3490" s="197"/>
      <c r="AS3490" s="197"/>
      <c r="AT3490" s="197"/>
      <c r="AU3490" s="197"/>
      <c r="AV3490" s="197"/>
      <c r="AW3490" s="197"/>
    </row>
    <row r="3491" spans="28:49" s="196" customFormat="1">
      <c r="AB3491" s="201"/>
      <c r="AC3491" s="201"/>
      <c r="AD3491" s="197"/>
      <c r="AE3491" s="197"/>
      <c r="AF3491" s="197"/>
      <c r="AG3491" s="197"/>
      <c r="AH3491" s="197"/>
      <c r="AI3491" s="197"/>
      <c r="AJ3491" s="197"/>
      <c r="AK3491" s="197"/>
      <c r="AL3491" s="197"/>
      <c r="AM3491" s="197"/>
      <c r="AN3491" s="197"/>
      <c r="AO3491" s="197"/>
      <c r="AP3491" s="197"/>
      <c r="AQ3491" s="197"/>
      <c r="AR3491" s="197"/>
      <c r="AS3491" s="197"/>
      <c r="AT3491" s="197"/>
      <c r="AU3491" s="197"/>
      <c r="AV3491" s="197"/>
      <c r="AW3491" s="197"/>
    </row>
    <row r="3492" spans="28:49" s="196" customFormat="1">
      <c r="AB3492" s="201"/>
      <c r="AC3492" s="201"/>
      <c r="AD3492" s="197"/>
      <c r="AE3492" s="197"/>
      <c r="AF3492" s="197"/>
      <c r="AG3492" s="197"/>
      <c r="AH3492" s="197"/>
      <c r="AI3492" s="197"/>
      <c r="AJ3492" s="197"/>
      <c r="AK3492" s="197"/>
      <c r="AL3492" s="197"/>
      <c r="AM3492" s="197"/>
      <c r="AN3492" s="197"/>
      <c r="AO3492" s="197"/>
      <c r="AP3492" s="197"/>
      <c r="AQ3492" s="197"/>
      <c r="AR3492" s="197"/>
      <c r="AS3492" s="197"/>
      <c r="AT3492" s="197"/>
      <c r="AU3492" s="197"/>
      <c r="AV3492" s="197"/>
      <c r="AW3492" s="197"/>
    </row>
    <row r="3493" spans="28:49" s="196" customFormat="1">
      <c r="AB3493" s="201"/>
      <c r="AC3493" s="201"/>
      <c r="AD3493" s="197"/>
      <c r="AE3493" s="197"/>
      <c r="AF3493" s="197"/>
      <c r="AG3493" s="197"/>
      <c r="AH3493" s="197"/>
      <c r="AI3493" s="197"/>
      <c r="AJ3493" s="197"/>
      <c r="AK3493" s="197"/>
      <c r="AL3493" s="197"/>
      <c r="AM3493" s="197"/>
      <c r="AN3493" s="197"/>
      <c r="AO3493" s="197"/>
      <c r="AP3493" s="197"/>
      <c r="AQ3493" s="197"/>
      <c r="AR3493" s="197"/>
      <c r="AS3493" s="197"/>
      <c r="AT3493" s="197"/>
      <c r="AU3493" s="197"/>
      <c r="AV3493" s="197"/>
      <c r="AW3493" s="197"/>
    </row>
    <row r="3494" spans="28:49" s="196" customFormat="1">
      <c r="AB3494" s="201"/>
      <c r="AC3494" s="201"/>
      <c r="AD3494" s="197"/>
      <c r="AE3494" s="197"/>
      <c r="AF3494" s="197"/>
      <c r="AG3494" s="197"/>
      <c r="AH3494" s="197"/>
      <c r="AI3494" s="197"/>
      <c r="AJ3494" s="197"/>
      <c r="AK3494" s="197"/>
      <c r="AL3494" s="197"/>
      <c r="AM3494" s="197"/>
      <c r="AN3494" s="197"/>
      <c r="AO3494" s="197"/>
      <c r="AP3494" s="197"/>
      <c r="AQ3494" s="197"/>
      <c r="AR3494" s="197"/>
      <c r="AS3494" s="197"/>
      <c r="AT3494" s="197"/>
      <c r="AU3494" s="197"/>
      <c r="AV3494" s="197"/>
      <c r="AW3494" s="197"/>
    </row>
    <row r="3495" spans="28:49" s="196" customFormat="1">
      <c r="AB3495" s="201"/>
      <c r="AC3495" s="201"/>
      <c r="AD3495" s="197"/>
      <c r="AE3495" s="197"/>
      <c r="AF3495" s="197"/>
      <c r="AG3495" s="197"/>
      <c r="AH3495" s="197"/>
      <c r="AI3495" s="197"/>
      <c r="AJ3495" s="197"/>
      <c r="AK3495" s="197"/>
      <c r="AL3495" s="197"/>
      <c r="AM3495" s="197"/>
      <c r="AN3495" s="197"/>
      <c r="AO3495" s="197"/>
      <c r="AP3495" s="197"/>
      <c r="AQ3495" s="197"/>
      <c r="AR3495" s="197"/>
      <c r="AS3495" s="197"/>
      <c r="AT3495" s="197"/>
      <c r="AU3495" s="197"/>
      <c r="AV3495" s="197"/>
      <c r="AW3495" s="197"/>
    </row>
    <row r="3496" spans="28:49" s="196" customFormat="1">
      <c r="AB3496" s="201"/>
      <c r="AC3496" s="201"/>
      <c r="AD3496" s="197"/>
      <c r="AE3496" s="197"/>
      <c r="AF3496" s="197"/>
      <c r="AG3496" s="197"/>
      <c r="AH3496" s="197"/>
      <c r="AI3496" s="197"/>
      <c r="AJ3496" s="197"/>
      <c r="AK3496" s="197"/>
      <c r="AL3496" s="197"/>
      <c r="AM3496" s="197"/>
      <c r="AN3496" s="197"/>
      <c r="AO3496" s="197"/>
      <c r="AP3496" s="197"/>
      <c r="AQ3496" s="197"/>
      <c r="AR3496" s="197"/>
      <c r="AS3496" s="197"/>
      <c r="AT3496" s="197"/>
      <c r="AU3496" s="197"/>
      <c r="AV3496" s="197"/>
      <c r="AW3496" s="197"/>
    </row>
    <row r="3497" spans="28:49" s="196" customFormat="1">
      <c r="AB3497" s="201"/>
      <c r="AC3497" s="201"/>
      <c r="AD3497" s="197"/>
      <c r="AE3497" s="197"/>
      <c r="AF3497" s="197"/>
      <c r="AG3497" s="197"/>
      <c r="AH3497" s="197"/>
      <c r="AI3497" s="197"/>
      <c r="AJ3497" s="197"/>
      <c r="AK3497" s="197"/>
      <c r="AL3497" s="197"/>
      <c r="AM3497" s="197"/>
      <c r="AN3497" s="197"/>
      <c r="AO3497" s="197"/>
      <c r="AP3497" s="197"/>
      <c r="AQ3497" s="197"/>
      <c r="AR3497" s="197"/>
      <c r="AS3497" s="197"/>
      <c r="AT3497" s="197"/>
      <c r="AU3497" s="197"/>
      <c r="AV3497" s="197"/>
      <c r="AW3497" s="197"/>
    </row>
    <row r="3498" spans="28:49" s="196" customFormat="1">
      <c r="AB3498" s="201"/>
      <c r="AC3498" s="201"/>
      <c r="AD3498" s="197"/>
      <c r="AE3498" s="197"/>
      <c r="AF3498" s="197"/>
      <c r="AG3498" s="197"/>
      <c r="AH3498" s="197"/>
      <c r="AI3498" s="197"/>
      <c r="AJ3498" s="197"/>
      <c r="AK3498" s="197"/>
      <c r="AL3498" s="197"/>
      <c r="AM3498" s="197"/>
      <c r="AN3498" s="197"/>
      <c r="AO3498" s="197"/>
      <c r="AP3498" s="197"/>
      <c r="AQ3498" s="197"/>
      <c r="AR3498" s="197"/>
      <c r="AS3498" s="197"/>
      <c r="AT3498" s="197"/>
      <c r="AU3498" s="197"/>
      <c r="AV3498" s="197"/>
      <c r="AW3498" s="197"/>
    </row>
    <row r="3499" spans="28:49" s="196" customFormat="1">
      <c r="AB3499" s="201"/>
      <c r="AC3499" s="201"/>
      <c r="AD3499" s="197"/>
      <c r="AE3499" s="197"/>
      <c r="AF3499" s="197"/>
      <c r="AG3499" s="197"/>
      <c r="AH3499" s="197"/>
      <c r="AI3499" s="197"/>
      <c r="AJ3499" s="197"/>
      <c r="AK3499" s="197"/>
      <c r="AL3499" s="197"/>
      <c r="AM3499" s="197"/>
      <c r="AN3499" s="197"/>
      <c r="AO3499" s="197"/>
      <c r="AP3499" s="197"/>
      <c r="AQ3499" s="197"/>
      <c r="AR3499" s="197"/>
      <c r="AS3499" s="197"/>
      <c r="AT3499" s="197"/>
      <c r="AU3499" s="197"/>
      <c r="AV3499" s="197"/>
      <c r="AW3499" s="197"/>
    </row>
    <row r="3500" spans="28:49" s="196" customFormat="1">
      <c r="AB3500" s="201"/>
      <c r="AC3500" s="201"/>
      <c r="AD3500" s="197"/>
      <c r="AE3500" s="197"/>
      <c r="AF3500" s="197"/>
      <c r="AG3500" s="197"/>
      <c r="AH3500" s="197"/>
      <c r="AI3500" s="197"/>
      <c r="AJ3500" s="197"/>
      <c r="AK3500" s="197"/>
      <c r="AL3500" s="197"/>
      <c r="AM3500" s="197"/>
      <c r="AN3500" s="197"/>
      <c r="AO3500" s="197"/>
      <c r="AP3500" s="197"/>
      <c r="AQ3500" s="197"/>
      <c r="AR3500" s="197"/>
      <c r="AS3500" s="197"/>
      <c r="AT3500" s="197"/>
      <c r="AU3500" s="197"/>
      <c r="AV3500" s="197"/>
      <c r="AW3500" s="197"/>
    </row>
    <row r="3501" spans="28:49" s="196" customFormat="1">
      <c r="AB3501" s="201"/>
      <c r="AC3501" s="201"/>
      <c r="AD3501" s="197"/>
      <c r="AE3501" s="197"/>
      <c r="AF3501" s="197"/>
      <c r="AG3501" s="197"/>
      <c r="AH3501" s="197"/>
      <c r="AI3501" s="197"/>
      <c r="AJ3501" s="197"/>
      <c r="AK3501" s="197"/>
      <c r="AL3501" s="197"/>
      <c r="AM3501" s="197"/>
      <c r="AN3501" s="197"/>
      <c r="AO3501" s="197"/>
      <c r="AP3501" s="197"/>
      <c r="AQ3501" s="197"/>
      <c r="AR3501" s="197"/>
      <c r="AS3501" s="197"/>
      <c r="AT3501" s="197"/>
      <c r="AU3501" s="197"/>
      <c r="AV3501" s="197"/>
      <c r="AW3501" s="197"/>
    </row>
    <row r="3502" spans="28:49" s="196" customFormat="1">
      <c r="AB3502" s="201"/>
      <c r="AC3502" s="201"/>
      <c r="AD3502" s="197"/>
      <c r="AE3502" s="197"/>
      <c r="AF3502" s="197"/>
      <c r="AG3502" s="197"/>
      <c r="AH3502" s="197"/>
      <c r="AI3502" s="197"/>
      <c r="AJ3502" s="197"/>
      <c r="AK3502" s="197"/>
      <c r="AL3502" s="197"/>
      <c r="AM3502" s="197"/>
      <c r="AN3502" s="197"/>
      <c r="AO3502" s="197"/>
      <c r="AP3502" s="197"/>
      <c r="AQ3502" s="197"/>
      <c r="AR3502" s="197"/>
      <c r="AS3502" s="197"/>
      <c r="AT3502" s="197"/>
      <c r="AU3502" s="197"/>
      <c r="AV3502" s="197"/>
      <c r="AW3502" s="197"/>
    </row>
    <row r="3503" spans="28:49" s="196" customFormat="1">
      <c r="AB3503" s="201"/>
      <c r="AC3503" s="201"/>
      <c r="AD3503" s="197"/>
      <c r="AE3503" s="197"/>
      <c r="AF3503" s="197"/>
      <c r="AG3503" s="197"/>
      <c r="AH3503" s="197"/>
      <c r="AI3503" s="197"/>
      <c r="AJ3503" s="197"/>
      <c r="AK3503" s="197"/>
      <c r="AL3503" s="197"/>
      <c r="AM3503" s="197"/>
      <c r="AN3503" s="197"/>
      <c r="AO3503" s="197"/>
      <c r="AP3503" s="197"/>
      <c r="AQ3503" s="197"/>
      <c r="AR3503" s="197"/>
      <c r="AS3503" s="197"/>
      <c r="AT3503" s="197"/>
      <c r="AU3503" s="197"/>
      <c r="AV3503" s="197"/>
      <c r="AW3503" s="197"/>
    </row>
    <row r="3504" spans="28:49" s="196" customFormat="1">
      <c r="AB3504" s="201"/>
      <c r="AC3504" s="201"/>
      <c r="AD3504" s="197"/>
      <c r="AE3504" s="197"/>
      <c r="AF3504" s="197"/>
      <c r="AG3504" s="197"/>
      <c r="AH3504" s="197"/>
      <c r="AI3504" s="197"/>
      <c r="AJ3504" s="197"/>
      <c r="AK3504" s="197"/>
      <c r="AL3504" s="197"/>
      <c r="AM3504" s="197"/>
      <c r="AN3504" s="197"/>
      <c r="AO3504" s="197"/>
      <c r="AP3504" s="197"/>
      <c r="AQ3504" s="197"/>
      <c r="AR3504" s="197"/>
      <c r="AS3504" s="197"/>
      <c r="AT3504" s="197"/>
      <c r="AU3504" s="197"/>
      <c r="AV3504" s="197"/>
      <c r="AW3504" s="197"/>
    </row>
    <row r="3505" spans="28:49" s="196" customFormat="1">
      <c r="AB3505" s="201"/>
      <c r="AC3505" s="201"/>
      <c r="AD3505" s="197"/>
      <c r="AE3505" s="197"/>
      <c r="AF3505" s="197"/>
      <c r="AG3505" s="197"/>
      <c r="AH3505" s="197"/>
      <c r="AI3505" s="197"/>
      <c r="AJ3505" s="197"/>
      <c r="AK3505" s="197"/>
      <c r="AL3505" s="197"/>
      <c r="AM3505" s="197"/>
      <c r="AN3505" s="197"/>
      <c r="AO3505" s="197"/>
      <c r="AP3505" s="197"/>
      <c r="AQ3505" s="197"/>
      <c r="AR3505" s="197"/>
      <c r="AS3505" s="197"/>
      <c r="AT3505" s="197"/>
      <c r="AU3505" s="197"/>
      <c r="AV3505" s="197"/>
      <c r="AW3505" s="197"/>
    </row>
    <row r="3506" spans="28:49" s="196" customFormat="1">
      <c r="AB3506" s="201"/>
      <c r="AC3506" s="201"/>
      <c r="AD3506" s="197"/>
      <c r="AE3506" s="197"/>
      <c r="AF3506" s="197"/>
      <c r="AG3506" s="197"/>
      <c r="AH3506" s="197"/>
      <c r="AI3506" s="197"/>
      <c r="AJ3506" s="197"/>
      <c r="AK3506" s="197"/>
      <c r="AL3506" s="197"/>
      <c r="AM3506" s="197"/>
      <c r="AN3506" s="197"/>
      <c r="AO3506" s="197"/>
      <c r="AP3506" s="197"/>
      <c r="AQ3506" s="197"/>
      <c r="AR3506" s="197"/>
      <c r="AS3506" s="197"/>
      <c r="AT3506" s="197"/>
      <c r="AU3506" s="197"/>
      <c r="AV3506" s="197"/>
      <c r="AW3506" s="197"/>
    </row>
    <row r="3507" spans="28:49" s="196" customFormat="1">
      <c r="AB3507" s="201"/>
      <c r="AC3507" s="201"/>
      <c r="AD3507" s="197"/>
      <c r="AE3507" s="197"/>
      <c r="AF3507" s="197"/>
      <c r="AG3507" s="197"/>
      <c r="AH3507" s="197"/>
      <c r="AI3507" s="197"/>
      <c r="AJ3507" s="197"/>
      <c r="AK3507" s="197"/>
      <c r="AL3507" s="197"/>
      <c r="AM3507" s="197"/>
      <c r="AN3507" s="197"/>
      <c r="AO3507" s="197"/>
      <c r="AP3507" s="197"/>
      <c r="AQ3507" s="197"/>
      <c r="AR3507" s="197"/>
      <c r="AS3507" s="197"/>
      <c r="AT3507" s="197"/>
      <c r="AU3507" s="197"/>
      <c r="AV3507" s="197"/>
      <c r="AW3507" s="197"/>
    </row>
    <row r="3508" spans="28:49" s="196" customFormat="1">
      <c r="AB3508" s="201"/>
      <c r="AC3508" s="201"/>
      <c r="AD3508" s="197"/>
      <c r="AE3508" s="197"/>
      <c r="AF3508" s="197"/>
      <c r="AG3508" s="197"/>
      <c r="AH3508" s="197"/>
      <c r="AI3508" s="197"/>
      <c r="AJ3508" s="197"/>
      <c r="AK3508" s="197"/>
      <c r="AL3508" s="197"/>
      <c r="AM3508" s="197"/>
      <c r="AN3508" s="197"/>
      <c r="AO3508" s="197"/>
      <c r="AP3508" s="197"/>
      <c r="AQ3508" s="197"/>
      <c r="AR3508" s="197"/>
      <c r="AS3508" s="197"/>
      <c r="AT3508" s="197"/>
      <c r="AU3508" s="197"/>
      <c r="AV3508" s="197"/>
      <c r="AW3508" s="197"/>
    </row>
    <row r="3509" spans="28:49" s="196" customFormat="1">
      <c r="AB3509" s="201"/>
      <c r="AC3509" s="201"/>
      <c r="AD3509" s="197"/>
      <c r="AE3509" s="197"/>
      <c r="AF3509" s="197"/>
      <c r="AG3509" s="197"/>
      <c r="AH3509" s="197"/>
      <c r="AI3509" s="197"/>
      <c r="AJ3509" s="197"/>
      <c r="AK3509" s="197"/>
      <c r="AL3509" s="197"/>
      <c r="AM3509" s="197"/>
      <c r="AN3509" s="197"/>
      <c r="AO3509" s="197"/>
      <c r="AP3509" s="197"/>
      <c r="AQ3509" s="197"/>
      <c r="AR3509" s="197"/>
      <c r="AS3509" s="197"/>
      <c r="AT3509" s="197"/>
      <c r="AU3509" s="197"/>
      <c r="AV3509" s="197"/>
      <c r="AW3509" s="197"/>
    </row>
    <row r="3510" spans="28:49" s="196" customFormat="1">
      <c r="AB3510" s="201"/>
      <c r="AC3510" s="201"/>
      <c r="AD3510" s="197"/>
      <c r="AE3510" s="197"/>
      <c r="AF3510" s="197"/>
      <c r="AG3510" s="197"/>
      <c r="AH3510" s="197"/>
      <c r="AI3510" s="197"/>
      <c r="AJ3510" s="197"/>
      <c r="AK3510" s="197"/>
      <c r="AL3510" s="197"/>
      <c r="AM3510" s="197"/>
      <c r="AN3510" s="197"/>
      <c r="AO3510" s="197"/>
      <c r="AP3510" s="197"/>
      <c r="AQ3510" s="197"/>
      <c r="AR3510" s="197"/>
      <c r="AS3510" s="197"/>
      <c r="AT3510" s="197"/>
      <c r="AU3510" s="197"/>
      <c r="AV3510" s="197"/>
      <c r="AW3510" s="197"/>
    </row>
    <row r="3511" spans="28:49" s="196" customFormat="1">
      <c r="AB3511" s="201"/>
      <c r="AC3511" s="201"/>
      <c r="AD3511" s="197"/>
      <c r="AE3511" s="197"/>
      <c r="AF3511" s="197"/>
      <c r="AG3511" s="197"/>
      <c r="AH3511" s="197"/>
      <c r="AI3511" s="197"/>
      <c r="AJ3511" s="197"/>
      <c r="AK3511" s="197"/>
      <c r="AL3511" s="197"/>
      <c r="AM3511" s="197"/>
      <c r="AN3511" s="197"/>
      <c r="AO3511" s="197"/>
      <c r="AP3511" s="197"/>
      <c r="AQ3511" s="197"/>
      <c r="AR3511" s="197"/>
      <c r="AS3511" s="197"/>
      <c r="AT3511" s="197"/>
      <c r="AU3511" s="197"/>
      <c r="AV3511" s="197"/>
      <c r="AW3511" s="197"/>
    </row>
    <row r="3512" spans="28:49" s="196" customFormat="1">
      <c r="AB3512" s="201"/>
      <c r="AC3512" s="201"/>
      <c r="AD3512" s="197"/>
      <c r="AE3512" s="197"/>
      <c r="AF3512" s="197"/>
      <c r="AG3512" s="197"/>
      <c r="AH3512" s="197"/>
      <c r="AI3512" s="197"/>
      <c r="AJ3512" s="197"/>
      <c r="AK3512" s="197"/>
      <c r="AL3512" s="197"/>
      <c r="AM3512" s="197"/>
      <c r="AN3512" s="197"/>
      <c r="AO3512" s="197"/>
      <c r="AP3512" s="197"/>
      <c r="AQ3512" s="197"/>
      <c r="AR3512" s="197"/>
      <c r="AS3512" s="197"/>
      <c r="AT3512" s="197"/>
      <c r="AU3512" s="197"/>
      <c r="AV3512" s="197"/>
      <c r="AW3512" s="197"/>
    </row>
    <row r="3513" spans="28:49" s="196" customFormat="1">
      <c r="AB3513" s="201"/>
      <c r="AC3513" s="201"/>
      <c r="AD3513" s="197"/>
      <c r="AE3513" s="197"/>
      <c r="AF3513" s="197"/>
      <c r="AG3513" s="197"/>
      <c r="AH3513" s="197"/>
      <c r="AI3513" s="197"/>
      <c r="AJ3513" s="197"/>
      <c r="AK3513" s="197"/>
      <c r="AL3513" s="197"/>
      <c r="AM3513" s="197"/>
      <c r="AN3513" s="197"/>
      <c r="AO3513" s="197"/>
      <c r="AP3513" s="197"/>
      <c r="AQ3513" s="197"/>
      <c r="AR3513" s="197"/>
      <c r="AS3513" s="197"/>
      <c r="AT3513" s="197"/>
      <c r="AU3513" s="197"/>
      <c r="AV3513" s="197"/>
      <c r="AW3513" s="197"/>
    </row>
    <row r="3514" spans="28:49" s="196" customFormat="1">
      <c r="AB3514" s="201"/>
      <c r="AC3514" s="201"/>
      <c r="AD3514" s="197"/>
      <c r="AE3514" s="197"/>
      <c r="AF3514" s="197"/>
      <c r="AG3514" s="197"/>
      <c r="AH3514" s="197"/>
      <c r="AI3514" s="197"/>
      <c r="AJ3514" s="197"/>
      <c r="AK3514" s="197"/>
      <c r="AL3514" s="197"/>
      <c r="AM3514" s="197"/>
      <c r="AN3514" s="197"/>
      <c r="AO3514" s="197"/>
      <c r="AP3514" s="197"/>
      <c r="AQ3514" s="197"/>
      <c r="AR3514" s="197"/>
      <c r="AS3514" s="197"/>
      <c r="AT3514" s="197"/>
      <c r="AU3514" s="197"/>
      <c r="AV3514" s="197"/>
      <c r="AW3514" s="197"/>
    </row>
    <row r="3515" spans="28:49" s="196" customFormat="1">
      <c r="AB3515" s="201"/>
      <c r="AC3515" s="201"/>
      <c r="AD3515" s="197"/>
      <c r="AE3515" s="197"/>
      <c r="AF3515" s="197"/>
      <c r="AG3515" s="197"/>
      <c r="AH3515" s="197"/>
      <c r="AI3515" s="197"/>
      <c r="AJ3515" s="197"/>
      <c r="AK3515" s="197"/>
      <c r="AL3515" s="197"/>
      <c r="AM3515" s="197"/>
      <c r="AN3515" s="197"/>
      <c r="AO3515" s="197"/>
      <c r="AP3515" s="197"/>
      <c r="AQ3515" s="197"/>
      <c r="AR3515" s="197"/>
      <c r="AS3515" s="197"/>
      <c r="AT3515" s="197"/>
      <c r="AU3515" s="197"/>
      <c r="AV3515" s="197"/>
      <c r="AW3515" s="197"/>
    </row>
    <row r="3516" spans="28:49" s="196" customFormat="1">
      <c r="AB3516" s="201"/>
      <c r="AC3516" s="201"/>
      <c r="AD3516" s="197"/>
      <c r="AE3516" s="197"/>
      <c r="AF3516" s="197"/>
      <c r="AG3516" s="197"/>
      <c r="AH3516" s="197"/>
      <c r="AI3516" s="197"/>
      <c r="AJ3516" s="197"/>
      <c r="AK3516" s="197"/>
      <c r="AL3516" s="197"/>
      <c r="AM3516" s="197"/>
      <c r="AN3516" s="197"/>
      <c r="AO3516" s="197"/>
      <c r="AP3516" s="197"/>
      <c r="AQ3516" s="197"/>
      <c r="AR3516" s="197"/>
      <c r="AS3516" s="197"/>
      <c r="AT3516" s="197"/>
      <c r="AU3516" s="197"/>
      <c r="AV3516" s="197"/>
      <c r="AW3516" s="197"/>
    </row>
    <row r="3517" spans="28:49" s="196" customFormat="1">
      <c r="AB3517" s="201"/>
      <c r="AC3517" s="201"/>
      <c r="AD3517" s="197"/>
      <c r="AE3517" s="197"/>
      <c r="AF3517" s="197"/>
      <c r="AG3517" s="197"/>
      <c r="AH3517" s="197"/>
      <c r="AI3517" s="197"/>
      <c r="AJ3517" s="197"/>
      <c r="AK3517" s="197"/>
      <c r="AL3517" s="197"/>
      <c r="AM3517" s="197"/>
      <c r="AN3517" s="197"/>
      <c r="AO3517" s="197"/>
      <c r="AP3517" s="197"/>
      <c r="AQ3517" s="197"/>
      <c r="AR3517" s="197"/>
      <c r="AS3517" s="197"/>
      <c r="AT3517" s="197"/>
      <c r="AU3517" s="197"/>
      <c r="AV3517" s="197"/>
      <c r="AW3517" s="197"/>
    </row>
    <row r="3518" spans="28:49" s="196" customFormat="1">
      <c r="AB3518" s="201"/>
      <c r="AC3518" s="201"/>
      <c r="AD3518" s="197"/>
      <c r="AE3518" s="197"/>
      <c r="AF3518" s="197"/>
      <c r="AG3518" s="197"/>
      <c r="AH3518" s="197"/>
      <c r="AI3518" s="197"/>
      <c r="AJ3518" s="197"/>
      <c r="AK3518" s="197"/>
      <c r="AL3518" s="197"/>
      <c r="AM3518" s="197"/>
      <c r="AN3518" s="197"/>
      <c r="AO3518" s="197"/>
      <c r="AP3518" s="197"/>
      <c r="AQ3518" s="197"/>
      <c r="AR3518" s="197"/>
      <c r="AS3518" s="197"/>
      <c r="AT3518" s="197"/>
      <c r="AU3518" s="197"/>
      <c r="AV3518" s="197"/>
      <c r="AW3518" s="197"/>
    </row>
    <row r="3519" spans="28:49" s="196" customFormat="1">
      <c r="AB3519" s="201"/>
      <c r="AC3519" s="201"/>
      <c r="AD3519" s="197"/>
      <c r="AE3519" s="197"/>
      <c r="AF3519" s="197"/>
      <c r="AG3519" s="197"/>
      <c r="AH3519" s="197"/>
      <c r="AI3519" s="197"/>
      <c r="AJ3519" s="197"/>
      <c r="AK3519" s="197"/>
      <c r="AL3519" s="197"/>
      <c r="AM3519" s="197"/>
      <c r="AN3519" s="197"/>
      <c r="AO3519" s="197"/>
      <c r="AP3519" s="197"/>
      <c r="AQ3519" s="197"/>
      <c r="AR3519" s="197"/>
      <c r="AS3519" s="197"/>
      <c r="AT3519" s="197"/>
      <c r="AU3519" s="197"/>
      <c r="AV3519" s="197"/>
      <c r="AW3519" s="197"/>
    </row>
    <row r="3520" spans="28:49" s="196" customFormat="1">
      <c r="AB3520" s="201"/>
      <c r="AC3520" s="201"/>
      <c r="AD3520" s="197"/>
      <c r="AE3520" s="197"/>
      <c r="AF3520" s="197"/>
      <c r="AG3520" s="197"/>
      <c r="AH3520" s="197"/>
      <c r="AI3520" s="197"/>
      <c r="AJ3520" s="197"/>
      <c r="AK3520" s="197"/>
      <c r="AL3520" s="197"/>
      <c r="AM3520" s="197"/>
      <c r="AN3520" s="197"/>
      <c r="AO3520" s="197"/>
      <c r="AP3520" s="197"/>
      <c r="AQ3520" s="197"/>
      <c r="AR3520" s="197"/>
      <c r="AS3520" s="197"/>
      <c r="AT3520" s="197"/>
      <c r="AU3520" s="197"/>
      <c r="AV3520" s="197"/>
      <c r="AW3520" s="197"/>
    </row>
    <row r="3521" spans="28:49" s="196" customFormat="1">
      <c r="AB3521" s="201"/>
      <c r="AC3521" s="201"/>
      <c r="AD3521" s="197"/>
      <c r="AE3521" s="197"/>
      <c r="AF3521" s="197"/>
      <c r="AG3521" s="197"/>
      <c r="AH3521" s="197"/>
      <c r="AI3521" s="197"/>
      <c r="AJ3521" s="197"/>
      <c r="AK3521" s="197"/>
      <c r="AL3521" s="197"/>
      <c r="AM3521" s="197"/>
      <c r="AN3521" s="197"/>
      <c r="AO3521" s="197"/>
      <c r="AP3521" s="197"/>
      <c r="AQ3521" s="197"/>
      <c r="AR3521" s="197"/>
      <c r="AS3521" s="197"/>
      <c r="AT3521" s="197"/>
      <c r="AU3521" s="197"/>
      <c r="AV3521" s="197"/>
      <c r="AW3521" s="197"/>
    </row>
    <row r="3522" spans="28:49" s="196" customFormat="1">
      <c r="AB3522" s="201"/>
      <c r="AC3522" s="201"/>
      <c r="AD3522" s="197"/>
      <c r="AE3522" s="197"/>
      <c r="AF3522" s="197"/>
      <c r="AG3522" s="197"/>
      <c r="AH3522" s="197"/>
      <c r="AI3522" s="197"/>
      <c r="AJ3522" s="197"/>
      <c r="AK3522" s="197"/>
      <c r="AL3522" s="197"/>
      <c r="AM3522" s="197"/>
      <c r="AN3522" s="197"/>
      <c r="AO3522" s="197"/>
      <c r="AP3522" s="197"/>
      <c r="AQ3522" s="197"/>
      <c r="AR3522" s="197"/>
      <c r="AS3522" s="197"/>
      <c r="AT3522" s="197"/>
      <c r="AU3522" s="197"/>
      <c r="AV3522" s="197"/>
      <c r="AW3522" s="197"/>
    </row>
    <row r="3523" spans="28:49" s="196" customFormat="1">
      <c r="AB3523" s="201"/>
      <c r="AC3523" s="201"/>
      <c r="AD3523" s="197"/>
      <c r="AE3523" s="197"/>
      <c r="AF3523" s="197"/>
      <c r="AG3523" s="197"/>
      <c r="AH3523" s="197"/>
      <c r="AI3523" s="197"/>
      <c r="AJ3523" s="197"/>
      <c r="AK3523" s="197"/>
      <c r="AL3523" s="197"/>
      <c r="AM3523" s="197"/>
      <c r="AN3523" s="197"/>
      <c r="AO3523" s="197"/>
      <c r="AP3523" s="197"/>
      <c r="AQ3523" s="197"/>
      <c r="AR3523" s="197"/>
      <c r="AS3523" s="197"/>
      <c r="AT3523" s="197"/>
      <c r="AU3523" s="197"/>
      <c r="AV3523" s="197"/>
      <c r="AW3523" s="197"/>
    </row>
    <row r="3524" spans="28:49" s="196" customFormat="1">
      <c r="AB3524" s="201"/>
      <c r="AC3524" s="201"/>
      <c r="AD3524" s="197"/>
      <c r="AE3524" s="197"/>
      <c r="AF3524" s="197"/>
      <c r="AG3524" s="197"/>
      <c r="AH3524" s="197"/>
      <c r="AI3524" s="197"/>
      <c r="AJ3524" s="197"/>
      <c r="AK3524" s="197"/>
      <c r="AL3524" s="197"/>
      <c r="AM3524" s="197"/>
      <c r="AN3524" s="197"/>
      <c r="AO3524" s="197"/>
      <c r="AP3524" s="197"/>
      <c r="AQ3524" s="197"/>
      <c r="AR3524" s="197"/>
      <c r="AS3524" s="197"/>
      <c r="AT3524" s="197"/>
      <c r="AU3524" s="197"/>
      <c r="AV3524" s="197"/>
      <c r="AW3524" s="197"/>
    </row>
    <row r="3525" spans="28:49" s="196" customFormat="1">
      <c r="AB3525" s="201"/>
      <c r="AC3525" s="201"/>
      <c r="AD3525" s="197"/>
      <c r="AE3525" s="197"/>
      <c r="AF3525" s="197"/>
      <c r="AG3525" s="197"/>
      <c r="AH3525" s="197"/>
      <c r="AI3525" s="197"/>
      <c r="AJ3525" s="197"/>
      <c r="AK3525" s="197"/>
      <c r="AL3525" s="197"/>
      <c r="AM3525" s="197"/>
      <c r="AN3525" s="197"/>
      <c r="AO3525" s="197"/>
      <c r="AP3525" s="197"/>
      <c r="AQ3525" s="197"/>
      <c r="AR3525" s="197"/>
      <c r="AS3525" s="197"/>
      <c r="AT3525" s="197"/>
      <c r="AU3525" s="197"/>
      <c r="AV3525" s="197"/>
      <c r="AW3525" s="197"/>
    </row>
    <row r="3526" spans="28:49" s="196" customFormat="1">
      <c r="AB3526" s="201"/>
      <c r="AC3526" s="201"/>
      <c r="AD3526" s="197"/>
      <c r="AE3526" s="197"/>
      <c r="AF3526" s="197"/>
      <c r="AG3526" s="197"/>
      <c r="AH3526" s="197"/>
      <c r="AI3526" s="197"/>
      <c r="AJ3526" s="197"/>
      <c r="AK3526" s="197"/>
      <c r="AL3526" s="197"/>
      <c r="AM3526" s="197"/>
      <c r="AN3526" s="197"/>
      <c r="AO3526" s="197"/>
      <c r="AP3526" s="197"/>
      <c r="AQ3526" s="197"/>
      <c r="AR3526" s="197"/>
      <c r="AS3526" s="197"/>
      <c r="AT3526" s="197"/>
      <c r="AU3526" s="197"/>
      <c r="AV3526" s="197"/>
      <c r="AW3526" s="197"/>
    </row>
    <row r="3527" spans="28:49" s="196" customFormat="1">
      <c r="AB3527" s="201"/>
      <c r="AC3527" s="201"/>
      <c r="AD3527" s="197"/>
      <c r="AE3527" s="197"/>
      <c r="AF3527" s="197"/>
      <c r="AG3527" s="197"/>
      <c r="AH3527" s="197"/>
      <c r="AI3527" s="197"/>
      <c r="AJ3527" s="197"/>
      <c r="AK3527" s="197"/>
      <c r="AL3527" s="197"/>
      <c r="AM3527" s="197"/>
      <c r="AN3527" s="197"/>
      <c r="AO3527" s="197"/>
      <c r="AP3527" s="197"/>
      <c r="AQ3527" s="197"/>
      <c r="AR3527" s="197"/>
      <c r="AS3527" s="197"/>
      <c r="AT3527" s="197"/>
      <c r="AU3527" s="197"/>
      <c r="AV3527" s="197"/>
      <c r="AW3527" s="197"/>
    </row>
    <row r="3528" spans="28:49" s="196" customFormat="1">
      <c r="AB3528" s="201"/>
      <c r="AC3528" s="201"/>
      <c r="AD3528" s="197"/>
      <c r="AE3528" s="197"/>
      <c r="AF3528" s="197"/>
      <c r="AG3528" s="197"/>
      <c r="AH3528" s="197"/>
      <c r="AI3528" s="197"/>
      <c r="AJ3528" s="197"/>
      <c r="AK3528" s="197"/>
      <c r="AL3528" s="197"/>
      <c r="AM3528" s="197"/>
      <c r="AN3528" s="197"/>
      <c r="AO3528" s="197"/>
      <c r="AP3528" s="197"/>
      <c r="AQ3528" s="197"/>
      <c r="AR3528" s="197"/>
      <c r="AS3528" s="197"/>
      <c r="AT3528" s="197"/>
      <c r="AU3528" s="197"/>
      <c r="AV3528" s="197"/>
      <c r="AW3528" s="197"/>
    </row>
    <row r="3529" spans="28:49" s="196" customFormat="1">
      <c r="AB3529" s="201"/>
      <c r="AC3529" s="201"/>
      <c r="AD3529" s="197"/>
      <c r="AE3529" s="197"/>
      <c r="AF3529" s="197"/>
      <c r="AG3529" s="197"/>
      <c r="AH3529" s="197"/>
      <c r="AI3529" s="197"/>
      <c r="AJ3529" s="197"/>
      <c r="AK3529" s="197"/>
      <c r="AL3529" s="197"/>
      <c r="AM3529" s="197"/>
      <c r="AN3529" s="197"/>
      <c r="AO3529" s="197"/>
      <c r="AP3529" s="197"/>
      <c r="AQ3529" s="197"/>
      <c r="AR3529" s="197"/>
      <c r="AS3529" s="197"/>
      <c r="AT3529" s="197"/>
      <c r="AU3529" s="197"/>
      <c r="AV3529" s="197"/>
      <c r="AW3529" s="197"/>
    </row>
    <row r="3530" spans="28:49" s="196" customFormat="1">
      <c r="AB3530" s="201"/>
      <c r="AC3530" s="201"/>
      <c r="AD3530" s="197"/>
      <c r="AE3530" s="197"/>
      <c r="AF3530" s="197"/>
      <c r="AG3530" s="197"/>
      <c r="AH3530" s="197"/>
      <c r="AI3530" s="197"/>
      <c r="AJ3530" s="197"/>
      <c r="AK3530" s="197"/>
      <c r="AL3530" s="197"/>
      <c r="AM3530" s="197"/>
      <c r="AN3530" s="197"/>
      <c r="AO3530" s="197"/>
      <c r="AP3530" s="197"/>
      <c r="AQ3530" s="197"/>
      <c r="AR3530" s="197"/>
      <c r="AS3530" s="197"/>
      <c r="AT3530" s="197"/>
      <c r="AU3530" s="197"/>
      <c r="AV3530" s="197"/>
      <c r="AW3530" s="197"/>
    </row>
    <row r="3531" spans="28:49" s="196" customFormat="1">
      <c r="AB3531" s="201"/>
      <c r="AC3531" s="201"/>
      <c r="AD3531" s="197"/>
      <c r="AE3531" s="197"/>
      <c r="AF3531" s="197"/>
      <c r="AG3531" s="197"/>
      <c r="AH3531" s="197"/>
      <c r="AI3531" s="197"/>
      <c r="AJ3531" s="197"/>
      <c r="AK3531" s="197"/>
      <c r="AL3531" s="197"/>
      <c r="AM3531" s="197"/>
      <c r="AN3531" s="197"/>
      <c r="AO3531" s="197"/>
      <c r="AP3531" s="197"/>
      <c r="AQ3531" s="197"/>
      <c r="AR3531" s="197"/>
      <c r="AS3531" s="197"/>
      <c r="AT3531" s="197"/>
      <c r="AU3531" s="197"/>
      <c r="AV3531" s="197"/>
      <c r="AW3531" s="197"/>
    </row>
    <row r="3532" spans="28:49" s="196" customFormat="1">
      <c r="AB3532" s="201"/>
      <c r="AC3532" s="201"/>
      <c r="AD3532" s="197"/>
      <c r="AE3532" s="197"/>
      <c r="AF3532" s="197"/>
      <c r="AG3532" s="197"/>
      <c r="AH3532" s="197"/>
      <c r="AI3532" s="197"/>
      <c r="AJ3532" s="197"/>
      <c r="AK3532" s="197"/>
      <c r="AL3532" s="197"/>
      <c r="AM3532" s="197"/>
      <c r="AN3532" s="197"/>
      <c r="AO3532" s="197"/>
      <c r="AP3532" s="197"/>
      <c r="AQ3532" s="197"/>
      <c r="AR3532" s="197"/>
      <c r="AS3532" s="197"/>
      <c r="AT3532" s="197"/>
      <c r="AU3532" s="197"/>
      <c r="AV3532" s="197"/>
      <c r="AW3532" s="197"/>
    </row>
    <row r="3533" spans="28:49" s="196" customFormat="1">
      <c r="AB3533" s="201"/>
      <c r="AC3533" s="201"/>
      <c r="AD3533" s="197"/>
      <c r="AE3533" s="197"/>
      <c r="AF3533" s="197"/>
      <c r="AG3533" s="197"/>
      <c r="AH3533" s="197"/>
      <c r="AI3533" s="197"/>
      <c r="AJ3533" s="197"/>
      <c r="AK3533" s="197"/>
      <c r="AL3533" s="197"/>
      <c r="AM3533" s="197"/>
      <c r="AN3533" s="197"/>
      <c r="AO3533" s="197"/>
      <c r="AP3533" s="197"/>
      <c r="AQ3533" s="197"/>
      <c r="AR3533" s="197"/>
      <c r="AS3533" s="197"/>
      <c r="AT3533" s="197"/>
      <c r="AU3533" s="197"/>
      <c r="AV3533" s="197"/>
      <c r="AW3533" s="197"/>
    </row>
    <row r="3534" spans="28:49" s="196" customFormat="1">
      <c r="AB3534" s="201"/>
      <c r="AC3534" s="201"/>
      <c r="AD3534" s="197"/>
      <c r="AE3534" s="197"/>
      <c r="AF3534" s="197"/>
      <c r="AG3534" s="197"/>
      <c r="AH3534" s="197"/>
      <c r="AI3534" s="197"/>
      <c r="AJ3534" s="197"/>
      <c r="AK3534" s="197"/>
      <c r="AL3534" s="197"/>
      <c r="AM3534" s="197"/>
      <c r="AN3534" s="197"/>
      <c r="AO3534" s="197"/>
      <c r="AP3534" s="197"/>
      <c r="AQ3534" s="197"/>
      <c r="AR3534" s="197"/>
      <c r="AS3534" s="197"/>
      <c r="AT3534" s="197"/>
      <c r="AU3534" s="197"/>
      <c r="AV3534" s="197"/>
      <c r="AW3534" s="197"/>
    </row>
    <row r="3535" spans="28:49" s="196" customFormat="1">
      <c r="AB3535" s="201"/>
      <c r="AC3535" s="201"/>
      <c r="AD3535" s="197"/>
      <c r="AE3535" s="197"/>
      <c r="AF3535" s="197"/>
      <c r="AG3535" s="197"/>
      <c r="AH3535" s="197"/>
      <c r="AI3535" s="197"/>
      <c r="AJ3535" s="197"/>
      <c r="AK3535" s="197"/>
      <c r="AL3535" s="197"/>
      <c r="AM3535" s="197"/>
      <c r="AN3535" s="197"/>
      <c r="AO3535" s="197"/>
      <c r="AP3535" s="197"/>
      <c r="AQ3535" s="197"/>
      <c r="AR3535" s="197"/>
      <c r="AS3535" s="197"/>
      <c r="AT3535" s="197"/>
      <c r="AU3535" s="197"/>
      <c r="AV3535" s="197"/>
      <c r="AW3535" s="197"/>
    </row>
    <row r="3536" spans="28:49" s="196" customFormat="1">
      <c r="AB3536" s="201"/>
      <c r="AC3536" s="201"/>
      <c r="AD3536" s="197"/>
      <c r="AE3536" s="197"/>
      <c r="AF3536" s="197"/>
      <c r="AG3536" s="197"/>
      <c r="AH3536" s="197"/>
      <c r="AI3536" s="197"/>
      <c r="AJ3536" s="197"/>
      <c r="AK3536" s="197"/>
      <c r="AL3536" s="197"/>
      <c r="AM3536" s="197"/>
      <c r="AN3536" s="197"/>
      <c r="AO3536" s="197"/>
      <c r="AP3536" s="197"/>
      <c r="AQ3536" s="197"/>
      <c r="AR3536" s="197"/>
      <c r="AS3536" s="197"/>
      <c r="AT3536" s="197"/>
      <c r="AU3536" s="197"/>
      <c r="AV3536" s="197"/>
      <c r="AW3536" s="197"/>
    </row>
    <row r="3537" spans="28:49" s="196" customFormat="1">
      <c r="AB3537" s="201"/>
      <c r="AC3537" s="201"/>
      <c r="AD3537" s="197"/>
      <c r="AE3537" s="197"/>
      <c r="AF3537" s="197"/>
      <c r="AG3537" s="197"/>
      <c r="AH3537" s="197"/>
      <c r="AI3537" s="197"/>
      <c r="AJ3537" s="197"/>
      <c r="AK3537" s="197"/>
      <c r="AL3537" s="197"/>
      <c r="AM3537" s="197"/>
      <c r="AN3537" s="197"/>
      <c r="AO3537" s="197"/>
      <c r="AP3537" s="197"/>
      <c r="AQ3537" s="197"/>
      <c r="AR3537" s="197"/>
      <c r="AS3537" s="197"/>
      <c r="AT3537" s="197"/>
      <c r="AU3537" s="197"/>
      <c r="AV3537" s="197"/>
      <c r="AW3537" s="197"/>
    </row>
    <row r="3538" spans="28:49" s="196" customFormat="1">
      <c r="AB3538" s="201"/>
      <c r="AC3538" s="201"/>
      <c r="AD3538" s="197"/>
      <c r="AE3538" s="197"/>
      <c r="AF3538" s="197"/>
      <c r="AG3538" s="197"/>
      <c r="AH3538" s="197"/>
      <c r="AI3538" s="197"/>
      <c r="AJ3538" s="197"/>
      <c r="AK3538" s="197"/>
      <c r="AL3538" s="197"/>
      <c r="AM3538" s="197"/>
      <c r="AN3538" s="197"/>
      <c r="AO3538" s="197"/>
      <c r="AP3538" s="197"/>
      <c r="AQ3538" s="197"/>
      <c r="AR3538" s="197"/>
      <c r="AS3538" s="197"/>
      <c r="AT3538" s="197"/>
      <c r="AU3538" s="197"/>
      <c r="AV3538" s="197"/>
      <c r="AW3538" s="197"/>
    </row>
    <row r="3539" spans="28:49" s="196" customFormat="1">
      <c r="AB3539" s="201"/>
      <c r="AC3539" s="201"/>
      <c r="AD3539" s="197"/>
      <c r="AE3539" s="197"/>
      <c r="AF3539" s="197"/>
      <c r="AG3539" s="197"/>
      <c r="AH3539" s="197"/>
      <c r="AI3539" s="197"/>
      <c r="AJ3539" s="197"/>
      <c r="AK3539" s="197"/>
      <c r="AL3539" s="197"/>
      <c r="AM3539" s="197"/>
      <c r="AN3539" s="197"/>
      <c r="AO3539" s="197"/>
      <c r="AP3539" s="197"/>
      <c r="AQ3539" s="197"/>
      <c r="AR3539" s="197"/>
      <c r="AS3539" s="197"/>
      <c r="AT3539" s="197"/>
      <c r="AU3539" s="197"/>
      <c r="AV3539" s="197"/>
      <c r="AW3539" s="197"/>
    </row>
    <row r="3540" spans="28:49" s="196" customFormat="1">
      <c r="AB3540" s="201"/>
      <c r="AC3540" s="201"/>
      <c r="AD3540" s="197"/>
      <c r="AE3540" s="197"/>
      <c r="AF3540" s="197"/>
      <c r="AG3540" s="197"/>
      <c r="AH3540" s="197"/>
      <c r="AI3540" s="197"/>
      <c r="AJ3540" s="197"/>
      <c r="AK3540" s="197"/>
      <c r="AL3540" s="197"/>
      <c r="AM3540" s="197"/>
      <c r="AN3540" s="197"/>
      <c r="AO3540" s="197"/>
      <c r="AP3540" s="197"/>
      <c r="AQ3540" s="197"/>
      <c r="AR3540" s="197"/>
      <c r="AS3540" s="197"/>
      <c r="AT3540" s="197"/>
      <c r="AU3540" s="197"/>
      <c r="AV3540" s="197"/>
      <c r="AW3540" s="197"/>
    </row>
    <row r="3541" spans="28:49" s="196" customFormat="1">
      <c r="AB3541" s="201"/>
      <c r="AC3541" s="201"/>
      <c r="AD3541" s="197"/>
      <c r="AE3541" s="197"/>
      <c r="AF3541" s="197"/>
      <c r="AG3541" s="197"/>
      <c r="AH3541" s="197"/>
      <c r="AI3541" s="197"/>
      <c r="AJ3541" s="197"/>
      <c r="AK3541" s="197"/>
      <c r="AL3541" s="197"/>
      <c r="AM3541" s="197"/>
      <c r="AN3541" s="197"/>
      <c r="AO3541" s="197"/>
      <c r="AP3541" s="197"/>
      <c r="AQ3541" s="197"/>
      <c r="AR3541" s="197"/>
      <c r="AS3541" s="197"/>
      <c r="AT3541" s="197"/>
      <c r="AU3541" s="197"/>
      <c r="AV3541" s="197"/>
      <c r="AW3541" s="197"/>
    </row>
    <row r="3542" spans="28:49" s="196" customFormat="1">
      <c r="AB3542" s="201"/>
      <c r="AC3542" s="201"/>
      <c r="AD3542" s="197"/>
      <c r="AE3542" s="197"/>
      <c r="AF3542" s="197"/>
      <c r="AG3542" s="197"/>
      <c r="AH3542" s="197"/>
      <c r="AI3542" s="197"/>
      <c r="AJ3542" s="197"/>
      <c r="AK3542" s="197"/>
      <c r="AL3542" s="197"/>
      <c r="AM3542" s="197"/>
      <c r="AN3542" s="197"/>
      <c r="AO3542" s="197"/>
      <c r="AP3542" s="197"/>
      <c r="AQ3542" s="197"/>
      <c r="AR3542" s="197"/>
      <c r="AS3542" s="197"/>
      <c r="AT3542" s="197"/>
      <c r="AU3542" s="197"/>
      <c r="AV3542" s="197"/>
      <c r="AW3542" s="197"/>
    </row>
    <row r="3543" spans="28:49" s="196" customFormat="1">
      <c r="AB3543" s="201"/>
      <c r="AC3543" s="201"/>
      <c r="AD3543" s="197"/>
      <c r="AE3543" s="197"/>
      <c r="AF3543" s="197"/>
      <c r="AG3543" s="197"/>
      <c r="AH3543" s="197"/>
      <c r="AI3543" s="197"/>
      <c r="AJ3543" s="197"/>
      <c r="AK3543" s="197"/>
      <c r="AL3543" s="197"/>
      <c r="AM3543" s="197"/>
      <c r="AN3543" s="197"/>
      <c r="AO3543" s="197"/>
      <c r="AP3543" s="197"/>
      <c r="AQ3543" s="197"/>
      <c r="AR3543" s="197"/>
      <c r="AS3543" s="197"/>
      <c r="AT3543" s="197"/>
      <c r="AU3543" s="197"/>
      <c r="AV3543" s="197"/>
      <c r="AW3543" s="197"/>
    </row>
    <row r="3544" spans="28:49" s="196" customFormat="1">
      <c r="AB3544" s="201"/>
      <c r="AC3544" s="201"/>
      <c r="AD3544" s="197"/>
      <c r="AE3544" s="197"/>
      <c r="AF3544" s="197"/>
      <c r="AG3544" s="197"/>
      <c r="AH3544" s="197"/>
      <c r="AI3544" s="197"/>
      <c r="AJ3544" s="197"/>
      <c r="AK3544" s="197"/>
      <c r="AL3544" s="197"/>
      <c r="AM3544" s="197"/>
      <c r="AN3544" s="197"/>
      <c r="AO3544" s="197"/>
      <c r="AP3544" s="197"/>
      <c r="AQ3544" s="197"/>
      <c r="AR3544" s="197"/>
      <c r="AS3544" s="197"/>
      <c r="AT3544" s="197"/>
      <c r="AU3544" s="197"/>
      <c r="AV3544" s="197"/>
      <c r="AW3544" s="197"/>
    </row>
    <row r="3545" spans="28:49" s="196" customFormat="1">
      <c r="AB3545" s="201"/>
      <c r="AC3545" s="201"/>
      <c r="AD3545" s="197"/>
      <c r="AE3545" s="197"/>
      <c r="AF3545" s="197"/>
      <c r="AG3545" s="197"/>
      <c r="AH3545" s="197"/>
      <c r="AI3545" s="197"/>
      <c r="AJ3545" s="197"/>
      <c r="AK3545" s="197"/>
      <c r="AL3545" s="197"/>
      <c r="AM3545" s="197"/>
      <c r="AN3545" s="197"/>
      <c r="AO3545" s="197"/>
      <c r="AP3545" s="197"/>
      <c r="AQ3545" s="197"/>
      <c r="AR3545" s="197"/>
      <c r="AS3545" s="197"/>
      <c r="AT3545" s="197"/>
      <c r="AU3545" s="197"/>
      <c r="AV3545" s="197"/>
      <c r="AW3545" s="197"/>
    </row>
    <row r="3546" spans="28:49" s="196" customFormat="1">
      <c r="AB3546" s="201"/>
      <c r="AC3546" s="201"/>
      <c r="AD3546" s="197"/>
      <c r="AE3546" s="197"/>
      <c r="AF3546" s="197"/>
      <c r="AG3546" s="197"/>
      <c r="AH3546" s="197"/>
      <c r="AI3546" s="197"/>
      <c r="AJ3546" s="197"/>
      <c r="AK3546" s="197"/>
      <c r="AL3546" s="197"/>
      <c r="AM3546" s="197"/>
      <c r="AN3546" s="197"/>
      <c r="AO3546" s="197"/>
      <c r="AP3546" s="197"/>
      <c r="AQ3546" s="197"/>
      <c r="AR3546" s="197"/>
      <c r="AS3546" s="197"/>
      <c r="AT3546" s="197"/>
      <c r="AU3546" s="197"/>
      <c r="AV3546" s="197"/>
      <c r="AW3546" s="197"/>
    </row>
    <row r="3547" spans="28:49" s="196" customFormat="1">
      <c r="AB3547" s="201"/>
      <c r="AC3547" s="201"/>
      <c r="AD3547" s="197"/>
      <c r="AE3547" s="197"/>
      <c r="AF3547" s="197"/>
      <c r="AG3547" s="197"/>
      <c r="AH3547" s="197"/>
      <c r="AI3547" s="197"/>
      <c r="AJ3547" s="197"/>
      <c r="AK3547" s="197"/>
      <c r="AL3547" s="197"/>
      <c r="AM3547" s="197"/>
      <c r="AN3547" s="197"/>
      <c r="AO3547" s="197"/>
      <c r="AP3547" s="197"/>
      <c r="AQ3547" s="197"/>
      <c r="AR3547" s="197"/>
      <c r="AS3547" s="197"/>
      <c r="AT3547" s="197"/>
      <c r="AU3547" s="197"/>
      <c r="AV3547" s="197"/>
      <c r="AW3547" s="197"/>
    </row>
    <row r="3548" spans="28:49" s="196" customFormat="1">
      <c r="AB3548" s="201"/>
      <c r="AC3548" s="201"/>
      <c r="AD3548" s="197"/>
      <c r="AE3548" s="197"/>
      <c r="AF3548" s="197"/>
      <c r="AG3548" s="197"/>
      <c r="AH3548" s="197"/>
      <c r="AI3548" s="197"/>
      <c r="AJ3548" s="197"/>
      <c r="AK3548" s="197"/>
      <c r="AL3548" s="197"/>
      <c r="AM3548" s="197"/>
      <c r="AN3548" s="197"/>
      <c r="AO3548" s="197"/>
      <c r="AP3548" s="197"/>
      <c r="AQ3548" s="197"/>
      <c r="AR3548" s="197"/>
      <c r="AS3548" s="197"/>
      <c r="AT3548" s="197"/>
      <c r="AU3548" s="197"/>
      <c r="AV3548" s="197"/>
      <c r="AW3548" s="197"/>
    </row>
    <row r="3549" spans="28:49" s="196" customFormat="1">
      <c r="AB3549" s="201"/>
      <c r="AC3549" s="201"/>
      <c r="AD3549" s="197"/>
      <c r="AE3549" s="197"/>
      <c r="AF3549" s="197"/>
      <c r="AG3549" s="197"/>
      <c r="AH3549" s="197"/>
      <c r="AI3549" s="197"/>
      <c r="AJ3549" s="197"/>
      <c r="AK3549" s="197"/>
      <c r="AL3549" s="197"/>
      <c r="AM3549" s="197"/>
      <c r="AN3549" s="197"/>
      <c r="AO3549" s="197"/>
      <c r="AP3549" s="197"/>
      <c r="AQ3549" s="197"/>
      <c r="AR3549" s="197"/>
      <c r="AS3549" s="197"/>
      <c r="AT3549" s="197"/>
      <c r="AU3549" s="197"/>
      <c r="AV3549" s="197"/>
      <c r="AW3549" s="197"/>
    </row>
    <row r="3550" spans="28:49" s="196" customFormat="1">
      <c r="AB3550" s="201"/>
      <c r="AC3550" s="201"/>
      <c r="AD3550" s="197"/>
      <c r="AE3550" s="197"/>
      <c r="AF3550" s="197"/>
      <c r="AG3550" s="197"/>
      <c r="AH3550" s="197"/>
      <c r="AI3550" s="197"/>
      <c r="AJ3550" s="197"/>
      <c r="AK3550" s="197"/>
      <c r="AL3550" s="197"/>
      <c r="AM3550" s="197"/>
      <c r="AN3550" s="197"/>
      <c r="AO3550" s="197"/>
      <c r="AP3550" s="197"/>
      <c r="AQ3550" s="197"/>
      <c r="AR3550" s="197"/>
      <c r="AS3550" s="197"/>
      <c r="AT3550" s="197"/>
      <c r="AU3550" s="197"/>
      <c r="AV3550" s="197"/>
      <c r="AW3550" s="197"/>
    </row>
    <row r="3551" spans="28:49" s="196" customFormat="1">
      <c r="AB3551" s="201"/>
      <c r="AC3551" s="201"/>
      <c r="AD3551" s="197"/>
      <c r="AE3551" s="197"/>
      <c r="AF3551" s="197"/>
      <c r="AG3551" s="197"/>
      <c r="AH3551" s="197"/>
      <c r="AI3551" s="197"/>
      <c r="AJ3551" s="197"/>
      <c r="AK3551" s="197"/>
      <c r="AL3551" s="197"/>
      <c r="AM3551" s="197"/>
      <c r="AN3551" s="197"/>
      <c r="AO3551" s="197"/>
      <c r="AP3551" s="197"/>
      <c r="AQ3551" s="197"/>
      <c r="AR3551" s="197"/>
      <c r="AS3551" s="197"/>
      <c r="AT3551" s="197"/>
      <c r="AU3551" s="197"/>
      <c r="AV3551" s="197"/>
      <c r="AW3551" s="197"/>
    </row>
    <row r="3552" spans="28:49" s="196" customFormat="1">
      <c r="AB3552" s="201"/>
      <c r="AC3552" s="201"/>
      <c r="AD3552" s="197"/>
      <c r="AE3552" s="197"/>
      <c r="AF3552" s="197"/>
      <c r="AG3552" s="197"/>
      <c r="AH3552" s="197"/>
      <c r="AI3552" s="197"/>
      <c r="AJ3552" s="197"/>
      <c r="AK3552" s="197"/>
      <c r="AL3552" s="197"/>
      <c r="AM3552" s="197"/>
      <c r="AN3552" s="197"/>
      <c r="AO3552" s="197"/>
      <c r="AP3552" s="197"/>
      <c r="AQ3552" s="197"/>
      <c r="AR3552" s="197"/>
      <c r="AS3552" s="197"/>
      <c r="AT3552" s="197"/>
      <c r="AU3552" s="197"/>
      <c r="AV3552" s="197"/>
      <c r="AW3552" s="197"/>
    </row>
    <row r="3553" spans="28:49" s="196" customFormat="1">
      <c r="AB3553" s="201"/>
      <c r="AC3553" s="201"/>
      <c r="AD3553" s="197"/>
      <c r="AE3553" s="197"/>
      <c r="AF3553" s="197"/>
      <c r="AG3553" s="197"/>
      <c r="AH3553" s="197"/>
      <c r="AI3553" s="197"/>
      <c r="AJ3553" s="197"/>
      <c r="AK3553" s="197"/>
      <c r="AL3553" s="197"/>
      <c r="AM3553" s="197"/>
      <c r="AN3553" s="197"/>
      <c r="AO3553" s="197"/>
      <c r="AP3553" s="197"/>
      <c r="AQ3553" s="197"/>
      <c r="AR3553" s="197"/>
      <c r="AS3553" s="197"/>
      <c r="AT3553" s="197"/>
      <c r="AU3553" s="197"/>
      <c r="AV3553" s="197"/>
      <c r="AW3553" s="197"/>
    </row>
    <row r="3554" spans="28:49" s="196" customFormat="1">
      <c r="AB3554" s="201"/>
      <c r="AC3554" s="201"/>
      <c r="AD3554" s="197"/>
      <c r="AE3554" s="197"/>
      <c r="AF3554" s="197"/>
      <c r="AG3554" s="197"/>
      <c r="AH3554" s="197"/>
      <c r="AI3554" s="197"/>
      <c r="AJ3554" s="197"/>
      <c r="AK3554" s="197"/>
      <c r="AL3554" s="197"/>
      <c r="AM3554" s="197"/>
      <c r="AN3554" s="197"/>
      <c r="AO3554" s="197"/>
      <c r="AP3554" s="197"/>
      <c r="AQ3554" s="197"/>
      <c r="AR3554" s="197"/>
      <c r="AS3554" s="197"/>
      <c r="AT3554" s="197"/>
      <c r="AU3554" s="197"/>
      <c r="AV3554" s="197"/>
      <c r="AW3554" s="197"/>
    </row>
    <row r="3555" spans="28:49" s="196" customFormat="1">
      <c r="AB3555" s="201"/>
      <c r="AC3555" s="201"/>
      <c r="AD3555" s="197"/>
      <c r="AE3555" s="197"/>
      <c r="AF3555" s="197"/>
      <c r="AG3555" s="197"/>
      <c r="AH3555" s="197"/>
      <c r="AI3555" s="197"/>
      <c r="AJ3555" s="197"/>
      <c r="AK3555" s="197"/>
      <c r="AL3555" s="197"/>
      <c r="AM3555" s="197"/>
      <c r="AN3555" s="197"/>
      <c r="AO3555" s="197"/>
      <c r="AP3555" s="197"/>
      <c r="AQ3555" s="197"/>
      <c r="AR3555" s="197"/>
      <c r="AS3555" s="197"/>
      <c r="AT3555" s="197"/>
      <c r="AU3555" s="197"/>
      <c r="AV3555" s="197"/>
      <c r="AW3555" s="197"/>
    </row>
    <row r="3556" spans="28:49" s="196" customFormat="1">
      <c r="AB3556" s="201"/>
      <c r="AC3556" s="201"/>
      <c r="AD3556" s="197"/>
      <c r="AE3556" s="197"/>
      <c r="AF3556" s="197"/>
      <c r="AG3556" s="197"/>
      <c r="AH3556" s="197"/>
      <c r="AI3556" s="197"/>
      <c r="AJ3556" s="197"/>
      <c r="AK3556" s="197"/>
      <c r="AL3556" s="197"/>
      <c r="AM3556" s="197"/>
      <c r="AN3556" s="197"/>
      <c r="AO3556" s="197"/>
      <c r="AP3556" s="197"/>
      <c r="AQ3556" s="197"/>
      <c r="AR3556" s="197"/>
      <c r="AS3556" s="197"/>
      <c r="AT3556" s="197"/>
      <c r="AU3556" s="197"/>
      <c r="AV3556" s="197"/>
      <c r="AW3556" s="197"/>
    </row>
    <row r="3557" spans="28:49" s="196" customFormat="1">
      <c r="AB3557" s="201"/>
      <c r="AC3557" s="201"/>
      <c r="AD3557" s="197"/>
      <c r="AE3557" s="197"/>
      <c r="AF3557" s="197"/>
      <c r="AG3557" s="197"/>
      <c r="AH3557" s="197"/>
      <c r="AI3557" s="197"/>
      <c r="AJ3557" s="197"/>
      <c r="AK3557" s="197"/>
      <c r="AL3557" s="197"/>
      <c r="AM3557" s="197"/>
      <c r="AN3557" s="197"/>
      <c r="AO3557" s="197"/>
      <c r="AP3557" s="197"/>
      <c r="AQ3557" s="197"/>
      <c r="AR3557" s="197"/>
      <c r="AS3557" s="197"/>
      <c r="AT3557" s="197"/>
      <c r="AU3557" s="197"/>
      <c r="AV3557" s="197"/>
      <c r="AW3557" s="197"/>
    </row>
    <row r="3558" spans="28:49" s="196" customFormat="1">
      <c r="AB3558" s="201"/>
      <c r="AC3558" s="201"/>
      <c r="AD3558" s="197"/>
      <c r="AE3558" s="197"/>
      <c r="AF3558" s="197"/>
      <c r="AG3558" s="197"/>
      <c r="AH3558" s="197"/>
      <c r="AI3558" s="197"/>
      <c r="AJ3558" s="197"/>
      <c r="AK3558" s="197"/>
      <c r="AL3558" s="197"/>
      <c r="AM3558" s="197"/>
      <c r="AN3558" s="197"/>
      <c r="AO3558" s="197"/>
      <c r="AP3558" s="197"/>
      <c r="AQ3558" s="197"/>
      <c r="AR3558" s="197"/>
      <c r="AS3558" s="197"/>
      <c r="AT3558" s="197"/>
      <c r="AU3558" s="197"/>
      <c r="AV3558" s="197"/>
      <c r="AW3558" s="197"/>
    </row>
    <row r="3559" spans="28:49" s="196" customFormat="1">
      <c r="AB3559" s="201"/>
      <c r="AC3559" s="201"/>
      <c r="AD3559" s="197"/>
      <c r="AE3559" s="197"/>
      <c r="AF3559" s="197"/>
      <c r="AG3559" s="197"/>
      <c r="AH3559" s="197"/>
      <c r="AI3559" s="197"/>
      <c r="AJ3559" s="197"/>
      <c r="AK3559" s="197"/>
      <c r="AL3559" s="197"/>
      <c r="AM3559" s="197"/>
      <c r="AN3559" s="197"/>
      <c r="AO3559" s="197"/>
      <c r="AP3559" s="197"/>
      <c r="AQ3559" s="197"/>
      <c r="AR3559" s="197"/>
      <c r="AS3559" s="197"/>
      <c r="AT3559" s="197"/>
      <c r="AU3559" s="197"/>
      <c r="AV3559" s="197"/>
      <c r="AW3559" s="197"/>
    </row>
    <row r="3560" spans="28:49" s="196" customFormat="1">
      <c r="AB3560" s="201"/>
      <c r="AC3560" s="201"/>
      <c r="AD3560" s="197"/>
      <c r="AE3560" s="197"/>
      <c r="AF3560" s="197"/>
      <c r="AG3560" s="197"/>
      <c r="AH3560" s="197"/>
      <c r="AI3560" s="197"/>
      <c r="AJ3560" s="197"/>
      <c r="AK3560" s="197"/>
      <c r="AL3560" s="197"/>
      <c r="AM3560" s="197"/>
      <c r="AN3560" s="197"/>
      <c r="AO3560" s="197"/>
      <c r="AP3560" s="197"/>
      <c r="AQ3560" s="197"/>
      <c r="AR3560" s="197"/>
      <c r="AS3560" s="197"/>
      <c r="AT3560" s="197"/>
      <c r="AU3560" s="197"/>
      <c r="AV3560" s="197"/>
      <c r="AW3560" s="197"/>
    </row>
    <row r="3561" spans="28:49" s="196" customFormat="1">
      <c r="AB3561" s="201"/>
      <c r="AC3561" s="201"/>
      <c r="AD3561" s="197"/>
      <c r="AE3561" s="197"/>
      <c r="AF3561" s="197"/>
      <c r="AG3561" s="197"/>
      <c r="AH3561" s="197"/>
      <c r="AI3561" s="197"/>
      <c r="AJ3561" s="197"/>
      <c r="AK3561" s="197"/>
      <c r="AL3561" s="197"/>
      <c r="AM3561" s="197"/>
      <c r="AN3561" s="197"/>
      <c r="AO3561" s="197"/>
      <c r="AP3561" s="197"/>
      <c r="AQ3561" s="197"/>
      <c r="AR3561" s="197"/>
      <c r="AS3561" s="197"/>
      <c r="AT3561" s="197"/>
      <c r="AU3561" s="197"/>
      <c r="AV3561" s="197"/>
      <c r="AW3561" s="197"/>
    </row>
    <row r="3562" spans="28:49" s="196" customFormat="1">
      <c r="AB3562" s="201"/>
      <c r="AC3562" s="201"/>
      <c r="AD3562" s="197"/>
      <c r="AE3562" s="197"/>
      <c r="AF3562" s="197"/>
      <c r="AG3562" s="197"/>
      <c r="AH3562" s="197"/>
      <c r="AI3562" s="197"/>
      <c r="AJ3562" s="197"/>
      <c r="AK3562" s="197"/>
      <c r="AL3562" s="197"/>
      <c r="AM3562" s="197"/>
      <c r="AN3562" s="197"/>
      <c r="AO3562" s="197"/>
      <c r="AP3562" s="197"/>
      <c r="AQ3562" s="197"/>
      <c r="AR3562" s="197"/>
      <c r="AS3562" s="197"/>
      <c r="AT3562" s="197"/>
      <c r="AU3562" s="197"/>
      <c r="AV3562" s="197"/>
      <c r="AW3562" s="197"/>
    </row>
    <row r="3563" spans="28:49" s="196" customFormat="1">
      <c r="AB3563" s="201"/>
      <c r="AC3563" s="201"/>
      <c r="AD3563" s="197"/>
      <c r="AE3563" s="197"/>
      <c r="AF3563" s="197"/>
      <c r="AG3563" s="197"/>
      <c r="AH3563" s="197"/>
      <c r="AI3563" s="197"/>
      <c r="AJ3563" s="197"/>
      <c r="AK3563" s="197"/>
      <c r="AL3563" s="197"/>
      <c r="AM3563" s="197"/>
      <c r="AN3563" s="197"/>
      <c r="AO3563" s="197"/>
      <c r="AP3563" s="197"/>
      <c r="AQ3563" s="197"/>
      <c r="AR3563" s="197"/>
      <c r="AS3563" s="197"/>
      <c r="AT3563" s="197"/>
      <c r="AU3563" s="197"/>
      <c r="AV3563" s="197"/>
      <c r="AW3563" s="197"/>
    </row>
    <row r="3564" spans="28:49" s="196" customFormat="1">
      <c r="AB3564" s="201"/>
      <c r="AC3564" s="201"/>
      <c r="AD3564" s="197"/>
      <c r="AE3564" s="197"/>
      <c r="AF3564" s="197"/>
      <c r="AG3564" s="197"/>
      <c r="AH3564" s="197"/>
      <c r="AI3564" s="197"/>
      <c r="AJ3564" s="197"/>
      <c r="AK3564" s="197"/>
      <c r="AL3564" s="197"/>
      <c r="AM3564" s="197"/>
      <c r="AN3564" s="197"/>
      <c r="AO3564" s="197"/>
      <c r="AP3564" s="197"/>
      <c r="AQ3564" s="197"/>
      <c r="AR3564" s="197"/>
      <c r="AS3564" s="197"/>
      <c r="AT3564" s="197"/>
      <c r="AU3564" s="197"/>
      <c r="AV3564" s="197"/>
      <c r="AW3564" s="197"/>
    </row>
    <row r="3565" spans="28:49" s="196" customFormat="1">
      <c r="AB3565" s="201"/>
      <c r="AC3565" s="201"/>
      <c r="AD3565" s="197"/>
      <c r="AE3565" s="197"/>
      <c r="AF3565" s="197"/>
      <c r="AG3565" s="197"/>
      <c r="AH3565" s="197"/>
      <c r="AI3565" s="197"/>
      <c r="AJ3565" s="197"/>
      <c r="AK3565" s="197"/>
      <c r="AL3565" s="197"/>
      <c r="AM3565" s="197"/>
      <c r="AN3565" s="197"/>
      <c r="AO3565" s="197"/>
      <c r="AP3565" s="197"/>
      <c r="AQ3565" s="197"/>
      <c r="AR3565" s="197"/>
      <c r="AS3565" s="197"/>
      <c r="AT3565" s="197"/>
      <c r="AU3565" s="197"/>
      <c r="AV3565" s="197"/>
      <c r="AW3565" s="197"/>
    </row>
    <row r="3566" spans="28:49" s="196" customFormat="1">
      <c r="AB3566" s="201"/>
      <c r="AC3566" s="201"/>
      <c r="AD3566" s="197"/>
      <c r="AE3566" s="197"/>
      <c r="AF3566" s="197"/>
      <c r="AG3566" s="197"/>
      <c r="AH3566" s="197"/>
      <c r="AI3566" s="197"/>
      <c r="AJ3566" s="197"/>
      <c r="AK3566" s="197"/>
      <c r="AL3566" s="197"/>
      <c r="AM3566" s="197"/>
      <c r="AN3566" s="197"/>
      <c r="AO3566" s="197"/>
      <c r="AP3566" s="197"/>
      <c r="AQ3566" s="197"/>
      <c r="AR3566" s="197"/>
      <c r="AS3566" s="197"/>
      <c r="AT3566" s="197"/>
      <c r="AU3566" s="197"/>
      <c r="AV3566" s="197"/>
      <c r="AW3566" s="197"/>
    </row>
    <row r="3567" spans="28:49" s="196" customFormat="1">
      <c r="AB3567" s="201"/>
      <c r="AC3567" s="201"/>
      <c r="AD3567" s="197"/>
      <c r="AE3567" s="197"/>
      <c r="AF3567" s="197"/>
      <c r="AG3567" s="197"/>
      <c r="AH3567" s="197"/>
      <c r="AI3567" s="197"/>
      <c r="AJ3567" s="197"/>
      <c r="AK3567" s="197"/>
      <c r="AL3567" s="197"/>
      <c r="AM3567" s="197"/>
      <c r="AN3567" s="197"/>
      <c r="AO3567" s="197"/>
      <c r="AP3567" s="197"/>
      <c r="AQ3567" s="197"/>
      <c r="AR3567" s="197"/>
      <c r="AS3567" s="197"/>
      <c r="AT3567" s="197"/>
      <c r="AU3567" s="197"/>
      <c r="AV3567" s="197"/>
      <c r="AW3567" s="197"/>
    </row>
    <row r="3568" spans="28:49" s="196" customFormat="1">
      <c r="AB3568" s="201"/>
      <c r="AC3568" s="201"/>
      <c r="AD3568" s="197"/>
      <c r="AE3568" s="197"/>
      <c r="AF3568" s="197"/>
      <c r="AG3568" s="197"/>
      <c r="AH3568" s="197"/>
      <c r="AI3568" s="197"/>
      <c r="AJ3568" s="197"/>
      <c r="AK3568" s="197"/>
      <c r="AL3568" s="197"/>
      <c r="AM3568" s="197"/>
      <c r="AN3568" s="197"/>
      <c r="AO3568" s="197"/>
      <c r="AP3568" s="197"/>
      <c r="AQ3568" s="197"/>
      <c r="AR3568" s="197"/>
      <c r="AS3568" s="197"/>
      <c r="AT3568" s="197"/>
      <c r="AU3568" s="197"/>
      <c r="AV3568" s="197"/>
      <c r="AW3568" s="197"/>
    </row>
    <row r="3569" spans="28:49" s="196" customFormat="1">
      <c r="AB3569" s="201"/>
      <c r="AC3569" s="201"/>
      <c r="AD3569" s="197"/>
      <c r="AE3569" s="197"/>
      <c r="AF3569" s="197"/>
      <c r="AG3569" s="197"/>
      <c r="AH3569" s="197"/>
      <c r="AI3569" s="197"/>
      <c r="AJ3569" s="197"/>
      <c r="AK3569" s="197"/>
      <c r="AL3569" s="197"/>
      <c r="AM3569" s="197"/>
      <c r="AN3569" s="197"/>
      <c r="AO3569" s="197"/>
      <c r="AP3569" s="197"/>
      <c r="AQ3569" s="197"/>
      <c r="AR3569" s="197"/>
      <c r="AS3569" s="197"/>
      <c r="AT3569" s="197"/>
      <c r="AU3569" s="197"/>
      <c r="AV3569" s="197"/>
      <c r="AW3569" s="197"/>
    </row>
    <row r="3570" spans="28:49" s="196" customFormat="1">
      <c r="AB3570" s="201"/>
      <c r="AC3570" s="201"/>
      <c r="AD3570" s="197"/>
      <c r="AE3570" s="197"/>
      <c r="AF3570" s="197"/>
      <c r="AG3570" s="197"/>
      <c r="AH3570" s="197"/>
      <c r="AI3570" s="197"/>
      <c r="AJ3570" s="197"/>
      <c r="AK3570" s="197"/>
      <c r="AL3570" s="197"/>
      <c r="AM3570" s="197"/>
      <c r="AN3570" s="197"/>
      <c r="AO3570" s="197"/>
      <c r="AP3570" s="197"/>
      <c r="AQ3570" s="197"/>
      <c r="AR3570" s="197"/>
      <c r="AS3570" s="197"/>
      <c r="AT3570" s="197"/>
      <c r="AU3570" s="197"/>
      <c r="AV3570" s="197"/>
      <c r="AW3570" s="197"/>
    </row>
    <row r="3571" spans="28:49" s="196" customFormat="1">
      <c r="AB3571" s="201"/>
      <c r="AC3571" s="201"/>
      <c r="AD3571" s="197"/>
      <c r="AE3571" s="197"/>
      <c r="AF3571" s="197"/>
      <c r="AG3571" s="197"/>
      <c r="AH3571" s="197"/>
      <c r="AI3571" s="197"/>
      <c r="AJ3571" s="197"/>
      <c r="AK3571" s="197"/>
      <c r="AL3571" s="197"/>
      <c r="AM3571" s="197"/>
      <c r="AN3571" s="197"/>
      <c r="AO3571" s="197"/>
      <c r="AP3571" s="197"/>
      <c r="AQ3571" s="197"/>
      <c r="AR3571" s="197"/>
      <c r="AS3571" s="197"/>
      <c r="AT3571" s="197"/>
      <c r="AU3571" s="197"/>
      <c r="AV3571" s="197"/>
      <c r="AW3571" s="197"/>
    </row>
    <row r="3572" spans="28:49" s="196" customFormat="1">
      <c r="AB3572" s="201"/>
      <c r="AC3572" s="201"/>
      <c r="AD3572" s="197"/>
      <c r="AE3572" s="197"/>
      <c r="AF3572" s="197"/>
      <c r="AG3572" s="197"/>
      <c r="AH3572" s="197"/>
      <c r="AI3572" s="197"/>
      <c r="AJ3572" s="197"/>
      <c r="AK3572" s="197"/>
      <c r="AL3572" s="197"/>
      <c r="AM3572" s="197"/>
      <c r="AN3572" s="197"/>
      <c r="AO3572" s="197"/>
      <c r="AP3572" s="197"/>
      <c r="AQ3572" s="197"/>
      <c r="AR3572" s="197"/>
      <c r="AS3572" s="197"/>
      <c r="AT3572" s="197"/>
      <c r="AU3572" s="197"/>
      <c r="AV3572" s="197"/>
      <c r="AW3572" s="197"/>
    </row>
    <row r="3573" spans="28:49" s="196" customFormat="1">
      <c r="AB3573" s="201"/>
      <c r="AC3573" s="201"/>
      <c r="AD3573" s="197"/>
      <c r="AE3573" s="197"/>
      <c r="AF3573" s="197"/>
      <c r="AG3573" s="197"/>
      <c r="AH3573" s="197"/>
      <c r="AI3573" s="197"/>
      <c r="AJ3573" s="197"/>
      <c r="AK3573" s="197"/>
      <c r="AL3573" s="197"/>
      <c r="AM3573" s="197"/>
      <c r="AN3573" s="197"/>
      <c r="AO3573" s="197"/>
      <c r="AP3573" s="197"/>
      <c r="AQ3573" s="197"/>
      <c r="AR3573" s="197"/>
      <c r="AS3573" s="197"/>
      <c r="AT3573" s="197"/>
      <c r="AU3573" s="197"/>
      <c r="AV3573" s="197"/>
      <c r="AW3573" s="197"/>
    </row>
    <row r="3574" spans="28:49" s="196" customFormat="1">
      <c r="AB3574" s="201"/>
      <c r="AC3574" s="201"/>
      <c r="AD3574" s="197"/>
      <c r="AE3574" s="197"/>
      <c r="AF3574" s="197"/>
      <c r="AG3574" s="197"/>
      <c r="AH3574" s="197"/>
      <c r="AI3574" s="197"/>
      <c r="AJ3574" s="197"/>
      <c r="AK3574" s="197"/>
      <c r="AL3574" s="197"/>
      <c r="AM3574" s="197"/>
      <c r="AN3574" s="197"/>
      <c r="AO3574" s="197"/>
      <c r="AP3574" s="197"/>
      <c r="AQ3574" s="197"/>
      <c r="AR3574" s="197"/>
      <c r="AS3574" s="197"/>
      <c r="AT3574" s="197"/>
      <c r="AU3574" s="197"/>
      <c r="AV3574" s="197"/>
      <c r="AW3574" s="197"/>
    </row>
    <row r="3575" spans="28:49" s="196" customFormat="1">
      <c r="AB3575" s="201"/>
      <c r="AC3575" s="201"/>
      <c r="AD3575" s="197"/>
      <c r="AE3575" s="197"/>
      <c r="AF3575" s="197"/>
      <c r="AG3575" s="197"/>
      <c r="AH3575" s="197"/>
      <c r="AI3575" s="197"/>
      <c r="AJ3575" s="197"/>
      <c r="AK3575" s="197"/>
      <c r="AL3575" s="197"/>
      <c r="AM3575" s="197"/>
      <c r="AN3575" s="197"/>
      <c r="AO3575" s="197"/>
      <c r="AP3575" s="197"/>
      <c r="AQ3575" s="197"/>
      <c r="AR3575" s="197"/>
      <c r="AS3575" s="197"/>
      <c r="AT3575" s="197"/>
      <c r="AU3575" s="197"/>
      <c r="AV3575" s="197"/>
      <c r="AW3575" s="197"/>
    </row>
    <row r="3576" spans="28:49" s="196" customFormat="1">
      <c r="AB3576" s="201"/>
      <c r="AC3576" s="201"/>
      <c r="AD3576" s="197"/>
      <c r="AE3576" s="197"/>
      <c r="AF3576" s="197"/>
      <c r="AG3576" s="197"/>
      <c r="AH3576" s="197"/>
      <c r="AI3576" s="197"/>
      <c r="AJ3576" s="197"/>
      <c r="AK3576" s="197"/>
      <c r="AL3576" s="197"/>
      <c r="AM3576" s="197"/>
      <c r="AN3576" s="197"/>
      <c r="AO3576" s="197"/>
      <c r="AP3576" s="197"/>
      <c r="AQ3576" s="197"/>
      <c r="AR3576" s="197"/>
      <c r="AS3576" s="197"/>
      <c r="AT3576" s="197"/>
      <c r="AU3576" s="197"/>
      <c r="AV3576" s="197"/>
      <c r="AW3576" s="197"/>
    </row>
    <row r="3577" spans="28:49" s="196" customFormat="1">
      <c r="AB3577" s="201"/>
      <c r="AC3577" s="201"/>
      <c r="AD3577" s="197"/>
      <c r="AE3577" s="197"/>
      <c r="AF3577" s="197"/>
      <c r="AG3577" s="197"/>
      <c r="AH3577" s="197"/>
      <c r="AI3577" s="197"/>
      <c r="AJ3577" s="197"/>
      <c r="AK3577" s="197"/>
      <c r="AL3577" s="197"/>
      <c r="AM3577" s="197"/>
      <c r="AN3577" s="197"/>
      <c r="AO3577" s="197"/>
      <c r="AP3577" s="197"/>
      <c r="AQ3577" s="197"/>
      <c r="AR3577" s="197"/>
      <c r="AS3577" s="197"/>
      <c r="AT3577" s="197"/>
      <c r="AU3577" s="197"/>
      <c r="AV3577" s="197"/>
      <c r="AW3577" s="197"/>
    </row>
    <row r="3578" spans="28:49" s="196" customFormat="1">
      <c r="AB3578" s="201"/>
      <c r="AC3578" s="201"/>
      <c r="AD3578" s="197"/>
      <c r="AE3578" s="197"/>
      <c r="AF3578" s="197"/>
      <c r="AG3578" s="197"/>
      <c r="AH3578" s="197"/>
      <c r="AI3578" s="197"/>
      <c r="AJ3578" s="197"/>
      <c r="AK3578" s="197"/>
      <c r="AL3578" s="197"/>
      <c r="AM3578" s="197"/>
      <c r="AN3578" s="197"/>
      <c r="AO3578" s="197"/>
      <c r="AP3578" s="197"/>
      <c r="AQ3578" s="197"/>
      <c r="AR3578" s="197"/>
      <c r="AS3578" s="197"/>
      <c r="AT3578" s="197"/>
      <c r="AU3578" s="197"/>
      <c r="AV3578" s="197"/>
      <c r="AW3578" s="197"/>
    </row>
    <row r="3579" spans="28:49" s="196" customFormat="1">
      <c r="AB3579" s="201"/>
      <c r="AC3579" s="201"/>
      <c r="AD3579" s="197"/>
      <c r="AE3579" s="197"/>
      <c r="AF3579" s="197"/>
      <c r="AG3579" s="197"/>
      <c r="AH3579" s="197"/>
      <c r="AI3579" s="197"/>
      <c r="AJ3579" s="197"/>
      <c r="AK3579" s="197"/>
      <c r="AL3579" s="197"/>
      <c r="AM3579" s="197"/>
      <c r="AN3579" s="197"/>
      <c r="AO3579" s="197"/>
      <c r="AP3579" s="197"/>
      <c r="AQ3579" s="197"/>
      <c r="AR3579" s="197"/>
      <c r="AS3579" s="197"/>
      <c r="AT3579" s="197"/>
      <c r="AU3579" s="197"/>
      <c r="AV3579" s="197"/>
      <c r="AW3579" s="197"/>
    </row>
    <row r="3580" spans="28:49" s="196" customFormat="1">
      <c r="AB3580" s="201"/>
      <c r="AC3580" s="201"/>
      <c r="AD3580" s="197"/>
      <c r="AE3580" s="197"/>
      <c r="AF3580" s="197"/>
      <c r="AG3580" s="197"/>
      <c r="AH3580" s="197"/>
      <c r="AI3580" s="197"/>
      <c r="AJ3580" s="197"/>
      <c r="AK3580" s="197"/>
      <c r="AL3580" s="197"/>
      <c r="AM3580" s="197"/>
      <c r="AN3580" s="197"/>
      <c r="AO3580" s="197"/>
      <c r="AP3580" s="197"/>
      <c r="AQ3580" s="197"/>
      <c r="AR3580" s="197"/>
      <c r="AS3580" s="197"/>
      <c r="AT3580" s="197"/>
      <c r="AU3580" s="197"/>
      <c r="AV3580" s="197"/>
      <c r="AW3580" s="197"/>
    </row>
    <row r="3581" spans="28:49" s="196" customFormat="1">
      <c r="AB3581" s="201"/>
      <c r="AC3581" s="201"/>
      <c r="AD3581" s="197"/>
      <c r="AE3581" s="197"/>
      <c r="AF3581" s="197"/>
      <c r="AG3581" s="197"/>
      <c r="AH3581" s="197"/>
      <c r="AI3581" s="197"/>
      <c r="AJ3581" s="197"/>
      <c r="AK3581" s="197"/>
      <c r="AL3581" s="197"/>
      <c r="AM3581" s="197"/>
      <c r="AN3581" s="197"/>
      <c r="AO3581" s="197"/>
      <c r="AP3581" s="197"/>
      <c r="AQ3581" s="197"/>
      <c r="AR3581" s="197"/>
      <c r="AS3581" s="197"/>
      <c r="AT3581" s="197"/>
      <c r="AU3581" s="197"/>
      <c r="AV3581" s="197"/>
      <c r="AW3581" s="197"/>
    </row>
    <row r="3582" spans="28:49" s="196" customFormat="1">
      <c r="AB3582" s="201"/>
      <c r="AC3582" s="201"/>
      <c r="AD3582" s="197"/>
      <c r="AE3582" s="197"/>
      <c r="AF3582" s="197"/>
      <c r="AG3582" s="197"/>
      <c r="AH3582" s="197"/>
      <c r="AI3582" s="197"/>
      <c r="AJ3582" s="197"/>
      <c r="AK3582" s="197"/>
      <c r="AL3582" s="197"/>
      <c r="AM3582" s="197"/>
      <c r="AN3582" s="197"/>
      <c r="AO3582" s="197"/>
      <c r="AP3582" s="197"/>
      <c r="AQ3582" s="197"/>
      <c r="AR3582" s="197"/>
      <c r="AS3582" s="197"/>
      <c r="AT3582" s="197"/>
      <c r="AU3582" s="197"/>
      <c r="AV3582" s="197"/>
      <c r="AW3582" s="197"/>
    </row>
    <row r="3583" spans="28:49" s="196" customFormat="1">
      <c r="AB3583" s="201"/>
      <c r="AC3583" s="201"/>
      <c r="AD3583" s="197"/>
      <c r="AE3583" s="197"/>
      <c r="AF3583" s="197"/>
      <c r="AG3583" s="197"/>
      <c r="AH3583" s="197"/>
      <c r="AI3583" s="197"/>
      <c r="AJ3583" s="197"/>
      <c r="AK3583" s="197"/>
      <c r="AL3583" s="197"/>
      <c r="AM3583" s="197"/>
      <c r="AN3583" s="197"/>
      <c r="AO3583" s="197"/>
      <c r="AP3583" s="197"/>
      <c r="AQ3583" s="197"/>
      <c r="AR3583" s="197"/>
      <c r="AS3583" s="197"/>
      <c r="AT3583" s="197"/>
      <c r="AU3583" s="197"/>
      <c r="AV3583" s="197"/>
      <c r="AW3583" s="197"/>
    </row>
    <row r="3584" spans="28:49" s="196" customFormat="1">
      <c r="AB3584" s="201"/>
      <c r="AC3584" s="201"/>
      <c r="AD3584" s="197"/>
      <c r="AE3584" s="197"/>
      <c r="AF3584" s="197"/>
      <c r="AG3584" s="197"/>
      <c r="AH3584" s="197"/>
      <c r="AI3584" s="197"/>
      <c r="AJ3584" s="197"/>
      <c r="AK3584" s="197"/>
      <c r="AL3584" s="197"/>
      <c r="AM3584" s="197"/>
      <c r="AN3584" s="197"/>
      <c r="AO3584" s="197"/>
      <c r="AP3584" s="197"/>
      <c r="AQ3584" s="197"/>
      <c r="AR3584" s="197"/>
      <c r="AS3584" s="197"/>
      <c r="AT3584" s="197"/>
      <c r="AU3584" s="197"/>
      <c r="AV3584" s="197"/>
      <c r="AW3584" s="197"/>
    </row>
    <row r="3585" spans="28:49" s="196" customFormat="1">
      <c r="AB3585" s="201"/>
      <c r="AC3585" s="201"/>
      <c r="AD3585" s="197"/>
      <c r="AE3585" s="197"/>
      <c r="AF3585" s="197"/>
      <c r="AG3585" s="197"/>
      <c r="AH3585" s="197"/>
      <c r="AI3585" s="197"/>
      <c r="AJ3585" s="197"/>
      <c r="AK3585" s="197"/>
      <c r="AL3585" s="197"/>
      <c r="AM3585" s="197"/>
      <c r="AN3585" s="197"/>
      <c r="AO3585" s="197"/>
      <c r="AP3585" s="197"/>
      <c r="AQ3585" s="197"/>
      <c r="AR3585" s="197"/>
      <c r="AS3585" s="197"/>
      <c r="AT3585" s="197"/>
      <c r="AU3585" s="197"/>
      <c r="AV3585" s="197"/>
      <c r="AW3585" s="197"/>
    </row>
    <row r="3586" spans="28:49" s="196" customFormat="1">
      <c r="AB3586" s="201"/>
      <c r="AC3586" s="201"/>
      <c r="AD3586" s="197"/>
      <c r="AE3586" s="197"/>
      <c r="AF3586" s="197"/>
      <c r="AG3586" s="197"/>
      <c r="AH3586" s="197"/>
      <c r="AI3586" s="197"/>
      <c r="AJ3586" s="197"/>
      <c r="AK3586" s="197"/>
      <c r="AL3586" s="197"/>
      <c r="AM3586" s="197"/>
      <c r="AN3586" s="197"/>
      <c r="AO3586" s="197"/>
      <c r="AP3586" s="197"/>
      <c r="AQ3586" s="197"/>
      <c r="AR3586" s="197"/>
      <c r="AS3586" s="197"/>
      <c r="AT3586" s="197"/>
      <c r="AU3586" s="197"/>
      <c r="AV3586" s="197"/>
      <c r="AW3586" s="197"/>
    </row>
    <row r="3587" spans="28:49" s="196" customFormat="1">
      <c r="AB3587" s="201"/>
      <c r="AC3587" s="201"/>
      <c r="AD3587" s="197"/>
      <c r="AE3587" s="197"/>
      <c r="AF3587" s="197"/>
      <c r="AG3587" s="197"/>
      <c r="AH3587" s="197"/>
      <c r="AI3587" s="197"/>
      <c r="AJ3587" s="197"/>
      <c r="AK3587" s="197"/>
      <c r="AL3587" s="197"/>
      <c r="AM3587" s="197"/>
      <c r="AN3587" s="197"/>
      <c r="AO3587" s="197"/>
      <c r="AP3587" s="197"/>
      <c r="AQ3587" s="197"/>
      <c r="AR3587" s="197"/>
      <c r="AS3587" s="197"/>
      <c r="AT3587" s="197"/>
      <c r="AU3587" s="197"/>
      <c r="AV3587" s="197"/>
      <c r="AW3587" s="197"/>
    </row>
    <row r="3588" spans="28:49" s="196" customFormat="1">
      <c r="AB3588" s="201"/>
      <c r="AC3588" s="201"/>
      <c r="AD3588" s="197"/>
      <c r="AE3588" s="197"/>
      <c r="AF3588" s="197"/>
      <c r="AG3588" s="197"/>
      <c r="AH3588" s="197"/>
      <c r="AI3588" s="197"/>
      <c r="AJ3588" s="197"/>
      <c r="AK3588" s="197"/>
      <c r="AL3588" s="197"/>
      <c r="AM3588" s="197"/>
      <c r="AN3588" s="197"/>
      <c r="AO3588" s="197"/>
      <c r="AP3588" s="197"/>
      <c r="AQ3588" s="197"/>
      <c r="AR3588" s="197"/>
      <c r="AS3588" s="197"/>
      <c r="AT3588" s="197"/>
      <c r="AU3588" s="197"/>
      <c r="AV3588" s="197"/>
      <c r="AW3588" s="197"/>
    </row>
    <row r="3589" spans="28:49" s="196" customFormat="1">
      <c r="AB3589" s="201"/>
      <c r="AC3589" s="201"/>
      <c r="AD3589" s="197"/>
      <c r="AE3589" s="197"/>
      <c r="AF3589" s="197"/>
      <c r="AG3589" s="197"/>
      <c r="AH3589" s="197"/>
      <c r="AI3589" s="197"/>
      <c r="AJ3589" s="197"/>
      <c r="AK3589" s="197"/>
      <c r="AL3589" s="197"/>
      <c r="AM3589" s="197"/>
      <c r="AN3589" s="197"/>
      <c r="AO3589" s="197"/>
      <c r="AP3589" s="197"/>
      <c r="AQ3589" s="197"/>
      <c r="AR3589" s="197"/>
      <c r="AS3589" s="197"/>
      <c r="AT3589" s="197"/>
      <c r="AU3589" s="197"/>
      <c r="AV3589" s="197"/>
      <c r="AW3589" s="197"/>
    </row>
    <row r="3590" spans="28:49" s="196" customFormat="1">
      <c r="AB3590" s="201"/>
      <c r="AC3590" s="201"/>
      <c r="AD3590" s="197"/>
      <c r="AE3590" s="197"/>
      <c r="AF3590" s="197"/>
      <c r="AG3590" s="197"/>
      <c r="AH3590" s="197"/>
      <c r="AI3590" s="197"/>
      <c r="AJ3590" s="197"/>
      <c r="AK3590" s="197"/>
      <c r="AL3590" s="197"/>
      <c r="AM3590" s="197"/>
      <c r="AN3590" s="197"/>
      <c r="AO3590" s="197"/>
      <c r="AP3590" s="197"/>
      <c r="AQ3590" s="197"/>
      <c r="AR3590" s="197"/>
      <c r="AS3590" s="197"/>
      <c r="AT3590" s="197"/>
      <c r="AU3590" s="197"/>
      <c r="AV3590" s="197"/>
      <c r="AW3590" s="197"/>
    </row>
    <row r="3591" spans="28:49" s="196" customFormat="1">
      <c r="AB3591" s="201"/>
      <c r="AC3591" s="201"/>
      <c r="AD3591" s="197"/>
      <c r="AE3591" s="197"/>
      <c r="AF3591" s="197"/>
      <c r="AG3591" s="197"/>
      <c r="AH3591" s="197"/>
      <c r="AI3591" s="197"/>
      <c r="AJ3591" s="197"/>
      <c r="AK3591" s="197"/>
      <c r="AL3591" s="197"/>
      <c r="AM3591" s="197"/>
      <c r="AN3591" s="197"/>
      <c r="AO3591" s="197"/>
      <c r="AP3591" s="197"/>
      <c r="AQ3591" s="197"/>
      <c r="AR3591" s="197"/>
      <c r="AS3591" s="197"/>
      <c r="AT3591" s="197"/>
      <c r="AU3591" s="197"/>
      <c r="AV3591" s="197"/>
      <c r="AW3591" s="197"/>
    </row>
    <row r="3592" spans="28:49" s="196" customFormat="1">
      <c r="AB3592" s="201"/>
      <c r="AC3592" s="201"/>
      <c r="AD3592" s="197"/>
      <c r="AE3592" s="197"/>
      <c r="AF3592" s="197"/>
      <c r="AG3592" s="197"/>
      <c r="AH3592" s="197"/>
      <c r="AI3592" s="197"/>
      <c r="AJ3592" s="197"/>
      <c r="AK3592" s="197"/>
      <c r="AL3592" s="197"/>
      <c r="AM3592" s="197"/>
      <c r="AN3592" s="197"/>
      <c r="AO3592" s="197"/>
      <c r="AP3592" s="197"/>
      <c r="AQ3592" s="197"/>
      <c r="AR3592" s="197"/>
      <c r="AS3592" s="197"/>
      <c r="AT3592" s="197"/>
      <c r="AU3592" s="197"/>
      <c r="AV3592" s="197"/>
      <c r="AW3592" s="197"/>
    </row>
    <row r="3593" spans="28:49" s="196" customFormat="1">
      <c r="AB3593" s="201"/>
      <c r="AC3593" s="201"/>
      <c r="AD3593" s="197"/>
      <c r="AE3593" s="197"/>
      <c r="AF3593" s="197"/>
      <c r="AG3593" s="197"/>
      <c r="AH3593" s="197"/>
      <c r="AI3593" s="197"/>
      <c r="AJ3593" s="197"/>
      <c r="AK3593" s="197"/>
      <c r="AL3593" s="197"/>
      <c r="AM3593" s="197"/>
      <c r="AN3593" s="197"/>
      <c r="AO3593" s="197"/>
      <c r="AP3593" s="197"/>
      <c r="AQ3593" s="197"/>
      <c r="AR3593" s="197"/>
      <c r="AS3593" s="197"/>
      <c r="AT3593" s="197"/>
      <c r="AU3593" s="197"/>
      <c r="AV3593" s="197"/>
      <c r="AW3593" s="197"/>
    </row>
    <row r="3594" spans="28:49" s="196" customFormat="1">
      <c r="AB3594" s="201"/>
      <c r="AC3594" s="201"/>
      <c r="AD3594" s="197"/>
      <c r="AE3594" s="197"/>
      <c r="AF3594" s="197"/>
      <c r="AG3594" s="197"/>
      <c r="AH3594" s="197"/>
      <c r="AI3594" s="197"/>
      <c r="AJ3594" s="197"/>
      <c r="AK3594" s="197"/>
      <c r="AL3594" s="197"/>
      <c r="AM3594" s="197"/>
      <c r="AN3594" s="197"/>
      <c r="AO3594" s="197"/>
      <c r="AP3594" s="197"/>
      <c r="AQ3594" s="197"/>
      <c r="AR3594" s="197"/>
      <c r="AS3594" s="197"/>
      <c r="AT3594" s="197"/>
      <c r="AU3594" s="197"/>
      <c r="AV3594" s="197"/>
      <c r="AW3594" s="197"/>
    </row>
    <row r="3595" spans="28:49" s="196" customFormat="1">
      <c r="AB3595" s="201"/>
      <c r="AC3595" s="201"/>
      <c r="AD3595" s="197"/>
      <c r="AE3595" s="197"/>
      <c r="AF3595" s="197"/>
      <c r="AG3595" s="197"/>
      <c r="AH3595" s="197"/>
      <c r="AI3595" s="197"/>
      <c r="AJ3595" s="197"/>
      <c r="AK3595" s="197"/>
      <c r="AL3595" s="197"/>
      <c r="AM3595" s="197"/>
      <c r="AN3595" s="197"/>
      <c r="AO3595" s="197"/>
      <c r="AP3595" s="197"/>
      <c r="AQ3595" s="197"/>
      <c r="AR3595" s="197"/>
      <c r="AS3595" s="197"/>
      <c r="AT3595" s="197"/>
      <c r="AU3595" s="197"/>
      <c r="AV3595" s="197"/>
      <c r="AW3595" s="197"/>
    </row>
    <row r="3596" spans="28:49" s="196" customFormat="1">
      <c r="AB3596" s="201"/>
      <c r="AC3596" s="201"/>
      <c r="AD3596" s="197"/>
      <c r="AE3596" s="197"/>
      <c r="AF3596" s="197"/>
      <c r="AG3596" s="197"/>
      <c r="AH3596" s="197"/>
      <c r="AI3596" s="197"/>
      <c r="AJ3596" s="197"/>
      <c r="AK3596" s="197"/>
      <c r="AL3596" s="197"/>
      <c r="AM3596" s="197"/>
      <c r="AN3596" s="197"/>
      <c r="AO3596" s="197"/>
      <c r="AP3596" s="197"/>
      <c r="AQ3596" s="197"/>
      <c r="AR3596" s="197"/>
      <c r="AS3596" s="197"/>
      <c r="AT3596" s="197"/>
      <c r="AU3596" s="197"/>
      <c r="AV3596" s="197"/>
      <c r="AW3596" s="197"/>
    </row>
    <row r="3597" spans="28:49" s="196" customFormat="1">
      <c r="AB3597" s="201"/>
      <c r="AC3597" s="201"/>
      <c r="AD3597" s="197"/>
      <c r="AE3597" s="197"/>
      <c r="AF3597" s="197"/>
      <c r="AG3597" s="197"/>
      <c r="AH3597" s="197"/>
      <c r="AI3597" s="197"/>
      <c r="AJ3597" s="197"/>
      <c r="AK3597" s="197"/>
      <c r="AL3597" s="197"/>
      <c r="AM3597" s="197"/>
      <c r="AN3597" s="197"/>
      <c r="AO3597" s="197"/>
      <c r="AP3597" s="197"/>
      <c r="AQ3597" s="197"/>
      <c r="AR3597" s="197"/>
      <c r="AS3597" s="197"/>
      <c r="AT3597" s="197"/>
      <c r="AU3597" s="197"/>
      <c r="AV3597" s="197"/>
      <c r="AW3597" s="197"/>
    </row>
    <row r="3598" spans="28:49" s="196" customFormat="1">
      <c r="AB3598" s="201"/>
      <c r="AC3598" s="201"/>
      <c r="AD3598" s="197"/>
      <c r="AE3598" s="197"/>
      <c r="AF3598" s="197"/>
      <c r="AG3598" s="197"/>
      <c r="AH3598" s="197"/>
      <c r="AI3598" s="197"/>
      <c r="AJ3598" s="197"/>
      <c r="AK3598" s="197"/>
      <c r="AL3598" s="197"/>
      <c r="AM3598" s="197"/>
      <c r="AN3598" s="197"/>
      <c r="AO3598" s="197"/>
      <c r="AP3598" s="197"/>
      <c r="AQ3598" s="197"/>
      <c r="AR3598" s="197"/>
      <c r="AS3598" s="197"/>
      <c r="AT3598" s="197"/>
      <c r="AU3598" s="197"/>
      <c r="AV3598" s="197"/>
      <c r="AW3598" s="197"/>
    </row>
    <row r="3599" spans="28:49" s="196" customFormat="1">
      <c r="AB3599" s="201"/>
      <c r="AC3599" s="201"/>
      <c r="AD3599" s="197"/>
      <c r="AE3599" s="197"/>
      <c r="AF3599" s="197"/>
      <c r="AG3599" s="197"/>
      <c r="AH3599" s="197"/>
      <c r="AI3599" s="197"/>
      <c r="AJ3599" s="197"/>
      <c r="AK3599" s="197"/>
      <c r="AL3599" s="197"/>
      <c r="AM3599" s="197"/>
      <c r="AN3599" s="197"/>
      <c r="AO3599" s="197"/>
      <c r="AP3599" s="197"/>
      <c r="AQ3599" s="197"/>
      <c r="AR3599" s="197"/>
      <c r="AS3599" s="197"/>
      <c r="AT3599" s="197"/>
      <c r="AU3599" s="197"/>
      <c r="AV3599" s="197"/>
      <c r="AW3599" s="197"/>
    </row>
    <row r="3600" spans="28:49" s="196" customFormat="1">
      <c r="AB3600" s="201"/>
      <c r="AC3600" s="201"/>
      <c r="AD3600" s="197"/>
      <c r="AE3600" s="197"/>
      <c r="AF3600" s="197"/>
      <c r="AG3600" s="197"/>
      <c r="AH3600" s="197"/>
      <c r="AI3600" s="197"/>
      <c r="AJ3600" s="197"/>
      <c r="AK3600" s="197"/>
      <c r="AL3600" s="197"/>
      <c r="AM3600" s="197"/>
      <c r="AN3600" s="197"/>
      <c r="AO3600" s="197"/>
      <c r="AP3600" s="197"/>
      <c r="AQ3600" s="197"/>
      <c r="AR3600" s="197"/>
      <c r="AS3600" s="197"/>
      <c r="AT3600" s="197"/>
      <c r="AU3600" s="197"/>
      <c r="AV3600" s="197"/>
      <c r="AW3600" s="197"/>
    </row>
    <row r="3601" spans="28:49" s="196" customFormat="1">
      <c r="AB3601" s="201"/>
      <c r="AC3601" s="201"/>
      <c r="AD3601" s="197"/>
      <c r="AE3601" s="197"/>
      <c r="AF3601" s="197"/>
      <c r="AG3601" s="197"/>
      <c r="AH3601" s="197"/>
      <c r="AI3601" s="197"/>
      <c r="AJ3601" s="197"/>
      <c r="AK3601" s="197"/>
      <c r="AL3601" s="197"/>
      <c r="AM3601" s="197"/>
      <c r="AN3601" s="197"/>
      <c r="AO3601" s="197"/>
      <c r="AP3601" s="197"/>
      <c r="AQ3601" s="197"/>
      <c r="AR3601" s="197"/>
      <c r="AS3601" s="197"/>
      <c r="AT3601" s="197"/>
      <c r="AU3601" s="197"/>
      <c r="AV3601" s="197"/>
      <c r="AW3601" s="197"/>
    </row>
    <row r="3602" spans="28:49" s="196" customFormat="1">
      <c r="AB3602" s="201"/>
      <c r="AC3602" s="201"/>
      <c r="AD3602" s="197"/>
      <c r="AE3602" s="197"/>
      <c r="AF3602" s="197"/>
      <c r="AG3602" s="197"/>
      <c r="AH3602" s="197"/>
      <c r="AI3602" s="197"/>
      <c r="AJ3602" s="197"/>
      <c r="AK3602" s="197"/>
      <c r="AL3602" s="197"/>
      <c r="AM3602" s="197"/>
      <c r="AN3602" s="197"/>
      <c r="AO3602" s="197"/>
      <c r="AP3602" s="197"/>
      <c r="AQ3602" s="197"/>
      <c r="AR3602" s="197"/>
      <c r="AS3602" s="197"/>
      <c r="AT3602" s="197"/>
      <c r="AU3602" s="197"/>
      <c r="AV3602" s="197"/>
      <c r="AW3602" s="197"/>
    </row>
    <row r="3603" spans="28:49" s="196" customFormat="1">
      <c r="AB3603" s="201"/>
      <c r="AC3603" s="201"/>
      <c r="AD3603" s="197"/>
      <c r="AE3603" s="197"/>
      <c r="AF3603" s="197"/>
      <c r="AG3603" s="197"/>
      <c r="AH3603" s="197"/>
      <c r="AI3603" s="197"/>
      <c r="AJ3603" s="197"/>
      <c r="AK3603" s="197"/>
      <c r="AL3603" s="197"/>
      <c r="AM3603" s="197"/>
      <c r="AN3603" s="197"/>
      <c r="AO3603" s="197"/>
      <c r="AP3603" s="197"/>
      <c r="AQ3603" s="197"/>
      <c r="AR3603" s="197"/>
      <c r="AS3603" s="197"/>
      <c r="AT3603" s="197"/>
      <c r="AU3603" s="197"/>
      <c r="AV3603" s="197"/>
      <c r="AW3603" s="197"/>
    </row>
    <row r="3604" spans="28:49" s="196" customFormat="1">
      <c r="AB3604" s="201"/>
      <c r="AC3604" s="201"/>
      <c r="AD3604" s="197"/>
      <c r="AE3604" s="197"/>
      <c r="AF3604" s="197"/>
      <c r="AG3604" s="197"/>
      <c r="AH3604" s="197"/>
      <c r="AI3604" s="197"/>
      <c r="AJ3604" s="197"/>
      <c r="AK3604" s="197"/>
      <c r="AL3604" s="197"/>
      <c r="AM3604" s="197"/>
      <c r="AN3604" s="197"/>
      <c r="AO3604" s="197"/>
      <c r="AP3604" s="197"/>
      <c r="AQ3604" s="197"/>
      <c r="AR3604" s="197"/>
      <c r="AS3604" s="197"/>
      <c r="AT3604" s="197"/>
      <c r="AU3604" s="197"/>
      <c r="AV3604" s="197"/>
      <c r="AW3604" s="197"/>
    </row>
    <row r="3605" spans="28:49" s="196" customFormat="1">
      <c r="AB3605" s="201"/>
      <c r="AC3605" s="201"/>
      <c r="AD3605" s="197"/>
      <c r="AE3605" s="197"/>
      <c r="AF3605" s="197"/>
      <c r="AG3605" s="197"/>
      <c r="AH3605" s="197"/>
      <c r="AI3605" s="197"/>
      <c r="AJ3605" s="197"/>
      <c r="AK3605" s="197"/>
      <c r="AL3605" s="197"/>
      <c r="AM3605" s="197"/>
      <c r="AN3605" s="197"/>
      <c r="AO3605" s="197"/>
      <c r="AP3605" s="197"/>
      <c r="AQ3605" s="197"/>
      <c r="AR3605" s="197"/>
      <c r="AS3605" s="197"/>
      <c r="AT3605" s="197"/>
      <c r="AU3605" s="197"/>
      <c r="AV3605" s="197"/>
      <c r="AW3605" s="197"/>
    </row>
    <row r="3606" spans="28:49" s="196" customFormat="1">
      <c r="AB3606" s="201"/>
      <c r="AC3606" s="201"/>
      <c r="AD3606" s="197"/>
      <c r="AE3606" s="197"/>
      <c r="AF3606" s="197"/>
      <c r="AG3606" s="197"/>
      <c r="AH3606" s="197"/>
      <c r="AI3606" s="197"/>
      <c r="AJ3606" s="197"/>
      <c r="AK3606" s="197"/>
      <c r="AL3606" s="197"/>
      <c r="AM3606" s="197"/>
      <c r="AN3606" s="197"/>
      <c r="AO3606" s="197"/>
      <c r="AP3606" s="197"/>
      <c r="AQ3606" s="197"/>
      <c r="AR3606" s="197"/>
      <c r="AS3606" s="197"/>
      <c r="AT3606" s="197"/>
      <c r="AU3606" s="197"/>
      <c r="AV3606" s="197"/>
      <c r="AW3606" s="197"/>
    </row>
    <row r="3607" spans="28:49" s="196" customFormat="1">
      <c r="AB3607" s="201"/>
      <c r="AC3607" s="201"/>
      <c r="AD3607" s="197"/>
      <c r="AE3607" s="197"/>
      <c r="AF3607" s="197"/>
      <c r="AG3607" s="197"/>
      <c r="AH3607" s="197"/>
      <c r="AI3607" s="197"/>
      <c r="AJ3607" s="197"/>
      <c r="AK3607" s="197"/>
      <c r="AL3607" s="197"/>
      <c r="AM3607" s="197"/>
      <c r="AN3607" s="197"/>
      <c r="AO3607" s="197"/>
      <c r="AP3607" s="197"/>
      <c r="AQ3607" s="197"/>
      <c r="AR3607" s="197"/>
      <c r="AS3607" s="197"/>
      <c r="AT3607" s="197"/>
      <c r="AU3607" s="197"/>
      <c r="AV3607" s="197"/>
      <c r="AW3607" s="197"/>
    </row>
    <row r="3608" spans="28:49" s="196" customFormat="1">
      <c r="AB3608" s="201"/>
      <c r="AC3608" s="201"/>
      <c r="AD3608" s="197"/>
      <c r="AE3608" s="197"/>
      <c r="AF3608" s="197"/>
      <c r="AG3608" s="197"/>
      <c r="AH3608" s="197"/>
      <c r="AI3608" s="197"/>
      <c r="AJ3608" s="197"/>
      <c r="AK3608" s="197"/>
      <c r="AL3608" s="197"/>
      <c r="AM3608" s="197"/>
      <c r="AN3608" s="197"/>
      <c r="AO3608" s="197"/>
      <c r="AP3608" s="197"/>
      <c r="AQ3608" s="197"/>
      <c r="AR3608" s="197"/>
      <c r="AS3608" s="197"/>
      <c r="AT3608" s="197"/>
      <c r="AU3608" s="197"/>
      <c r="AV3608" s="197"/>
      <c r="AW3608" s="197"/>
    </row>
    <row r="3609" spans="28:49" s="196" customFormat="1">
      <c r="AB3609" s="201"/>
      <c r="AC3609" s="201"/>
      <c r="AD3609" s="197"/>
      <c r="AE3609" s="197"/>
      <c r="AF3609" s="197"/>
      <c r="AG3609" s="197"/>
      <c r="AH3609" s="197"/>
      <c r="AI3609" s="197"/>
      <c r="AJ3609" s="197"/>
      <c r="AK3609" s="197"/>
      <c r="AL3609" s="197"/>
      <c r="AM3609" s="197"/>
      <c r="AN3609" s="197"/>
      <c r="AO3609" s="197"/>
      <c r="AP3609" s="197"/>
      <c r="AQ3609" s="197"/>
      <c r="AR3609" s="197"/>
      <c r="AS3609" s="197"/>
      <c r="AT3609" s="197"/>
      <c r="AU3609" s="197"/>
      <c r="AV3609" s="197"/>
      <c r="AW3609" s="197"/>
    </row>
    <row r="3610" spans="28:49" s="196" customFormat="1">
      <c r="AB3610" s="201"/>
      <c r="AC3610" s="201"/>
      <c r="AD3610" s="197"/>
      <c r="AE3610" s="197"/>
      <c r="AF3610" s="197"/>
      <c r="AG3610" s="197"/>
      <c r="AH3610" s="197"/>
      <c r="AI3610" s="197"/>
      <c r="AJ3610" s="197"/>
      <c r="AK3610" s="197"/>
      <c r="AL3610" s="197"/>
      <c r="AM3610" s="197"/>
      <c r="AN3610" s="197"/>
      <c r="AO3610" s="197"/>
      <c r="AP3610" s="197"/>
      <c r="AQ3610" s="197"/>
      <c r="AR3610" s="197"/>
      <c r="AS3610" s="197"/>
      <c r="AT3610" s="197"/>
      <c r="AU3610" s="197"/>
      <c r="AV3610" s="197"/>
      <c r="AW3610" s="197"/>
    </row>
    <row r="3611" spans="28:49" s="196" customFormat="1">
      <c r="AB3611" s="201"/>
      <c r="AC3611" s="201"/>
      <c r="AD3611" s="197"/>
      <c r="AE3611" s="197"/>
      <c r="AF3611" s="197"/>
      <c r="AG3611" s="197"/>
      <c r="AH3611" s="197"/>
      <c r="AI3611" s="197"/>
      <c r="AJ3611" s="197"/>
      <c r="AK3611" s="197"/>
      <c r="AL3611" s="197"/>
      <c r="AM3611" s="197"/>
      <c r="AN3611" s="197"/>
      <c r="AO3611" s="197"/>
      <c r="AP3611" s="197"/>
      <c r="AQ3611" s="197"/>
      <c r="AR3611" s="197"/>
      <c r="AS3611" s="197"/>
      <c r="AT3611" s="197"/>
      <c r="AU3611" s="197"/>
      <c r="AV3611" s="197"/>
      <c r="AW3611" s="197"/>
    </row>
    <row r="3612" spans="28:49" s="196" customFormat="1">
      <c r="AB3612" s="201"/>
      <c r="AC3612" s="201"/>
      <c r="AD3612" s="197"/>
      <c r="AE3612" s="197"/>
      <c r="AF3612" s="197"/>
      <c r="AG3612" s="197"/>
      <c r="AH3612" s="197"/>
      <c r="AI3612" s="197"/>
      <c r="AJ3612" s="197"/>
      <c r="AK3612" s="197"/>
      <c r="AL3612" s="197"/>
      <c r="AM3612" s="197"/>
      <c r="AN3612" s="197"/>
      <c r="AO3612" s="197"/>
      <c r="AP3612" s="197"/>
      <c r="AQ3612" s="197"/>
      <c r="AR3612" s="197"/>
      <c r="AS3612" s="197"/>
      <c r="AT3612" s="197"/>
      <c r="AU3612" s="197"/>
      <c r="AV3612" s="197"/>
      <c r="AW3612" s="197"/>
    </row>
    <row r="3613" spans="28:49" s="196" customFormat="1">
      <c r="AB3613" s="201"/>
      <c r="AC3613" s="201"/>
      <c r="AD3613" s="197"/>
      <c r="AE3613" s="197"/>
      <c r="AF3613" s="197"/>
      <c r="AG3613" s="197"/>
      <c r="AH3613" s="197"/>
      <c r="AI3613" s="197"/>
      <c r="AJ3613" s="197"/>
      <c r="AK3613" s="197"/>
      <c r="AL3613" s="197"/>
      <c r="AM3613" s="197"/>
      <c r="AN3613" s="197"/>
      <c r="AO3613" s="197"/>
      <c r="AP3613" s="197"/>
      <c r="AQ3613" s="197"/>
      <c r="AR3613" s="197"/>
      <c r="AS3613" s="197"/>
      <c r="AT3613" s="197"/>
      <c r="AU3613" s="197"/>
      <c r="AV3613" s="197"/>
      <c r="AW3613" s="197"/>
    </row>
    <row r="3614" spans="28:49" s="196" customFormat="1">
      <c r="AB3614" s="201"/>
      <c r="AC3614" s="201"/>
      <c r="AD3614" s="197"/>
      <c r="AE3614" s="197"/>
      <c r="AF3614" s="197"/>
      <c r="AG3614" s="197"/>
      <c r="AH3614" s="197"/>
      <c r="AI3614" s="197"/>
      <c r="AJ3614" s="197"/>
      <c r="AK3614" s="197"/>
      <c r="AL3614" s="197"/>
      <c r="AM3614" s="197"/>
      <c r="AN3614" s="197"/>
      <c r="AO3614" s="197"/>
      <c r="AP3614" s="197"/>
      <c r="AQ3614" s="197"/>
      <c r="AR3614" s="197"/>
      <c r="AS3614" s="197"/>
      <c r="AT3614" s="197"/>
      <c r="AU3614" s="197"/>
      <c r="AV3614" s="197"/>
      <c r="AW3614" s="197"/>
    </row>
    <row r="3615" spans="28:49" s="196" customFormat="1">
      <c r="AB3615" s="201"/>
      <c r="AC3615" s="201"/>
      <c r="AD3615" s="197"/>
      <c r="AE3615" s="197"/>
      <c r="AF3615" s="197"/>
      <c r="AG3615" s="197"/>
      <c r="AH3615" s="197"/>
      <c r="AI3615" s="197"/>
      <c r="AJ3615" s="197"/>
      <c r="AK3615" s="197"/>
      <c r="AL3615" s="197"/>
      <c r="AM3615" s="197"/>
      <c r="AN3615" s="197"/>
      <c r="AO3615" s="197"/>
      <c r="AP3615" s="197"/>
      <c r="AQ3615" s="197"/>
      <c r="AR3615" s="197"/>
      <c r="AS3615" s="197"/>
      <c r="AT3615" s="197"/>
      <c r="AU3615" s="197"/>
      <c r="AV3615" s="197"/>
      <c r="AW3615" s="197"/>
    </row>
    <row r="3616" spans="28:49" s="196" customFormat="1">
      <c r="AB3616" s="201"/>
      <c r="AC3616" s="201"/>
      <c r="AD3616" s="197"/>
      <c r="AE3616" s="197"/>
      <c r="AF3616" s="197"/>
      <c r="AG3616" s="197"/>
      <c r="AH3616" s="197"/>
      <c r="AI3616" s="197"/>
      <c r="AJ3616" s="197"/>
      <c r="AK3616" s="197"/>
      <c r="AL3616" s="197"/>
      <c r="AM3616" s="197"/>
      <c r="AN3616" s="197"/>
      <c r="AO3616" s="197"/>
      <c r="AP3616" s="197"/>
      <c r="AQ3616" s="197"/>
      <c r="AR3616" s="197"/>
      <c r="AS3616" s="197"/>
      <c r="AT3616" s="197"/>
      <c r="AU3616" s="197"/>
      <c r="AV3616" s="197"/>
      <c r="AW3616" s="197"/>
    </row>
    <row r="3617" spans="28:49" s="196" customFormat="1">
      <c r="AB3617" s="201"/>
      <c r="AC3617" s="201"/>
      <c r="AD3617" s="197"/>
      <c r="AE3617" s="197"/>
      <c r="AF3617" s="197"/>
      <c r="AG3617" s="197"/>
      <c r="AH3617" s="197"/>
      <c r="AI3617" s="197"/>
      <c r="AJ3617" s="197"/>
      <c r="AK3617" s="197"/>
      <c r="AL3617" s="197"/>
      <c r="AM3617" s="197"/>
      <c r="AN3617" s="197"/>
      <c r="AO3617" s="197"/>
      <c r="AP3617" s="197"/>
      <c r="AQ3617" s="197"/>
      <c r="AR3617" s="197"/>
      <c r="AS3617" s="197"/>
      <c r="AT3617" s="197"/>
      <c r="AU3617" s="197"/>
      <c r="AV3617" s="197"/>
      <c r="AW3617" s="197"/>
    </row>
    <row r="3618" spans="28:49" s="196" customFormat="1">
      <c r="AB3618" s="201"/>
      <c r="AC3618" s="201"/>
      <c r="AD3618" s="197"/>
      <c r="AE3618" s="197"/>
      <c r="AF3618" s="197"/>
      <c r="AG3618" s="197"/>
      <c r="AH3618" s="197"/>
      <c r="AI3618" s="197"/>
      <c r="AJ3618" s="197"/>
      <c r="AK3618" s="197"/>
      <c r="AL3618" s="197"/>
      <c r="AM3618" s="197"/>
      <c r="AN3618" s="197"/>
      <c r="AO3618" s="197"/>
      <c r="AP3618" s="197"/>
      <c r="AQ3618" s="197"/>
      <c r="AR3618" s="197"/>
      <c r="AS3618" s="197"/>
      <c r="AT3618" s="197"/>
      <c r="AU3618" s="197"/>
      <c r="AV3618" s="197"/>
      <c r="AW3618" s="197"/>
    </row>
    <row r="3619" spans="28:49" s="196" customFormat="1">
      <c r="AB3619" s="201"/>
      <c r="AC3619" s="201"/>
      <c r="AD3619" s="197"/>
      <c r="AE3619" s="197"/>
      <c r="AF3619" s="197"/>
      <c r="AG3619" s="197"/>
      <c r="AH3619" s="197"/>
      <c r="AI3619" s="197"/>
      <c r="AJ3619" s="197"/>
      <c r="AK3619" s="197"/>
      <c r="AL3619" s="197"/>
      <c r="AM3619" s="197"/>
      <c r="AN3619" s="197"/>
      <c r="AO3619" s="197"/>
      <c r="AP3619" s="197"/>
      <c r="AQ3619" s="197"/>
      <c r="AR3619" s="197"/>
      <c r="AS3619" s="197"/>
      <c r="AT3619" s="197"/>
      <c r="AU3619" s="197"/>
      <c r="AV3619" s="197"/>
      <c r="AW3619" s="197"/>
    </row>
    <row r="3620" spans="28:49" s="196" customFormat="1">
      <c r="AB3620" s="201"/>
      <c r="AC3620" s="201"/>
      <c r="AD3620" s="197"/>
      <c r="AE3620" s="197"/>
      <c r="AF3620" s="197"/>
      <c r="AG3620" s="197"/>
      <c r="AH3620" s="197"/>
      <c r="AI3620" s="197"/>
      <c r="AJ3620" s="197"/>
      <c r="AK3620" s="197"/>
      <c r="AL3620" s="197"/>
      <c r="AM3620" s="197"/>
      <c r="AN3620" s="197"/>
      <c r="AO3620" s="197"/>
      <c r="AP3620" s="197"/>
      <c r="AQ3620" s="197"/>
      <c r="AR3620" s="197"/>
      <c r="AS3620" s="197"/>
      <c r="AT3620" s="197"/>
      <c r="AU3620" s="197"/>
      <c r="AV3620" s="197"/>
      <c r="AW3620" s="197"/>
    </row>
    <row r="3621" spans="28:49" s="196" customFormat="1">
      <c r="AB3621" s="201"/>
      <c r="AC3621" s="201"/>
      <c r="AD3621" s="197"/>
      <c r="AE3621" s="197"/>
      <c r="AF3621" s="197"/>
      <c r="AG3621" s="197"/>
      <c r="AH3621" s="197"/>
      <c r="AI3621" s="197"/>
      <c r="AJ3621" s="197"/>
      <c r="AK3621" s="197"/>
      <c r="AL3621" s="197"/>
      <c r="AM3621" s="197"/>
      <c r="AN3621" s="197"/>
      <c r="AO3621" s="197"/>
      <c r="AP3621" s="197"/>
      <c r="AQ3621" s="197"/>
      <c r="AR3621" s="197"/>
      <c r="AS3621" s="197"/>
      <c r="AT3621" s="197"/>
      <c r="AU3621" s="197"/>
      <c r="AV3621" s="197"/>
      <c r="AW3621" s="197"/>
    </row>
    <row r="3622" spans="28:49" s="196" customFormat="1">
      <c r="AB3622" s="201"/>
      <c r="AC3622" s="201"/>
      <c r="AD3622" s="197"/>
      <c r="AE3622" s="197"/>
      <c r="AF3622" s="197"/>
      <c r="AG3622" s="197"/>
      <c r="AH3622" s="197"/>
      <c r="AI3622" s="197"/>
      <c r="AJ3622" s="197"/>
      <c r="AK3622" s="197"/>
      <c r="AL3622" s="197"/>
      <c r="AM3622" s="197"/>
      <c r="AN3622" s="197"/>
      <c r="AO3622" s="197"/>
      <c r="AP3622" s="197"/>
      <c r="AQ3622" s="197"/>
      <c r="AR3622" s="197"/>
      <c r="AS3622" s="197"/>
      <c r="AT3622" s="197"/>
      <c r="AU3622" s="197"/>
      <c r="AV3622" s="197"/>
      <c r="AW3622" s="197"/>
    </row>
    <row r="3623" spans="28:49" s="196" customFormat="1">
      <c r="AB3623" s="201"/>
      <c r="AC3623" s="201"/>
      <c r="AD3623" s="197"/>
      <c r="AE3623" s="197"/>
      <c r="AF3623" s="197"/>
      <c r="AG3623" s="197"/>
      <c r="AH3623" s="197"/>
      <c r="AI3623" s="197"/>
      <c r="AJ3623" s="197"/>
      <c r="AK3623" s="197"/>
      <c r="AL3623" s="197"/>
      <c r="AM3623" s="197"/>
      <c r="AN3623" s="197"/>
      <c r="AO3623" s="197"/>
      <c r="AP3623" s="197"/>
      <c r="AQ3623" s="197"/>
      <c r="AR3623" s="197"/>
      <c r="AS3623" s="197"/>
      <c r="AT3623" s="197"/>
      <c r="AU3623" s="197"/>
      <c r="AV3623" s="197"/>
      <c r="AW3623" s="197"/>
    </row>
    <row r="3624" spans="28:49" s="196" customFormat="1">
      <c r="AB3624" s="201"/>
      <c r="AC3624" s="201"/>
      <c r="AD3624" s="197"/>
      <c r="AE3624" s="197"/>
      <c r="AF3624" s="197"/>
      <c r="AG3624" s="197"/>
      <c r="AH3624" s="197"/>
      <c r="AI3624" s="197"/>
      <c r="AJ3624" s="197"/>
      <c r="AK3624" s="197"/>
      <c r="AL3624" s="197"/>
      <c r="AM3624" s="197"/>
      <c r="AN3624" s="197"/>
      <c r="AO3624" s="197"/>
      <c r="AP3624" s="197"/>
      <c r="AQ3624" s="197"/>
      <c r="AR3624" s="197"/>
      <c r="AS3624" s="197"/>
      <c r="AT3624" s="197"/>
      <c r="AU3624" s="197"/>
      <c r="AV3624" s="197"/>
      <c r="AW3624" s="197"/>
    </row>
    <row r="3625" spans="28:49" s="196" customFormat="1">
      <c r="AB3625" s="201"/>
      <c r="AC3625" s="201"/>
      <c r="AD3625" s="197"/>
      <c r="AE3625" s="197"/>
      <c r="AF3625" s="197"/>
      <c r="AG3625" s="197"/>
      <c r="AH3625" s="197"/>
      <c r="AI3625" s="197"/>
      <c r="AJ3625" s="197"/>
      <c r="AK3625" s="197"/>
      <c r="AL3625" s="197"/>
      <c r="AM3625" s="197"/>
      <c r="AN3625" s="197"/>
      <c r="AO3625" s="197"/>
      <c r="AP3625" s="197"/>
      <c r="AQ3625" s="197"/>
      <c r="AR3625" s="197"/>
      <c r="AS3625" s="197"/>
      <c r="AT3625" s="197"/>
      <c r="AU3625" s="197"/>
      <c r="AV3625" s="197"/>
      <c r="AW3625" s="197"/>
    </row>
    <row r="3626" spans="28:49" s="196" customFormat="1">
      <c r="AB3626" s="201"/>
      <c r="AC3626" s="201"/>
      <c r="AD3626" s="197"/>
      <c r="AE3626" s="197"/>
      <c r="AF3626" s="197"/>
      <c r="AG3626" s="197"/>
      <c r="AH3626" s="197"/>
      <c r="AI3626" s="197"/>
      <c r="AJ3626" s="197"/>
      <c r="AK3626" s="197"/>
      <c r="AL3626" s="197"/>
      <c r="AM3626" s="197"/>
      <c r="AN3626" s="197"/>
      <c r="AO3626" s="197"/>
      <c r="AP3626" s="197"/>
      <c r="AQ3626" s="197"/>
      <c r="AR3626" s="197"/>
      <c r="AS3626" s="197"/>
      <c r="AT3626" s="197"/>
      <c r="AU3626" s="197"/>
      <c r="AV3626" s="197"/>
      <c r="AW3626" s="197"/>
    </row>
    <row r="3627" spans="28:49" s="196" customFormat="1">
      <c r="AB3627" s="201"/>
      <c r="AC3627" s="201"/>
      <c r="AD3627" s="197"/>
      <c r="AE3627" s="197"/>
      <c r="AF3627" s="197"/>
      <c r="AG3627" s="197"/>
      <c r="AH3627" s="197"/>
      <c r="AI3627" s="197"/>
      <c r="AJ3627" s="197"/>
      <c r="AK3627" s="197"/>
      <c r="AL3627" s="197"/>
      <c r="AM3627" s="197"/>
      <c r="AN3627" s="197"/>
      <c r="AO3627" s="197"/>
      <c r="AP3627" s="197"/>
      <c r="AQ3627" s="197"/>
      <c r="AR3627" s="197"/>
      <c r="AS3627" s="197"/>
      <c r="AT3627" s="197"/>
      <c r="AU3627" s="197"/>
      <c r="AV3627" s="197"/>
      <c r="AW3627" s="197"/>
    </row>
    <row r="3628" spans="28:49" s="196" customFormat="1">
      <c r="AB3628" s="201"/>
      <c r="AC3628" s="201"/>
      <c r="AD3628" s="197"/>
      <c r="AE3628" s="197"/>
      <c r="AF3628" s="197"/>
      <c r="AG3628" s="197"/>
      <c r="AH3628" s="197"/>
      <c r="AI3628" s="197"/>
      <c r="AJ3628" s="197"/>
      <c r="AK3628" s="197"/>
      <c r="AL3628" s="197"/>
      <c r="AM3628" s="197"/>
      <c r="AN3628" s="197"/>
      <c r="AO3628" s="197"/>
      <c r="AP3628" s="197"/>
      <c r="AQ3628" s="197"/>
      <c r="AR3628" s="197"/>
      <c r="AS3628" s="197"/>
      <c r="AT3628" s="197"/>
      <c r="AU3628" s="197"/>
      <c r="AV3628" s="197"/>
      <c r="AW3628" s="197"/>
    </row>
    <row r="3629" spans="28:49" s="196" customFormat="1">
      <c r="AB3629" s="201"/>
      <c r="AC3629" s="201"/>
      <c r="AD3629" s="197"/>
      <c r="AE3629" s="197"/>
      <c r="AF3629" s="197"/>
      <c r="AG3629" s="197"/>
      <c r="AH3629" s="197"/>
      <c r="AI3629" s="197"/>
      <c r="AJ3629" s="197"/>
      <c r="AK3629" s="197"/>
      <c r="AL3629" s="197"/>
      <c r="AM3629" s="197"/>
      <c r="AN3629" s="197"/>
      <c r="AO3629" s="197"/>
      <c r="AP3629" s="197"/>
      <c r="AQ3629" s="197"/>
      <c r="AR3629" s="197"/>
      <c r="AS3629" s="197"/>
      <c r="AT3629" s="197"/>
      <c r="AU3629" s="197"/>
      <c r="AV3629" s="197"/>
      <c r="AW3629" s="197"/>
    </row>
    <row r="3630" spans="28:49" s="196" customFormat="1">
      <c r="AB3630" s="201"/>
      <c r="AC3630" s="201"/>
      <c r="AD3630" s="197"/>
      <c r="AE3630" s="197"/>
      <c r="AF3630" s="197"/>
      <c r="AG3630" s="197"/>
      <c r="AH3630" s="197"/>
      <c r="AI3630" s="197"/>
      <c r="AJ3630" s="197"/>
      <c r="AK3630" s="197"/>
      <c r="AL3630" s="197"/>
      <c r="AM3630" s="197"/>
      <c r="AN3630" s="197"/>
      <c r="AO3630" s="197"/>
      <c r="AP3630" s="197"/>
      <c r="AQ3630" s="197"/>
      <c r="AR3630" s="197"/>
      <c r="AS3630" s="197"/>
      <c r="AT3630" s="197"/>
      <c r="AU3630" s="197"/>
      <c r="AV3630" s="197"/>
      <c r="AW3630" s="197"/>
    </row>
    <row r="3631" spans="28:49" s="196" customFormat="1">
      <c r="AB3631" s="201"/>
      <c r="AC3631" s="201"/>
      <c r="AD3631" s="197"/>
      <c r="AE3631" s="197"/>
      <c r="AF3631" s="197"/>
      <c r="AG3631" s="197"/>
      <c r="AH3631" s="197"/>
      <c r="AI3631" s="197"/>
      <c r="AJ3631" s="197"/>
      <c r="AK3631" s="197"/>
      <c r="AL3631" s="197"/>
      <c r="AM3631" s="197"/>
      <c r="AN3631" s="197"/>
      <c r="AO3631" s="197"/>
      <c r="AP3631" s="197"/>
      <c r="AQ3631" s="197"/>
      <c r="AR3631" s="197"/>
      <c r="AS3631" s="197"/>
      <c r="AT3631" s="197"/>
      <c r="AU3631" s="197"/>
      <c r="AV3631" s="197"/>
      <c r="AW3631" s="197"/>
    </row>
    <row r="3632" spans="28:49" s="196" customFormat="1">
      <c r="AB3632" s="201"/>
      <c r="AC3632" s="201"/>
      <c r="AD3632" s="197"/>
      <c r="AE3632" s="197"/>
      <c r="AF3632" s="197"/>
      <c r="AG3632" s="197"/>
      <c r="AH3632" s="197"/>
      <c r="AI3632" s="197"/>
      <c r="AJ3632" s="197"/>
      <c r="AK3632" s="197"/>
      <c r="AL3632" s="197"/>
      <c r="AM3632" s="197"/>
      <c r="AN3632" s="197"/>
      <c r="AO3632" s="197"/>
      <c r="AP3632" s="197"/>
      <c r="AQ3632" s="197"/>
      <c r="AR3632" s="197"/>
      <c r="AS3632" s="197"/>
      <c r="AT3632" s="197"/>
      <c r="AU3632" s="197"/>
      <c r="AV3632" s="197"/>
      <c r="AW3632" s="197"/>
    </row>
    <row r="3633" spans="28:49" s="196" customFormat="1">
      <c r="AB3633" s="201"/>
      <c r="AC3633" s="201"/>
      <c r="AD3633" s="197"/>
      <c r="AE3633" s="197"/>
      <c r="AF3633" s="197"/>
      <c r="AG3633" s="197"/>
      <c r="AH3633" s="197"/>
      <c r="AI3633" s="197"/>
      <c r="AJ3633" s="197"/>
      <c r="AK3633" s="197"/>
      <c r="AL3633" s="197"/>
      <c r="AM3633" s="197"/>
      <c r="AN3633" s="197"/>
      <c r="AO3633" s="197"/>
      <c r="AP3633" s="197"/>
      <c r="AQ3633" s="197"/>
      <c r="AR3633" s="197"/>
      <c r="AS3633" s="197"/>
      <c r="AT3633" s="197"/>
      <c r="AU3633" s="197"/>
      <c r="AV3633" s="197"/>
      <c r="AW3633" s="197"/>
    </row>
    <row r="3634" spans="28:49" s="196" customFormat="1">
      <c r="AB3634" s="201"/>
      <c r="AC3634" s="201"/>
      <c r="AD3634" s="197"/>
      <c r="AE3634" s="197"/>
      <c r="AF3634" s="197"/>
      <c r="AG3634" s="197"/>
      <c r="AH3634" s="197"/>
      <c r="AI3634" s="197"/>
      <c r="AJ3634" s="197"/>
      <c r="AK3634" s="197"/>
      <c r="AL3634" s="197"/>
      <c r="AM3634" s="197"/>
      <c r="AN3634" s="197"/>
      <c r="AO3634" s="197"/>
      <c r="AP3634" s="197"/>
      <c r="AQ3634" s="197"/>
      <c r="AR3634" s="197"/>
      <c r="AS3634" s="197"/>
      <c r="AT3634" s="197"/>
      <c r="AU3634" s="197"/>
      <c r="AV3634" s="197"/>
      <c r="AW3634" s="197"/>
    </row>
    <row r="3635" spans="28:49" s="196" customFormat="1">
      <c r="AB3635" s="201"/>
      <c r="AC3635" s="201"/>
      <c r="AD3635" s="197"/>
      <c r="AE3635" s="197"/>
      <c r="AF3635" s="197"/>
      <c r="AG3635" s="197"/>
      <c r="AH3635" s="197"/>
      <c r="AI3635" s="197"/>
      <c r="AJ3635" s="197"/>
      <c r="AK3635" s="197"/>
      <c r="AL3635" s="197"/>
      <c r="AM3635" s="197"/>
      <c r="AN3635" s="197"/>
      <c r="AO3635" s="197"/>
      <c r="AP3635" s="197"/>
      <c r="AQ3635" s="197"/>
      <c r="AR3635" s="197"/>
      <c r="AS3635" s="197"/>
      <c r="AT3635" s="197"/>
      <c r="AU3635" s="197"/>
      <c r="AV3635" s="197"/>
      <c r="AW3635" s="197"/>
    </row>
    <row r="3636" spans="28:49" s="196" customFormat="1">
      <c r="AB3636" s="201"/>
      <c r="AC3636" s="201"/>
      <c r="AD3636" s="197"/>
      <c r="AE3636" s="197"/>
      <c r="AF3636" s="197"/>
      <c r="AG3636" s="197"/>
      <c r="AH3636" s="197"/>
      <c r="AI3636" s="197"/>
      <c r="AJ3636" s="197"/>
      <c r="AK3636" s="197"/>
      <c r="AL3636" s="197"/>
      <c r="AM3636" s="197"/>
      <c r="AN3636" s="197"/>
      <c r="AO3636" s="197"/>
      <c r="AP3636" s="197"/>
      <c r="AQ3636" s="197"/>
      <c r="AR3636" s="197"/>
      <c r="AS3636" s="197"/>
      <c r="AT3636" s="197"/>
      <c r="AU3636" s="197"/>
      <c r="AV3636" s="197"/>
      <c r="AW3636" s="197"/>
    </row>
    <row r="3637" spans="28:49" s="196" customFormat="1">
      <c r="AB3637" s="201"/>
      <c r="AC3637" s="201"/>
      <c r="AD3637" s="197"/>
      <c r="AE3637" s="197"/>
      <c r="AF3637" s="197"/>
      <c r="AG3637" s="197"/>
      <c r="AH3637" s="197"/>
      <c r="AI3637" s="197"/>
      <c r="AJ3637" s="197"/>
      <c r="AK3637" s="197"/>
      <c r="AL3637" s="197"/>
      <c r="AM3637" s="197"/>
      <c r="AN3637" s="197"/>
      <c r="AO3637" s="197"/>
      <c r="AP3637" s="197"/>
      <c r="AQ3637" s="197"/>
      <c r="AR3637" s="197"/>
      <c r="AS3637" s="197"/>
      <c r="AT3637" s="197"/>
      <c r="AU3637" s="197"/>
      <c r="AV3637" s="197"/>
      <c r="AW3637" s="197"/>
    </row>
    <row r="3638" spans="28:49" s="196" customFormat="1">
      <c r="AB3638" s="201"/>
      <c r="AC3638" s="201"/>
      <c r="AD3638" s="197"/>
      <c r="AE3638" s="197"/>
      <c r="AF3638" s="197"/>
      <c r="AG3638" s="197"/>
      <c r="AH3638" s="197"/>
      <c r="AI3638" s="197"/>
      <c r="AJ3638" s="197"/>
      <c r="AK3638" s="197"/>
      <c r="AL3638" s="197"/>
      <c r="AM3638" s="197"/>
      <c r="AN3638" s="197"/>
      <c r="AO3638" s="197"/>
      <c r="AP3638" s="197"/>
      <c r="AQ3638" s="197"/>
      <c r="AR3638" s="197"/>
      <c r="AS3638" s="197"/>
      <c r="AT3638" s="197"/>
      <c r="AU3638" s="197"/>
      <c r="AV3638" s="197"/>
      <c r="AW3638" s="197"/>
    </row>
    <row r="3639" spans="28:49" s="196" customFormat="1">
      <c r="AB3639" s="201"/>
      <c r="AC3639" s="201"/>
      <c r="AD3639" s="197"/>
      <c r="AE3639" s="197"/>
      <c r="AF3639" s="197"/>
      <c r="AG3639" s="197"/>
      <c r="AH3639" s="197"/>
      <c r="AI3639" s="197"/>
      <c r="AJ3639" s="197"/>
      <c r="AK3639" s="197"/>
      <c r="AL3639" s="197"/>
      <c r="AM3639" s="197"/>
      <c r="AN3639" s="197"/>
      <c r="AO3639" s="197"/>
      <c r="AP3639" s="197"/>
      <c r="AQ3639" s="197"/>
      <c r="AR3639" s="197"/>
      <c r="AS3639" s="197"/>
      <c r="AT3639" s="197"/>
      <c r="AU3639" s="197"/>
      <c r="AV3639" s="197"/>
      <c r="AW3639" s="197"/>
    </row>
    <row r="3640" spans="28:49" s="196" customFormat="1">
      <c r="AB3640" s="201"/>
      <c r="AC3640" s="201"/>
      <c r="AD3640" s="197"/>
      <c r="AE3640" s="197"/>
      <c r="AF3640" s="197"/>
      <c r="AG3640" s="197"/>
      <c r="AH3640" s="197"/>
      <c r="AI3640" s="197"/>
      <c r="AJ3640" s="197"/>
      <c r="AK3640" s="197"/>
      <c r="AL3640" s="197"/>
      <c r="AM3640" s="197"/>
      <c r="AN3640" s="197"/>
      <c r="AO3640" s="197"/>
      <c r="AP3640" s="197"/>
      <c r="AQ3640" s="197"/>
      <c r="AR3640" s="197"/>
      <c r="AS3640" s="197"/>
      <c r="AT3640" s="197"/>
      <c r="AU3640" s="197"/>
      <c r="AV3640" s="197"/>
      <c r="AW3640" s="197"/>
    </row>
    <row r="3641" spans="28:49" s="196" customFormat="1">
      <c r="AB3641" s="201"/>
      <c r="AC3641" s="201"/>
      <c r="AD3641" s="197"/>
      <c r="AE3641" s="197"/>
      <c r="AF3641" s="197"/>
      <c r="AG3641" s="197"/>
      <c r="AH3641" s="197"/>
      <c r="AI3641" s="197"/>
      <c r="AJ3641" s="197"/>
      <c r="AK3641" s="197"/>
      <c r="AL3641" s="197"/>
      <c r="AM3641" s="197"/>
      <c r="AN3641" s="197"/>
      <c r="AO3641" s="197"/>
      <c r="AP3641" s="197"/>
      <c r="AQ3641" s="197"/>
      <c r="AR3641" s="197"/>
      <c r="AS3641" s="197"/>
      <c r="AT3641" s="197"/>
      <c r="AU3641" s="197"/>
      <c r="AV3641" s="197"/>
      <c r="AW3641" s="197"/>
    </row>
    <row r="3642" spans="28:49" s="196" customFormat="1">
      <c r="AB3642" s="201"/>
      <c r="AC3642" s="201"/>
      <c r="AD3642" s="197"/>
      <c r="AE3642" s="197"/>
      <c r="AF3642" s="197"/>
      <c r="AG3642" s="197"/>
      <c r="AH3642" s="197"/>
      <c r="AI3642" s="197"/>
      <c r="AJ3642" s="197"/>
      <c r="AK3642" s="197"/>
      <c r="AL3642" s="197"/>
      <c r="AM3642" s="197"/>
      <c r="AN3642" s="197"/>
      <c r="AO3642" s="197"/>
      <c r="AP3642" s="197"/>
      <c r="AQ3642" s="197"/>
      <c r="AR3642" s="197"/>
      <c r="AS3642" s="197"/>
      <c r="AT3642" s="197"/>
      <c r="AU3642" s="197"/>
      <c r="AV3642" s="197"/>
      <c r="AW3642" s="197"/>
    </row>
    <row r="3643" spans="28:49" s="196" customFormat="1">
      <c r="AB3643" s="201"/>
      <c r="AC3643" s="201"/>
      <c r="AD3643" s="197"/>
      <c r="AE3643" s="197"/>
      <c r="AF3643" s="197"/>
      <c r="AG3643" s="197"/>
      <c r="AH3643" s="197"/>
      <c r="AI3643" s="197"/>
      <c r="AJ3643" s="197"/>
      <c r="AK3643" s="197"/>
      <c r="AL3643" s="197"/>
      <c r="AM3643" s="197"/>
      <c r="AN3643" s="197"/>
      <c r="AO3643" s="197"/>
      <c r="AP3643" s="197"/>
      <c r="AQ3643" s="197"/>
      <c r="AR3643" s="197"/>
      <c r="AS3643" s="197"/>
      <c r="AT3643" s="197"/>
      <c r="AU3643" s="197"/>
      <c r="AV3643" s="197"/>
      <c r="AW3643" s="197"/>
    </row>
    <row r="3644" spans="28:49" s="196" customFormat="1">
      <c r="AB3644" s="201"/>
      <c r="AC3644" s="201"/>
      <c r="AD3644" s="197"/>
      <c r="AE3644" s="197"/>
      <c r="AF3644" s="197"/>
      <c r="AG3644" s="197"/>
      <c r="AH3644" s="197"/>
      <c r="AI3644" s="197"/>
      <c r="AJ3644" s="197"/>
      <c r="AK3644" s="197"/>
      <c r="AL3644" s="197"/>
      <c r="AM3644" s="197"/>
      <c r="AN3644" s="197"/>
      <c r="AO3644" s="197"/>
      <c r="AP3644" s="197"/>
      <c r="AQ3644" s="197"/>
      <c r="AR3644" s="197"/>
      <c r="AS3644" s="197"/>
      <c r="AT3644" s="197"/>
      <c r="AU3644" s="197"/>
      <c r="AV3644" s="197"/>
      <c r="AW3644" s="197"/>
    </row>
    <row r="3645" spans="28:49" s="196" customFormat="1">
      <c r="AB3645" s="201"/>
      <c r="AC3645" s="201"/>
      <c r="AD3645" s="197"/>
      <c r="AE3645" s="197"/>
      <c r="AF3645" s="197"/>
      <c r="AG3645" s="197"/>
      <c r="AH3645" s="197"/>
      <c r="AI3645" s="197"/>
      <c r="AJ3645" s="197"/>
      <c r="AK3645" s="197"/>
      <c r="AL3645" s="197"/>
      <c r="AM3645" s="197"/>
      <c r="AN3645" s="197"/>
      <c r="AO3645" s="197"/>
      <c r="AP3645" s="197"/>
      <c r="AQ3645" s="197"/>
      <c r="AR3645" s="197"/>
      <c r="AS3645" s="197"/>
      <c r="AT3645" s="197"/>
      <c r="AU3645" s="197"/>
      <c r="AV3645" s="197"/>
      <c r="AW3645" s="197"/>
    </row>
    <row r="3646" spans="28:49" s="196" customFormat="1">
      <c r="AB3646" s="201"/>
      <c r="AC3646" s="201"/>
      <c r="AD3646" s="197"/>
      <c r="AE3646" s="197"/>
      <c r="AF3646" s="197"/>
      <c r="AG3646" s="197"/>
      <c r="AH3646" s="197"/>
      <c r="AI3646" s="197"/>
      <c r="AJ3646" s="197"/>
      <c r="AK3646" s="197"/>
      <c r="AL3646" s="197"/>
      <c r="AM3646" s="197"/>
      <c r="AN3646" s="197"/>
      <c r="AO3646" s="197"/>
      <c r="AP3646" s="197"/>
      <c r="AQ3646" s="197"/>
      <c r="AR3646" s="197"/>
      <c r="AS3646" s="197"/>
      <c r="AT3646" s="197"/>
      <c r="AU3646" s="197"/>
      <c r="AV3646" s="197"/>
      <c r="AW3646" s="197"/>
    </row>
    <row r="3647" spans="28:49" s="196" customFormat="1">
      <c r="AB3647" s="201"/>
      <c r="AC3647" s="201"/>
      <c r="AD3647" s="197"/>
      <c r="AE3647" s="197"/>
      <c r="AF3647" s="197"/>
      <c r="AG3647" s="197"/>
      <c r="AH3647" s="197"/>
      <c r="AI3647" s="197"/>
      <c r="AJ3647" s="197"/>
      <c r="AK3647" s="197"/>
      <c r="AL3647" s="197"/>
      <c r="AM3647" s="197"/>
      <c r="AN3647" s="197"/>
      <c r="AO3647" s="197"/>
      <c r="AP3647" s="197"/>
      <c r="AQ3647" s="197"/>
      <c r="AR3647" s="197"/>
      <c r="AS3647" s="197"/>
      <c r="AT3647" s="197"/>
      <c r="AU3647" s="197"/>
      <c r="AV3647" s="197"/>
      <c r="AW3647" s="197"/>
    </row>
    <row r="3648" spans="28:49" s="196" customFormat="1">
      <c r="AB3648" s="201"/>
      <c r="AC3648" s="201"/>
      <c r="AD3648" s="197"/>
      <c r="AE3648" s="197"/>
      <c r="AF3648" s="197"/>
      <c r="AG3648" s="197"/>
      <c r="AH3648" s="197"/>
      <c r="AI3648" s="197"/>
      <c r="AJ3648" s="197"/>
      <c r="AK3648" s="197"/>
      <c r="AL3648" s="197"/>
      <c r="AM3648" s="197"/>
      <c r="AN3648" s="197"/>
      <c r="AO3648" s="197"/>
      <c r="AP3648" s="197"/>
      <c r="AQ3648" s="197"/>
      <c r="AR3648" s="197"/>
      <c r="AS3648" s="197"/>
      <c r="AT3648" s="197"/>
      <c r="AU3648" s="197"/>
      <c r="AV3648" s="197"/>
      <c r="AW3648" s="197"/>
    </row>
    <row r="3649" spans="28:49" s="196" customFormat="1">
      <c r="AB3649" s="201"/>
      <c r="AC3649" s="201"/>
      <c r="AD3649" s="197"/>
      <c r="AE3649" s="197"/>
      <c r="AF3649" s="197"/>
      <c r="AG3649" s="197"/>
      <c r="AH3649" s="197"/>
      <c r="AI3649" s="197"/>
      <c r="AJ3649" s="197"/>
      <c r="AK3649" s="197"/>
      <c r="AL3649" s="197"/>
      <c r="AM3649" s="197"/>
      <c r="AN3649" s="197"/>
      <c r="AO3649" s="197"/>
      <c r="AP3649" s="197"/>
      <c r="AQ3649" s="197"/>
      <c r="AR3649" s="197"/>
      <c r="AS3649" s="197"/>
      <c r="AT3649" s="197"/>
      <c r="AU3649" s="197"/>
      <c r="AV3649" s="197"/>
      <c r="AW3649" s="197"/>
    </row>
    <row r="3650" spans="28:49" s="196" customFormat="1">
      <c r="AB3650" s="201"/>
      <c r="AC3650" s="201"/>
      <c r="AD3650" s="197"/>
      <c r="AE3650" s="197"/>
      <c r="AF3650" s="197"/>
      <c r="AG3650" s="197"/>
      <c r="AH3650" s="197"/>
      <c r="AI3650" s="197"/>
      <c r="AJ3650" s="197"/>
      <c r="AK3650" s="197"/>
      <c r="AL3650" s="197"/>
      <c r="AM3650" s="197"/>
      <c r="AN3650" s="197"/>
      <c r="AO3650" s="197"/>
      <c r="AP3650" s="197"/>
      <c r="AQ3650" s="197"/>
      <c r="AR3650" s="197"/>
      <c r="AS3650" s="197"/>
      <c r="AT3650" s="197"/>
      <c r="AU3650" s="197"/>
      <c r="AV3650" s="197"/>
      <c r="AW3650" s="197"/>
    </row>
    <row r="3651" spans="28:49" s="196" customFormat="1">
      <c r="AB3651" s="201"/>
      <c r="AC3651" s="201"/>
      <c r="AD3651" s="197"/>
      <c r="AE3651" s="197"/>
      <c r="AF3651" s="197"/>
      <c r="AG3651" s="197"/>
      <c r="AH3651" s="197"/>
      <c r="AI3651" s="197"/>
      <c r="AJ3651" s="197"/>
      <c r="AK3651" s="197"/>
      <c r="AL3651" s="197"/>
      <c r="AM3651" s="197"/>
      <c r="AN3651" s="197"/>
      <c r="AO3651" s="197"/>
      <c r="AP3651" s="197"/>
      <c r="AQ3651" s="197"/>
      <c r="AR3651" s="197"/>
      <c r="AS3651" s="197"/>
      <c r="AT3651" s="197"/>
      <c r="AU3651" s="197"/>
      <c r="AV3651" s="197"/>
      <c r="AW3651" s="197"/>
    </row>
    <row r="3652" spans="28:49" s="196" customFormat="1">
      <c r="AB3652" s="201"/>
      <c r="AC3652" s="201"/>
      <c r="AD3652" s="197"/>
      <c r="AE3652" s="197"/>
      <c r="AF3652" s="197"/>
      <c r="AG3652" s="197"/>
      <c r="AH3652" s="197"/>
      <c r="AI3652" s="197"/>
      <c r="AJ3652" s="197"/>
      <c r="AK3652" s="197"/>
      <c r="AL3652" s="197"/>
      <c r="AM3652" s="197"/>
      <c r="AN3652" s="197"/>
      <c r="AO3652" s="197"/>
      <c r="AP3652" s="197"/>
      <c r="AQ3652" s="197"/>
      <c r="AR3652" s="197"/>
      <c r="AS3652" s="197"/>
      <c r="AT3652" s="197"/>
      <c r="AU3652" s="197"/>
      <c r="AV3652" s="197"/>
      <c r="AW3652" s="197"/>
    </row>
    <row r="3653" spans="28:49" s="196" customFormat="1">
      <c r="AB3653" s="201"/>
      <c r="AC3653" s="201"/>
      <c r="AD3653" s="197"/>
      <c r="AE3653" s="197"/>
      <c r="AF3653" s="197"/>
      <c r="AG3653" s="197"/>
      <c r="AH3653" s="197"/>
      <c r="AI3653" s="197"/>
      <c r="AJ3653" s="197"/>
      <c r="AK3653" s="197"/>
      <c r="AL3653" s="197"/>
      <c r="AM3653" s="197"/>
      <c r="AN3653" s="197"/>
      <c r="AO3653" s="197"/>
      <c r="AP3653" s="197"/>
      <c r="AQ3653" s="197"/>
      <c r="AR3653" s="197"/>
      <c r="AS3653" s="197"/>
      <c r="AT3653" s="197"/>
      <c r="AU3653" s="197"/>
      <c r="AV3653" s="197"/>
      <c r="AW3653" s="197"/>
    </row>
    <row r="3654" spans="28:49" s="196" customFormat="1">
      <c r="AB3654" s="201"/>
      <c r="AC3654" s="201"/>
      <c r="AD3654" s="197"/>
      <c r="AE3654" s="197"/>
      <c r="AF3654" s="197"/>
      <c r="AG3654" s="197"/>
      <c r="AH3654" s="197"/>
      <c r="AI3654" s="197"/>
      <c r="AJ3654" s="197"/>
      <c r="AK3654" s="197"/>
      <c r="AL3654" s="197"/>
      <c r="AM3654" s="197"/>
      <c r="AN3654" s="197"/>
      <c r="AO3654" s="197"/>
      <c r="AP3654" s="197"/>
      <c r="AQ3654" s="197"/>
      <c r="AR3654" s="197"/>
      <c r="AS3654" s="197"/>
      <c r="AT3654" s="197"/>
      <c r="AU3654" s="197"/>
      <c r="AV3654" s="197"/>
      <c r="AW3654" s="197"/>
    </row>
    <row r="3655" spans="28:49" s="196" customFormat="1">
      <c r="AB3655" s="201"/>
      <c r="AC3655" s="201"/>
      <c r="AD3655" s="197"/>
      <c r="AE3655" s="197"/>
      <c r="AF3655" s="197"/>
      <c r="AG3655" s="197"/>
      <c r="AH3655" s="197"/>
      <c r="AI3655" s="197"/>
      <c r="AJ3655" s="197"/>
      <c r="AK3655" s="197"/>
      <c r="AL3655" s="197"/>
      <c r="AM3655" s="197"/>
      <c r="AN3655" s="197"/>
      <c r="AO3655" s="197"/>
      <c r="AP3655" s="197"/>
      <c r="AQ3655" s="197"/>
      <c r="AR3655" s="197"/>
      <c r="AS3655" s="197"/>
      <c r="AT3655" s="197"/>
      <c r="AU3655" s="197"/>
      <c r="AV3655" s="197"/>
      <c r="AW3655" s="197"/>
    </row>
    <row r="3656" spans="28:49" s="196" customFormat="1">
      <c r="AB3656" s="201"/>
      <c r="AC3656" s="201"/>
      <c r="AD3656" s="197"/>
      <c r="AE3656" s="197"/>
      <c r="AF3656" s="197"/>
      <c r="AG3656" s="197"/>
      <c r="AH3656" s="197"/>
      <c r="AI3656" s="197"/>
      <c r="AJ3656" s="197"/>
      <c r="AK3656" s="197"/>
      <c r="AL3656" s="197"/>
      <c r="AM3656" s="197"/>
      <c r="AN3656" s="197"/>
      <c r="AO3656" s="197"/>
      <c r="AP3656" s="197"/>
      <c r="AQ3656" s="197"/>
      <c r="AR3656" s="197"/>
      <c r="AS3656" s="197"/>
      <c r="AT3656" s="197"/>
      <c r="AU3656" s="197"/>
      <c r="AV3656" s="197"/>
      <c r="AW3656" s="197"/>
    </row>
    <row r="3657" spans="28:49" s="196" customFormat="1">
      <c r="AB3657" s="201"/>
      <c r="AC3657" s="201"/>
      <c r="AD3657" s="197"/>
      <c r="AE3657" s="197"/>
      <c r="AF3657" s="197"/>
      <c r="AG3657" s="197"/>
      <c r="AH3657" s="197"/>
      <c r="AI3657" s="197"/>
      <c r="AJ3657" s="197"/>
      <c r="AK3657" s="197"/>
      <c r="AL3657" s="197"/>
      <c r="AM3657" s="197"/>
      <c r="AN3657" s="197"/>
      <c r="AO3657" s="197"/>
      <c r="AP3657" s="197"/>
      <c r="AQ3657" s="197"/>
      <c r="AR3657" s="197"/>
      <c r="AS3657" s="197"/>
      <c r="AT3657" s="197"/>
      <c r="AU3657" s="197"/>
      <c r="AV3657" s="197"/>
      <c r="AW3657" s="197"/>
    </row>
    <row r="3658" spans="28:49" s="196" customFormat="1">
      <c r="AB3658" s="201"/>
      <c r="AC3658" s="201"/>
      <c r="AD3658" s="197"/>
      <c r="AE3658" s="197"/>
      <c r="AF3658" s="197"/>
      <c r="AG3658" s="197"/>
      <c r="AH3658" s="197"/>
      <c r="AI3658" s="197"/>
      <c r="AJ3658" s="197"/>
      <c r="AK3658" s="197"/>
      <c r="AL3658" s="197"/>
      <c r="AM3658" s="197"/>
      <c r="AN3658" s="197"/>
      <c r="AO3658" s="197"/>
      <c r="AP3658" s="197"/>
      <c r="AQ3658" s="197"/>
      <c r="AR3658" s="197"/>
      <c r="AS3658" s="197"/>
      <c r="AT3658" s="197"/>
      <c r="AU3658" s="197"/>
      <c r="AV3658" s="197"/>
      <c r="AW3658" s="197"/>
    </row>
    <row r="3659" spans="28:49" s="196" customFormat="1">
      <c r="AB3659" s="201"/>
      <c r="AC3659" s="201"/>
      <c r="AD3659" s="197"/>
      <c r="AE3659" s="197"/>
      <c r="AF3659" s="197"/>
      <c r="AG3659" s="197"/>
      <c r="AH3659" s="197"/>
      <c r="AI3659" s="197"/>
      <c r="AJ3659" s="197"/>
      <c r="AK3659" s="197"/>
      <c r="AL3659" s="197"/>
      <c r="AM3659" s="197"/>
      <c r="AN3659" s="197"/>
      <c r="AO3659" s="197"/>
      <c r="AP3659" s="197"/>
      <c r="AQ3659" s="197"/>
      <c r="AR3659" s="197"/>
      <c r="AS3659" s="197"/>
      <c r="AT3659" s="197"/>
      <c r="AU3659" s="197"/>
      <c r="AV3659" s="197"/>
      <c r="AW3659" s="197"/>
    </row>
    <row r="3660" spans="28:49" s="196" customFormat="1">
      <c r="AB3660" s="201"/>
      <c r="AC3660" s="201"/>
      <c r="AD3660" s="197"/>
      <c r="AE3660" s="197"/>
      <c r="AF3660" s="197"/>
      <c r="AG3660" s="197"/>
      <c r="AH3660" s="197"/>
      <c r="AI3660" s="197"/>
      <c r="AJ3660" s="197"/>
      <c r="AK3660" s="197"/>
      <c r="AL3660" s="197"/>
      <c r="AM3660" s="197"/>
      <c r="AN3660" s="197"/>
      <c r="AO3660" s="197"/>
      <c r="AP3660" s="197"/>
      <c r="AQ3660" s="197"/>
      <c r="AR3660" s="197"/>
      <c r="AS3660" s="197"/>
      <c r="AT3660" s="197"/>
      <c r="AU3660" s="197"/>
      <c r="AV3660" s="197"/>
      <c r="AW3660" s="197"/>
    </row>
    <row r="3661" spans="28:49" s="196" customFormat="1">
      <c r="AB3661" s="201"/>
      <c r="AC3661" s="201"/>
      <c r="AD3661" s="197"/>
      <c r="AE3661" s="197"/>
      <c r="AF3661" s="197"/>
      <c r="AG3661" s="197"/>
      <c r="AH3661" s="197"/>
      <c r="AI3661" s="197"/>
      <c r="AJ3661" s="197"/>
      <c r="AK3661" s="197"/>
      <c r="AL3661" s="197"/>
      <c r="AM3661" s="197"/>
      <c r="AN3661" s="197"/>
      <c r="AO3661" s="197"/>
      <c r="AP3661" s="197"/>
      <c r="AQ3661" s="197"/>
      <c r="AR3661" s="197"/>
      <c r="AS3661" s="197"/>
      <c r="AT3661" s="197"/>
      <c r="AU3661" s="197"/>
      <c r="AV3661" s="197"/>
      <c r="AW3661" s="197"/>
    </row>
    <row r="3662" spans="28:49" s="196" customFormat="1">
      <c r="AB3662" s="201"/>
      <c r="AC3662" s="201"/>
      <c r="AD3662" s="197"/>
      <c r="AE3662" s="197"/>
      <c r="AF3662" s="197"/>
      <c r="AG3662" s="197"/>
      <c r="AH3662" s="197"/>
      <c r="AI3662" s="197"/>
      <c r="AJ3662" s="197"/>
      <c r="AK3662" s="197"/>
      <c r="AL3662" s="197"/>
      <c r="AM3662" s="197"/>
      <c r="AN3662" s="197"/>
      <c r="AO3662" s="197"/>
      <c r="AP3662" s="197"/>
      <c r="AQ3662" s="197"/>
      <c r="AR3662" s="197"/>
      <c r="AS3662" s="197"/>
      <c r="AT3662" s="197"/>
      <c r="AU3662" s="197"/>
      <c r="AV3662" s="197"/>
      <c r="AW3662" s="197"/>
    </row>
    <row r="3663" spans="28:49" s="196" customFormat="1">
      <c r="AB3663" s="201"/>
      <c r="AC3663" s="201"/>
      <c r="AD3663" s="197"/>
      <c r="AE3663" s="197"/>
      <c r="AF3663" s="197"/>
      <c r="AG3663" s="197"/>
      <c r="AH3663" s="197"/>
      <c r="AI3663" s="197"/>
      <c r="AJ3663" s="197"/>
      <c r="AK3663" s="197"/>
      <c r="AL3663" s="197"/>
      <c r="AM3663" s="197"/>
      <c r="AN3663" s="197"/>
      <c r="AO3663" s="197"/>
      <c r="AP3663" s="197"/>
      <c r="AQ3663" s="197"/>
      <c r="AR3663" s="197"/>
      <c r="AS3663" s="197"/>
      <c r="AT3663" s="197"/>
      <c r="AU3663" s="197"/>
      <c r="AV3663" s="197"/>
      <c r="AW3663" s="197"/>
    </row>
    <row r="3664" spans="28:49" s="196" customFormat="1">
      <c r="AB3664" s="201"/>
      <c r="AC3664" s="201"/>
      <c r="AD3664" s="197"/>
      <c r="AE3664" s="197"/>
      <c r="AF3664" s="197"/>
      <c r="AG3664" s="197"/>
      <c r="AH3664" s="197"/>
      <c r="AI3664" s="197"/>
      <c r="AJ3664" s="197"/>
      <c r="AK3664" s="197"/>
      <c r="AL3664" s="197"/>
      <c r="AM3664" s="197"/>
      <c r="AN3664" s="197"/>
      <c r="AO3664" s="197"/>
      <c r="AP3664" s="197"/>
      <c r="AQ3664" s="197"/>
      <c r="AR3664" s="197"/>
      <c r="AS3664" s="197"/>
      <c r="AT3664" s="197"/>
      <c r="AU3664" s="197"/>
      <c r="AV3664" s="197"/>
      <c r="AW3664" s="197"/>
    </row>
    <row r="3665" spans="28:49" s="196" customFormat="1">
      <c r="AB3665" s="201"/>
      <c r="AC3665" s="201"/>
      <c r="AD3665" s="197"/>
      <c r="AE3665" s="197"/>
      <c r="AF3665" s="197"/>
      <c r="AG3665" s="197"/>
      <c r="AH3665" s="197"/>
      <c r="AI3665" s="197"/>
      <c r="AJ3665" s="197"/>
      <c r="AK3665" s="197"/>
      <c r="AL3665" s="197"/>
      <c r="AM3665" s="197"/>
      <c r="AN3665" s="197"/>
      <c r="AO3665" s="197"/>
      <c r="AP3665" s="197"/>
      <c r="AQ3665" s="197"/>
      <c r="AR3665" s="197"/>
      <c r="AS3665" s="197"/>
      <c r="AT3665" s="197"/>
      <c r="AU3665" s="197"/>
      <c r="AV3665" s="197"/>
      <c r="AW3665" s="197"/>
    </row>
    <row r="3666" spans="28:49" s="196" customFormat="1">
      <c r="AB3666" s="201"/>
      <c r="AC3666" s="201"/>
      <c r="AD3666" s="197"/>
      <c r="AE3666" s="197"/>
      <c r="AF3666" s="197"/>
      <c r="AG3666" s="197"/>
      <c r="AH3666" s="197"/>
      <c r="AI3666" s="197"/>
      <c r="AJ3666" s="197"/>
      <c r="AK3666" s="197"/>
      <c r="AL3666" s="197"/>
      <c r="AM3666" s="197"/>
      <c r="AN3666" s="197"/>
      <c r="AO3666" s="197"/>
      <c r="AP3666" s="197"/>
      <c r="AQ3666" s="197"/>
      <c r="AR3666" s="197"/>
      <c r="AS3666" s="197"/>
      <c r="AT3666" s="197"/>
      <c r="AU3666" s="197"/>
      <c r="AV3666" s="197"/>
      <c r="AW3666" s="197"/>
    </row>
    <row r="3667" spans="28:49" s="196" customFormat="1">
      <c r="AB3667" s="201"/>
      <c r="AC3667" s="201"/>
      <c r="AD3667" s="197"/>
      <c r="AE3667" s="197"/>
      <c r="AF3667" s="197"/>
      <c r="AG3667" s="197"/>
      <c r="AH3667" s="197"/>
      <c r="AI3667" s="197"/>
      <c r="AJ3667" s="197"/>
      <c r="AK3667" s="197"/>
      <c r="AL3667" s="197"/>
      <c r="AM3667" s="197"/>
      <c r="AN3667" s="197"/>
      <c r="AO3667" s="197"/>
      <c r="AP3667" s="197"/>
      <c r="AQ3667" s="197"/>
      <c r="AR3667" s="197"/>
      <c r="AS3667" s="197"/>
      <c r="AT3667" s="197"/>
      <c r="AU3667" s="197"/>
      <c r="AV3667" s="197"/>
      <c r="AW3667" s="197"/>
    </row>
    <row r="3668" spans="28:49" s="196" customFormat="1">
      <c r="AB3668" s="201"/>
      <c r="AC3668" s="201"/>
      <c r="AD3668" s="197"/>
      <c r="AE3668" s="197"/>
      <c r="AF3668" s="197"/>
      <c r="AG3668" s="197"/>
      <c r="AH3668" s="197"/>
      <c r="AI3668" s="197"/>
      <c r="AJ3668" s="197"/>
      <c r="AK3668" s="197"/>
      <c r="AL3668" s="197"/>
      <c r="AM3668" s="197"/>
      <c r="AN3668" s="197"/>
      <c r="AO3668" s="197"/>
      <c r="AP3668" s="197"/>
      <c r="AQ3668" s="197"/>
      <c r="AR3668" s="197"/>
      <c r="AS3668" s="197"/>
      <c r="AT3668" s="197"/>
      <c r="AU3668" s="197"/>
      <c r="AV3668" s="197"/>
      <c r="AW3668" s="197"/>
    </row>
    <row r="3669" spans="28:49" s="196" customFormat="1">
      <c r="AB3669" s="201"/>
      <c r="AC3669" s="201"/>
      <c r="AD3669" s="197"/>
      <c r="AE3669" s="197"/>
      <c r="AF3669" s="197"/>
      <c r="AG3669" s="197"/>
      <c r="AH3669" s="197"/>
      <c r="AI3669" s="197"/>
      <c r="AJ3669" s="197"/>
      <c r="AK3669" s="197"/>
      <c r="AL3669" s="197"/>
      <c r="AM3669" s="197"/>
      <c r="AN3669" s="197"/>
      <c r="AO3669" s="197"/>
      <c r="AP3669" s="197"/>
      <c r="AQ3669" s="197"/>
      <c r="AR3669" s="197"/>
      <c r="AS3669" s="197"/>
      <c r="AT3669" s="197"/>
      <c r="AU3669" s="197"/>
      <c r="AV3669" s="197"/>
      <c r="AW3669" s="197"/>
    </row>
    <row r="3670" spans="28:49" s="196" customFormat="1">
      <c r="AB3670" s="201"/>
      <c r="AC3670" s="201"/>
      <c r="AD3670" s="197"/>
      <c r="AE3670" s="197"/>
      <c r="AF3670" s="197"/>
      <c r="AG3670" s="197"/>
      <c r="AH3670" s="197"/>
      <c r="AI3670" s="197"/>
      <c r="AJ3670" s="197"/>
      <c r="AK3670" s="197"/>
      <c r="AL3670" s="197"/>
      <c r="AM3670" s="197"/>
      <c r="AN3670" s="197"/>
      <c r="AO3670" s="197"/>
      <c r="AP3670" s="197"/>
      <c r="AQ3670" s="197"/>
      <c r="AR3670" s="197"/>
      <c r="AS3670" s="197"/>
      <c r="AT3670" s="197"/>
      <c r="AU3670" s="197"/>
      <c r="AV3670" s="197"/>
      <c r="AW3670" s="197"/>
    </row>
    <row r="3671" spans="28:49" s="196" customFormat="1">
      <c r="AB3671" s="201"/>
      <c r="AC3671" s="201"/>
      <c r="AD3671" s="197"/>
      <c r="AE3671" s="197"/>
      <c r="AF3671" s="197"/>
      <c r="AG3671" s="197"/>
      <c r="AH3671" s="197"/>
      <c r="AI3671" s="197"/>
      <c r="AJ3671" s="197"/>
      <c r="AK3671" s="197"/>
      <c r="AL3671" s="197"/>
      <c r="AM3671" s="197"/>
      <c r="AN3671" s="197"/>
      <c r="AO3671" s="197"/>
      <c r="AP3671" s="197"/>
      <c r="AQ3671" s="197"/>
      <c r="AR3671" s="197"/>
      <c r="AS3671" s="197"/>
      <c r="AT3671" s="197"/>
      <c r="AU3671" s="197"/>
      <c r="AV3671" s="197"/>
      <c r="AW3671" s="197"/>
    </row>
    <row r="3672" spans="28:49" s="196" customFormat="1">
      <c r="AB3672" s="201"/>
      <c r="AC3672" s="201"/>
      <c r="AD3672" s="197"/>
      <c r="AE3672" s="197"/>
      <c r="AF3672" s="197"/>
      <c r="AG3672" s="197"/>
      <c r="AH3672" s="197"/>
      <c r="AI3672" s="197"/>
      <c r="AJ3672" s="197"/>
      <c r="AK3672" s="197"/>
      <c r="AL3672" s="197"/>
      <c r="AM3672" s="197"/>
      <c r="AN3672" s="197"/>
      <c r="AO3672" s="197"/>
      <c r="AP3672" s="197"/>
      <c r="AQ3672" s="197"/>
      <c r="AR3672" s="197"/>
      <c r="AS3672" s="197"/>
      <c r="AT3672" s="197"/>
      <c r="AU3672" s="197"/>
      <c r="AV3672" s="197"/>
      <c r="AW3672" s="197"/>
    </row>
    <row r="3673" spans="28:49" s="196" customFormat="1">
      <c r="AB3673" s="201"/>
      <c r="AC3673" s="201"/>
      <c r="AD3673" s="197"/>
      <c r="AE3673" s="197"/>
      <c r="AF3673" s="197"/>
      <c r="AG3673" s="197"/>
      <c r="AH3673" s="197"/>
      <c r="AI3673" s="197"/>
      <c r="AJ3673" s="197"/>
      <c r="AK3673" s="197"/>
      <c r="AL3673" s="197"/>
      <c r="AM3673" s="197"/>
      <c r="AN3673" s="197"/>
      <c r="AO3673" s="197"/>
      <c r="AP3673" s="197"/>
      <c r="AQ3673" s="197"/>
      <c r="AR3673" s="197"/>
      <c r="AS3673" s="197"/>
      <c r="AT3673" s="197"/>
      <c r="AU3673" s="197"/>
      <c r="AV3673" s="197"/>
      <c r="AW3673" s="197"/>
    </row>
    <row r="3674" spans="28:49" s="196" customFormat="1">
      <c r="AB3674" s="201"/>
      <c r="AC3674" s="201"/>
      <c r="AD3674" s="197"/>
      <c r="AE3674" s="197"/>
      <c r="AF3674" s="197"/>
      <c r="AG3674" s="197"/>
      <c r="AH3674" s="197"/>
      <c r="AI3674" s="197"/>
      <c r="AJ3674" s="197"/>
      <c r="AK3674" s="197"/>
      <c r="AL3674" s="197"/>
      <c r="AM3674" s="197"/>
      <c r="AN3674" s="197"/>
      <c r="AO3674" s="197"/>
      <c r="AP3674" s="197"/>
      <c r="AQ3674" s="197"/>
      <c r="AR3674" s="197"/>
      <c r="AS3674" s="197"/>
      <c r="AT3674" s="197"/>
      <c r="AU3674" s="197"/>
      <c r="AV3674" s="197"/>
      <c r="AW3674" s="197"/>
    </row>
    <row r="3675" spans="28:49" s="196" customFormat="1">
      <c r="AB3675" s="201"/>
      <c r="AC3675" s="201"/>
      <c r="AD3675" s="197"/>
      <c r="AE3675" s="197"/>
      <c r="AF3675" s="197"/>
      <c r="AG3675" s="197"/>
      <c r="AH3675" s="197"/>
      <c r="AI3675" s="197"/>
      <c r="AJ3675" s="197"/>
      <c r="AK3675" s="197"/>
      <c r="AL3675" s="197"/>
      <c r="AM3675" s="197"/>
      <c r="AN3675" s="197"/>
      <c r="AO3675" s="197"/>
      <c r="AP3675" s="197"/>
      <c r="AQ3675" s="197"/>
      <c r="AR3675" s="197"/>
      <c r="AS3675" s="197"/>
      <c r="AT3675" s="197"/>
      <c r="AU3675" s="197"/>
      <c r="AV3675" s="197"/>
      <c r="AW3675" s="197"/>
    </row>
    <row r="3676" spans="28:49" s="196" customFormat="1">
      <c r="AB3676" s="201"/>
      <c r="AC3676" s="201"/>
      <c r="AD3676" s="197"/>
      <c r="AE3676" s="197"/>
      <c r="AF3676" s="197"/>
      <c r="AG3676" s="197"/>
      <c r="AH3676" s="197"/>
      <c r="AI3676" s="197"/>
      <c r="AJ3676" s="197"/>
      <c r="AK3676" s="197"/>
      <c r="AL3676" s="197"/>
      <c r="AM3676" s="197"/>
      <c r="AN3676" s="197"/>
      <c r="AO3676" s="197"/>
      <c r="AP3676" s="197"/>
      <c r="AQ3676" s="197"/>
      <c r="AR3676" s="197"/>
      <c r="AS3676" s="197"/>
      <c r="AT3676" s="197"/>
      <c r="AU3676" s="197"/>
      <c r="AV3676" s="197"/>
      <c r="AW3676" s="197"/>
    </row>
    <row r="3677" spans="28:49" s="196" customFormat="1">
      <c r="AB3677" s="201"/>
      <c r="AC3677" s="201"/>
      <c r="AD3677" s="197"/>
      <c r="AE3677" s="197"/>
      <c r="AF3677" s="197"/>
      <c r="AG3677" s="197"/>
      <c r="AH3677" s="197"/>
      <c r="AI3677" s="197"/>
      <c r="AJ3677" s="197"/>
      <c r="AK3677" s="197"/>
      <c r="AL3677" s="197"/>
      <c r="AM3677" s="197"/>
      <c r="AN3677" s="197"/>
      <c r="AO3677" s="197"/>
      <c r="AP3677" s="197"/>
      <c r="AQ3677" s="197"/>
      <c r="AR3677" s="197"/>
      <c r="AS3677" s="197"/>
      <c r="AT3677" s="197"/>
      <c r="AU3677" s="197"/>
      <c r="AV3677" s="197"/>
      <c r="AW3677" s="197"/>
    </row>
    <row r="3678" spans="28:49" s="196" customFormat="1">
      <c r="AB3678" s="201"/>
      <c r="AC3678" s="201"/>
      <c r="AD3678" s="197"/>
      <c r="AE3678" s="197"/>
      <c r="AF3678" s="197"/>
      <c r="AG3678" s="197"/>
      <c r="AH3678" s="197"/>
      <c r="AI3678" s="197"/>
      <c r="AJ3678" s="197"/>
      <c r="AK3678" s="197"/>
      <c r="AL3678" s="197"/>
      <c r="AM3678" s="197"/>
      <c r="AN3678" s="197"/>
      <c r="AO3678" s="197"/>
      <c r="AP3678" s="197"/>
      <c r="AQ3678" s="197"/>
      <c r="AR3678" s="197"/>
      <c r="AS3678" s="197"/>
      <c r="AT3678" s="197"/>
      <c r="AU3678" s="197"/>
      <c r="AV3678" s="197"/>
      <c r="AW3678" s="197"/>
    </row>
    <row r="3679" spans="28:49" s="196" customFormat="1">
      <c r="AB3679" s="201"/>
      <c r="AC3679" s="201"/>
      <c r="AD3679" s="197"/>
      <c r="AE3679" s="197"/>
      <c r="AF3679" s="197"/>
      <c r="AG3679" s="197"/>
      <c r="AH3679" s="197"/>
      <c r="AI3679" s="197"/>
      <c r="AJ3679" s="197"/>
      <c r="AK3679" s="197"/>
      <c r="AL3679" s="197"/>
      <c r="AM3679" s="197"/>
      <c r="AN3679" s="197"/>
      <c r="AO3679" s="197"/>
      <c r="AP3679" s="197"/>
      <c r="AQ3679" s="197"/>
      <c r="AR3679" s="197"/>
      <c r="AS3679" s="197"/>
      <c r="AT3679" s="197"/>
      <c r="AU3679" s="197"/>
      <c r="AV3679" s="197"/>
      <c r="AW3679" s="197"/>
    </row>
    <row r="3680" spans="28:49" s="196" customFormat="1">
      <c r="AB3680" s="201"/>
      <c r="AC3680" s="201"/>
      <c r="AD3680" s="197"/>
      <c r="AE3680" s="197"/>
      <c r="AF3680" s="197"/>
      <c r="AG3680" s="197"/>
      <c r="AH3680" s="197"/>
      <c r="AI3680" s="197"/>
      <c r="AJ3680" s="197"/>
      <c r="AK3680" s="197"/>
      <c r="AL3680" s="197"/>
      <c r="AM3680" s="197"/>
      <c r="AN3680" s="197"/>
      <c r="AO3680" s="197"/>
      <c r="AP3680" s="197"/>
      <c r="AQ3680" s="197"/>
      <c r="AR3680" s="197"/>
      <c r="AS3680" s="197"/>
      <c r="AT3680" s="197"/>
      <c r="AU3680" s="197"/>
      <c r="AV3680" s="197"/>
      <c r="AW3680" s="197"/>
    </row>
    <row r="3681" spans="28:49" s="196" customFormat="1">
      <c r="AB3681" s="201"/>
      <c r="AC3681" s="201"/>
      <c r="AD3681" s="197"/>
      <c r="AE3681" s="197"/>
      <c r="AF3681" s="197"/>
      <c r="AG3681" s="197"/>
      <c r="AH3681" s="197"/>
      <c r="AI3681" s="197"/>
      <c r="AJ3681" s="197"/>
      <c r="AK3681" s="197"/>
      <c r="AL3681" s="197"/>
      <c r="AM3681" s="197"/>
      <c r="AN3681" s="197"/>
      <c r="AO3681" s="197"/>
      <c r="AP3681" s="197"/>
      <c r="AQ3681" s="197"/>
      <c r="AR3681" s="197"/>
      <c r="AS3681" s="197"/>
      <c r="AT3681" s="197"/>
      <c r="AU3681" s="197"/>
      <c r="AV3681" s="197"/>
      <c r="AW3681" s="197"/>
    </row>
    <row r="3682" spans="28:49" s="196" customFormat="1">
      <c r="AB3682" s="201"/>
      <c r="AC3682" s="201"/>
      <c r="AD3682" s="197"/>
      <c r="AE3682" s="197"/>
      <c r="AF3682" s="197"/>
      <c r="AG3682" s="197"/>
      <c r="AH3682" s="197"/>
      <c r="AI3682" s="197"/>
      <c r="AJ3682" s="197"/>
      <c r="AK3682" s="197"/>
      <c r="AL3682" s="197"/>
      <c r="AM3682" s="197"/>
      <c r="AN3682" s="197"/>
      <c r="AO3682" s="197"/>
      <c r="AP3682" s="197"/>
      <c r="AQ3682" s="197"/>
      <c r="AR3682" s="197"/>
      <c r="AS3682" s="197"/>
      <c r="AT3682" s="197"/>
      <c r="AU3682" s="197"/>
      <c r="AV3682" s="197"/>
      <c r="AW3682" s="197"/>
    </row>
    <row r="3683" spans="28:49" s="196" customFormat="1">
      <c r="AB3683" s="201"/>
      <c r="AC3683" s="201"/>
      <c r="AD3683" s="197"/>
      <c r="AE3683" s="197"/>
      <c r="AF3683" s="197"/>
      <c r="AG3683" s="197"/>
      <c r="AH3683" s="197"/>
      <c r="AI3683" s="197"/>
      <c r="AJ3683" s="197"/>
      <c r="AK3683" s="197"/>
      <c r="AL3683" s="197"/>
      <c r="AM3683" s="197"/>
      <c r="AN3683" s="197"/>
      <c r="AO3683" s="197"/>
      <c r="AP3683" s="197"/>
      <c r="AQ3683" s="197"/>
      <c r="AR3683" s="197"/>
      <c r="AS3683" s="197"/>
      <c r="AT3683" s="197"/>
      <c r="AU3683" s="197"/>
      <c r="AV3683" s="197"/>
      <c r="AW3683" s="197"/>
    </row>
    <row r="3684" spans="28:49" s="196" customFormat="1">
      <c r="AB3684" s="201"/>
      <c r="AC3684" s="201"/>
      <c r="AD3684" s="197"/>
      <c r="AE3684" s="197"/>
      <c r="AF3684" s="197"/>
      <c r="AG3684" s="197"/>
      <c r="AH3684" s="197"/>
      <c r="AI3684" s="197"/>
      <c r="AJ3684" s="197"/>
      <c r="AK3684" s="197"/>
      <c r="AL3684" s="197"/>
      <c r="AM3684" s="197"/>
      <c r="AN3684" s="197"/>
      <c r="AO3684" s="197"/>
      <c r="AP3684" s="197"/>
      <c r="AQ3684" s="197"/>
      <c r="AR3684" s="197"/>
      <c r="AS3684" s="197"/>
      <c r="AT3684" s="197"/>
      <c r="AU3684" s="197"/>
      <c r="AV3684" s="197"/>
      <c r="AW3684" s="197"/>
    </row>
    <row r="3685" spans="28:49" s="196" customFormat="1">
      <c r="AB3685" s="201"/>
      <c r="AC3685" s="201"/>
      <c r="AD3685" s="197"/>
      <c r="AE3685" s="197"/>
      <c r="AF3685" s="197"/>
      <c r="AG3685" s="197"/>
      <c r="AH3685" s="197"/>
      <c r="AI3685" s="197"/>
      <c r="AJ3685" s="197"/>
      <c r="AK3685" s="197"/>
      <c r="AL3685" s="197"/>
      <c r="AM3685" s="197"/>
      <c r="AN3685" s="197"/>
      <c r="AO3685" s="197"/>
      <c r="AP3685" s="197"/>
      <c r="AQ3685" s="197"/>
      <c r="AR3685" s="197"/>
      <c r="AS3685" s="197"/>
      <c r="AT3685" s="197"/>
      <c r="AU3685" s="197"/>
      <c r="AV3685" s="197"/>
      <c r="AW3685" s="197"/>
    </row>
    <row r="3686" spans="28:49" s="196" customFormat="1">
      <c r="AB3686" s="201"/>
      <c r="AC3686" s="201"/>
      <c r="AD3686" s="197"/>
      <c r="AE3686" s="197"/>
      <c r="AF3686" s="197"/>
      <c r="AG3686" s="197"/>
      <c r="AH3686" s="197"/>
      <c r="AI3686" s="197"/>
      <c r="AJ3686" s="197"/>
      <c r="AK3686" s="197"/>
      <c r="AL3686" s="197"/>
      <c r="AM3686" s="197"/>
      <c r="AN3686" s="197"/>
      <c r="AO3686" s="197"/>
      <c r="AP3686" s="197"/>
      <c r="AQ3686" s="197"/>
      <c r="AR3686" s="197"/>
      <c r="AS3686" s="197"/>
      <c r="AT3686" s="197"/>
      <c r="AU3686" s="197"/>
      <c r="AV3686" s="197"/>
      <c r="AW3686" s="197"/>
    </row>
    <row r="3687" spans="28:49" s="196" customFormat="1">
      <c r="AB3687" s="201"/>
      <c r="AC3687" s="201"/>
      <c r="AD3687" s="197"/>
      <c r="AE3687" s="197"/>
      <c r="AF3687" s="197"/>
      <c r="AG3687" s="197"/>
      <c r="AH3687" s="197"/>
      <c r="AI3687" s="197"/>
      <c r="AJ3687" s="197"/>
      <c r="AK3687" s="197"/>
      <c r="AL3687" s="197"/>
      <c r="AM3687" s="197"/>
      <c r="AN3687" s="197"/>
      <c r="AO3687" s="197"/>
      <c r="AP3687" s="197"/>
      <c r="AQ3687" s="197"/>
      <c r="AR3687" s="197"/>
      <c r="AS3687" s="197"/>
      <c r="AT3687" s="197"/>
      <c r="AU3687" s="197"/>
      <c r="AV3687" s="197"/>
      <c r="AW3687" s="197"/>
    </row>
    <row r="3688" spans="28:49" s="196" customFormat="1">
      <c r="AB3688" s="201"/>
      <c r="AC3688" s="201"/>
      <c r="AD3688" s="197"/>
      <c r="AE3688" s="197"/>
      <c r="AF3688" s="197"/>
      <c r="AG3688" s="197"/>
      <c r="AH3688" s="197"/>
      <c r="AI3688" s="197"/>
      <c r="AJ3688" s="197"/>
      <c r="AK3688" s="197"/>
      <c r="AL3688" s="197"/>
      <c r="AM3688" s="197"/>
      <c r="AN3688" s="197"/>
      <c r="AO3688" s="197"/>
      <c r="AP3688" s="197"/>
      <c r="AQ3688" s="197"/>
      <c r="AR3688" s="197"/>
      <c r="AS3688" s="197"/>
      <c r="AT3688" s="197"/>
      <c r="AU3688" s="197"/>
      <c r="AV3688" s="197"/>
      <c r="AW3688" s="197"/>
    </row>
    <row r="3689" spans="28:49" s="196" customFormat="1">
      <c r="AB3689" s="201"/>
      <c r="AC3689" s="201"/>
      <c r="AD3689" s="197"/>
      <c r="AE3689" s="197"/>
      <c r="AF3689" s="197"/>
      <c r="AG3689" s="197"/>
      <c r="AH3689" s="197"/>
      <c r="AI3689" s="197"/>
      <c r="AJ3689" s="197"/>
      <c r="AK3689" s="197"/>
      <c r="AL3689" s="197"/>
      <c r="AM3689" s="197"/>
      <c r="AN3689" s="197"/>
      <c r="AO3689" s="197"/>
      <c r="AP3689" s="197"/>
      <c r="AQ3689" s="197"/>
      <c r="AR3689" s="197"/>
      <c r="AS3689" s="197"/>
      <c r="AT3689" s="197"/>
      <c r="AU3689" s="197"/>
      <c r="AV3689" s="197"/>
      <c r="AW3689" s="197"/>
    </row>
    <row r="3690" spans="28:49" s="196" customFormat="1">
      <c r="AB3690" s="201"/>
      <c r="AC3690" s="201"/>
      <c r="AD3690" s="197"/>
      <c r="AE3690" s="197"/>
      <c r="AF3690" s="197"/>
      <c r="AG3690" s="197"/>
      <c r="AH3690" s="197"/>
      <c r="AI3690" s="197"/>
      <c r="AJ3690" s="197"/>
      <c r="AK3690" s="197"/>
      <c r="AL3690" s="197"/>
      <c r="AM3690" s="197"/>
      <c r="AN3690" s="197"/>
      <c r="AO3690" s="197"/>
      <c r="AP3690" s="197"/>
      <c r="AQ3690" s="197"/>
      <c r="AR3690" s="197"/>
      <c r="AS3690" s="197"/>
      <c r="AT3690" s="197"/>
      <c r="AU3690" s="197"/>
      <c r="AV3690" s="197"/>
      <c r="AW3690" s="197"/>
    </row>
    <row r="3691" spans="28:49" s="196" customFormat="1">
      <c r="AB3691" s="201"/>
      <c r="AC3691" s="201"/>
      <c r="AD3691" s="197"/>
      <c r="AE3691" s="197"/>
      <c r="AF3691" s="197"/>
      <c r="AG3691" s="197"/>
      <c r="AH3691" s="197"/>
      <c r="AI3691" s="197"/>
      <c r="AJ3691" s="197"/>
      <c r="AK3691" s="197"/>
      <c r="AL3691" s="197"/>
      <c r="AM3691" s="197"/>
      <c r="AN3691" s="197"/>
      <c r="AO3691" s="197"/>
      <c r="AP3691" s="197"/>
      <c r="AQ3691" s="197"/>
      <c r="AR3691" s="197"/>
      <c r="AS3691" s="197"/>
      <c r="AT3691" s="197"/>
      <c r="AU3691" s="197"/>
      <c r="AV3691" s="197"/>
      <c r="AW3691" s="197"/>
    </row>
    <row r="3692" spans="28:49" s="196" customFormat="1">
      <c r="AB3692" s="201"/>
      <c r="AC3692" s="201"/>
      <c r="AD3692" s="197"/>
      <c r="AE3692" s="197"/>
      <c r="AF3692" s="197"/>
      <c r="AG3692" s="197"/>
      <c r="AH3692" s="197"/>
      <c r="AI3692" s="197"/>
      <c r="AJ3692" s="197"/>
      <c r="AK3692" s="197"/>
      <c r="AL3692" s="197"/>
      <c r="AM3692" s="197"/>
      <c r="AN3692" s="197"/>
      <c r="AO3692" s="197"/>
      <c r="AP3692" s="197"/>
      <c r="AQ3692" s="197"/>
      <c r="AR3692" s="197"/>
      <c r="AS3692" s="197"/>
      <c r="AT3692" s="197"/>
      <c r="AU3692" s="197"/>
      <c r="AV3692" s="197"/>
      <c r="AW3692" s="197"/>
    </row>
    <row r="3693" spans="28:49" s="196" customFormat="1">
      <c r="AB3693" s="201"/>
      <c r="AC3693" s="201"/>
      <c r="AD3693" s="197"/>
      <c r="AE3693" s="197"/>
      <c r="AF3693" s="197"/>
      <c r="AG3693" s="197"/>
      <c r="AH3693" s="197"/>
      <c r="AI3693" s="197"/>
      <c r="AJ3693" s="197"/>
      <c r="AK3693" s="197"/>
      <c r="AL3693" s="197"/>
      <c r="AM3693" s="197"/>
      <c r="AN3693" s="197"/>
      <c r="AO3693" s="197"/>
      <c r="AP3693" s="197"/>
      <c r="AQ3693" s="197"/>
      <c r="AR3693" s="197"/>
      <c r="AS3693" s="197"/>
      <c r="AT3693" s="197"/>
      <c r="AU3693" s="197"/>
      <c r="AV3693" s="197"/>
      <c r="AW3693" s="197"/>
    </row>
    <row r="3694" spans="28:49" s="196" customFormat="1">
      <c r="AB3694" s="201"/>
      <c r="AC3694" s="201"/>
      <c r="AD3694" s="197"/>
      <c r="AE3694" s="197"/>
      <c r="AF3694" s="197"/>
      <c r="AG3694" s="197"/>
      <c r="AH3694" s="197"/>
      <c r="AI3694" s="197"/>
      <c r="AJ3694" s="197"/>
      <c r="AK3694" s="197"/>
      <c r="AL3694" s="197"/>
      <c r="AM3694" s="197"/>
      <c r="AN3694" s="197"/>
      <c r="AO3694" s="197"/>
      <c r="AP3694" s="197"/>
      <c r="AQ3694" s="197"/>
      <c r="AR3694" s="197"/>
      <c r="AS3694" s="197"/>
      <c r="AT3694" s="197"/>
      <c r="AU3694" s="197"/>
      <c r="AV3694" s="197"/>
      <c r="AW3694" s="197"/>
    </row>
    <row r="3695" spans="28:49" s="196" customFormat="1">
      <c r="AB3695" s="201"/>
      <c r="AC3695" s="201"/>
      <c r="AD3695" s="197"/>
      <c r="AE3695" s="197"/>
      <c r="AF3695" s="197"/>
      <c r="AG3695" s="197"/>
      <c r="AH3695" s="197"/>
      <c r="AI3695" s="197"/>
      <c r="AJ3695" s="197"/>
      <c r="AK3695" s="197"/>
      <c r="AL3695" s="197"/>
      <c r="AM3695" s="197"/>
      <c r="AN3695" s="197"/>
      <c r="AO3695" s="197"/>
      <c r="AP3695" s="197"/>
      <c r="AQ3695" s="197"/>
      <c r="AR3695" s="197"/>
      <c r="AS3695" s="197"/>
      <c r="AT3695" s="197"/>
      <c r="AU3695" s="197"/>
      <c r="AV3695" s="197"/>
      <c r="AW3695" s="197"/>
    </row>
    <row r="3696" spans="28:49" s="196" customFormat="1">
      <c r="AB3696" s="201"/>
      <c r="AC3696" s="201"/>
      <c r="AD3696" s="197"/>
      <c r="AE3696" s="197"/>
      <c r="AF3696" s="197"/>
      <c r="AG3696" s="197"/>
      <c r="AH3696" s="197"/>
      <c r="AI3696" s="197"/>
      <c r="AJ3696" s="197"/>
      <c r="AK3696" s="197"/>
      <c r="AL3696" s="197"/>
      <c r="AM3696" s="197"/>
      <c r="AN3696" s="197"/>
      <c r="AO3696" s="197"/>
      <c r="AP3696" s="197"/>
      <c r="AQ3696" s="197"/>
      <c r="AR3696" s="197"/>
      <c r="AS3696" s="197"/>
      <c r="AT3696" s="197"/>
      <c r="AU3696" s="197"/>
      <c r="AV3696" s="197"/>
      <c r="AW3696" s="197"/>
    </row>
    <row r="3697" spans="28:49" s="196" customFormat="1">
      <c r="AB3697" s="201"/>
      <c r="AC3697" s="201"/>
      <c r="AD3697" s="197"/>
      <c r="AE3697" s="197"/>
      <c r="AF3697" s="197"/>
      <c r="AG3697" s="197"/>
      <c r="AH3697" s="197"/>
      <c r="AI3697" s="197"/>
      <c r="AJ3697" s="197"/>
      <c r="AK3697" s="197"/>
      <c r="AL3697" s="197"/>
      <c r="AM3697" s="197"/>
      <c r="AN3697" s="197"/>
      <c r="AO3697" s="197"/>
      <c r="AP3697" s="197"/>
      <c r="AQ3697" s="197"/>
      <c r="AR3697" s="197"/>
      <c r="AS3697" s="197"/>
      <c r="AT3697" s="197"/>
      <c r="AU3697" s="197"/>
      <c r="AV3697" s="197"/>
      <c r="AW3697" s="197"/>
    </row>
    <row r="3698" spans="28:49" s="196" customFormat="1">
      <c r="AB3698" s="201"/>
      <c r="AC3698" s="201"/>
      <c r="AD3698" s="197"/>
      <c r="AE3698" s="197"/>
      <c r="AF3698" s="197"/>
      <c r="AG3698" s="197"/>
      <c r="AH3698" s="197"/>
      <c r="AI3698" s="197"/>
      <c r="AJ3698" s="197"/>
      <c r="AK3698" s="197"/>
      <c r="AL3698" s="197"/>
      <c r="AM3698" s="197"/>
      <c r="AN3698" s="197"/>
      <c r="AO3698" s="197"/>
      <c r="AP3698" s="197"/>
      <c r="AQ3698" s="197"/>
      <c r="AR3698" s="197"/>
      <c r="AS3698" s="197"/>
      <c r="AT3698" s="197"/>
      <c r="AU3698" s="197"/>
      <c r="AV3698" s="197"/>
      <c r="AW3698" s="197"/>
    </row>
    <row r="3699" spans="28:49" s="196" customFormat="1">
      <c r="AB3699" s="201"/>
      <c r="AC3699" s="201"/>
      <c r="AD3699" s="197"/>
      <c r="AE3699" s="197"/>
      <c r="AF3699" s="197"/>
      <c r="AG3699" s="197"/>
      <c r="AH3699" s="197"/>
      <c r="AI3699" s="197"/>
      <c r="AJ3699" s="197"/>
      <c r="AK3699" s="197"/>
      <c r="AL3699" s="197"/>
      <c r="AM3699" s="197"/>
      <c r="AN3699" s="197"/>
      <c r="AO3699" s="197"/>
      <c r="AP3699" s="197"/>
      <c r="AQ3699" s="197"/>
      <c r="AR3699" s="197"/>
      <c r="AS3699" s="197"/>
      <c r="AT3699" s="197"/>
      <c r="AU3699" s="197"/>
      <c r="AV3699" s="197"/>
      <c r="AW3699" s="197"/>
    </row>
    <row r="3700" spans="28:49" s="196" customFormat="1">
      <c r="AB3700" s="201"/>
      <c r="AC3700" s="201"/>
      <c r="AD3700" s="197"/>
      <c r="AE3700" s="197"/>
      <c r="AF3700" s="197"/>
      <c r="AG3700" s="197"/>
      <c r="AH3700" s="197"/>
      <c r="AI3700" s="197"/>
      <c r="AJ3700" s="197"/>
      <c r="AK3700" s="197"/>
      <c r="AL3700" s="197"/>
      <c r="AM3700" s="197"/>
      <c r="AN3700" s="197"/>
      <c r="AO3700" s="197"/>
      <c r="AP3700" s="197"/>
      <c r="AQ3700" s="197"/>
      <c r="AR3700" s="197"/>
      <c r="AS3700" s="197"/>
      <c r="AT3700" s="197"/>
      <c r="AU3700" s="197"/>
      <c r="AV3700" s="197"/>
      <c r="AW3700" s="197"/>
    </row>
    <row r="3701" spans="28:49" s="196" customFormat="1">
      <c r="AB3701" s="201"/>
      <c r="AC3701" s="201"/>
      <c r="AD3701" s="197"/>
      <c r="AE3701" s="197"/>
      <c r="AF3701" s="197"/>
      <c r="AG3701" s="197"/>
      <c r="AH3701" s="197"/>
      <c r="AI3701" s="197"/>
      <c r="AJ3701" s="197"/>
      <c r="AK3701" s="197"/>
      <c r="AL3701" s="197"/>
      <c r="AM3701" s="197"/>
      <c r="AN3701" s="197"/>
      <c r="AO3701" s="197"/>
      <c r="AP3701" s="197"/>
      <c r="AQ3701" s="197"/>
      <c r="AR3701" s="197"/>
      <c r="AS3701" s="197"/>
      <c r="AT3701" s="197"/>
      <c r="AU3701" s="197"/>
      <c r="AV3701" s="197"/>
      <c r="AW3701" s="197"/>
    </row>
    <row r="3702" spans="28:49" s="196" customFormat="1">
      <c r="AB3702" s="201"/>
      <c r="AC3702" s="201"/>
      <c r="AD3702" s="197"/>
      <c r="AE3702" s="197"/>
      <c r="AF3702" s="197"/>
      <c r="AG3702" s="197"/>
      <c r="AH3702" s="197"/>
      <c r="AI3702" s="197"/>
      <c r="AJ3702" s="197"/>
      <c r="AK3702" s="197"/>
      <c r="AL3702" s="197"/>
      <c r="AM3702" s="197"/>
      <c r="AN3702" s="197"/>
      <c r="AO3702" s="197"/>
      <c r="AP3702" s="197"/>
      <c r="AQ3702" s="197"/>
      <c r="AR3702" s="197"/>
      <c r="AS3702" s="197"/>
      <c r="AT3702" s="197"/>
      <c r="AU3702" s="197"/>
      <c r="AV3702" s="197"/>
      <c r="AW3702" s="197"/>
    </row>
    <row r="3703" spans="28:49" s="196" customFormat="1">
      <c r="AB3703" s="201"/>
      <c r="AC3703" s="201"/>
      <c r="AD3703" s="197"/>
      <c r="AE3703" s="197"/>
      <c r="AF3703" s="197"/>
      <c r="AG3703" s="197"/>
      <c r="AH3703" s="197"/>
      <c r="AI3703" s="197"/>
      <c r="AJ3703" s="197"/>
      <c r="AK3703" s="197"/>
      <c r="AL3703" s="197"/>
      <c r="AM3703" s="197"/>
      <c r="AN3703" s="197"/>
      <c r="AO3703" s="197"/>
      <c r="AP3703" s="197"/>
      <c r="AQ3703" s="197"/>
      <c r="AR3703" s="197"/>
      <c r="AS3703" s="197"/>
      <c r="AT3703" s="197"/>
      <c r="AU3703" s="197"/>
      <c r="AV3703" s="197"/>
      <c r="AW3703" s="197"/>
    </row>
    <row r="3704" spans="28:49" s="196" customFormat="1">
      <c r="AB3704" s="201"/>
      <c r="AC3704" s="201"/>
      <c r="AD3704" s="197"/>
      <c r="AE3704" s="197"/>
      <c r="AF3704" s="197"/>
      <c r="AG3704" s="197"/>
      <c r="AH3704" s="197"/>
      <c r="AI3704" s="197"/>
      <c r="AJ3704" s="197"/>
      <c r="AK3704" s="197"/>
      <c r="AL3704" s="197"/>
      <c r="AM3704" s="197"/>
      <c r="AN3704" s="197"/>
      <c r="AO3704" s="197"/>
      <c r="AP3704" s="197"/>
      <c r="AQ3704" s="197"/>
      <c r="AR3704" s="197"/>
      <c r="AS3704" s="197"/>
      <c r="AT3704" s="197"/>
      <c r="AU3704" s="197"/>
      <c r="AV3704" s="197"/>
      <c r="AW3704" s="197"/>
    </row>
    <row r="3705" spans="28:49" s="196" customFormat="1">
      <c r="AB3705" s="201"/>
      <c r="AC3705" s="201"/>
      <c r="AD3705" s="197"/>
      <c r="AE3705" s="197"/>
      <c r="AF3705" s="197"/>
      <c r="AG3705" s="197"/>
      <c r="AH3705" s="197"/>
      <c r="AI3705" s="197"/>
      <c r="AJ3705" s="197"/>
      <c r="AK3705" s="197"/>
      <c r="AL3705" s="197"/>
      <c r="AM3705" s="197"/>
      <c r="AN3705" s="197"/>
      <c r="AO3705" s="197"/>
      <c r="AP3705" s="197"/>
      <c r="AQ3705" s="197"/>
      <c r="AR3705" s="197"/>
      <c r="AS3705" s="197"/>
      <c r="AT3705" s="197"/>
      <c r="AU3705" s="197"/>
      <c r="AV3705" s="197"/>
      <c r="AW3705" s="197"/>
    </row>
    <row r="3706" spans="28:49" s="196" customFormat="1">
      <c r="AB3706" s="201"/>
      <c r="AC3706" s="201"/>
      <c r="AD3706" s="197"/>
      <c r="AE3706" s="197"/>
      <c r="AF3706" s="197"/>
      <c r="AG3706" s="197"/>
      <c r="AH3706" s="197"/>
      <c r="AI3706" s="197"/>
      <c r="AJ3706" s="197"/>
      <c r="AK3706" s="197"/>
      <c r="AL3706" s="197"/>
      <c r="AM3706" s="197"/>
      <c r="AN3706" s="197"/>
      <c r="AO3706" s="197"/>
      <c r="AP3706" s="197"/>
      <c r="AQ3706" s="197"/>
      <c r="AR3706" s="197"/>
      <c r="AS3706" s="197"/>
      <c r="AT3706" s="197"/>
      <c r="AU3706" s="197"/>
      <c r="AV3706" s="197"/>
      <c r="AW3706" s="197"/>
    </row>
    <row r="3707" spans="28:49" s="196" customFormat="1">
      <c r="AB3707" s="201"/>
      <c r="AC3707" s="201"/>
      <c r="AD3707" s="197"/>
      <c r="AE3707" s="197"/>
      <c r="AF3707" s="197"/>
      <c r="AG3707" s="197"/>
      <c r="AH3707" s="197"/>
      <c r="AI3707" s="197"/>
      <c r="AJ3707" s="197"/>
      <c r="AK3707" s="197"/>
      <c r="AL3707" s="197"/>
      <c r="AM3707" s="197"/>
      <c r="AN3707" s="197"/>
      <c r="AO3707" s="197"/>
      <c r="AP3707" s="197"/>
      <c r="AQ3707" s="197"/>
      <c r="AR3707" s="197"/>
      <c r="AS3707" s="197"/>
      <c r="AT3707" s="197"/>
      <c r="AU3707" s="197"/>
      <c r="AV3707" s="197"/>
      <c r="AW3707" s="197"/>
    </row>
    <row r="3708" spans="28:49" s="196" customFormat="1">
      <c r="AB3708" s="201"/>
      <c r="AC3708" s="201"/>
      <c r="AD3708" s="197"/>
      <c r="AE3708" s="197"/>
      <c r="AF3708" s="197"/>
      <c r="AG3708" s="197"/>
      <c r="AH3708" s="197"/>
      <c r="AI3708" s="197"/>
      <c r="AJ3708" s="197"/>
      <c r="AK3708" s="197"/>
      <c r="AL3708" s="197"/>
      <c r="AM3708" s="197"/>
      <c r="AN3708" s="197"/>
      <c r="AO3708" s="197"/>
      <c r="AP3708" s="197"/>
      <c r="AQ3708" s="197"/>
      <c r="AR3708" s="197"/>
      <c r="AS3708" s="197"/>
      <c r="AT3708" s="197"/>
      <c r="AU3708" s="197"/>
      <c r="AV3708" s="197"/>
      <c r="AW3708" s="197"/>
    </row>
    <row r="3709" spans="28:49" s="196" customFormat="1">
      <c r="AB3709" s="201"/>
      <c r="AC3709" s="201"/>
      <c r="AD3709" s="197"/>
      <c r="AE3709" s="197"/>
      <c r="AF3709" s="197"/>
      <c r="AG3709" s="197"/>
      <c r="AH3709" s="197"/>
      <c r="AI3709" s="197"/>
      <c r="AJ3709" s="197"/>
      <c r="AK3709" s="197"/>
      <c r="AL3709" s="197"/>
      <c r="AM3709" s="197"/>
      <c r="AN3709" s="197"/>
      <c r="AO3709" s="197"/>
      <c r="AP3709" s="197"/>
      <c r="AQ3709" s="197"/>
      <c r="AR3709" s="197"/>
      <c r="AS3709" s="197"/>
      <c r="AT3709" s="197"/>
      <c r="AU3709" s="197"/>
      <c r="AV3709" s="197"/>
      <c r="AW3709" s="197"/>
    </row>
    <row r="3710" spans="28:49" s="196" customFormat="1">
      <c r="AB3710" s="201"/>
      <c r="AC3710" s="201"/>
      <c r="AD3710" s="197"/>
      <c r="AE3710" s="197"/>
      <c r="AF3710" s="197"/>
      <c r="AG3710" s="197"/>
      <c r="AH3710" s="197"/>
      <c r="AI3710" s="197"/>
      <c r="AJ3710" s="197"/>
      <c r="AK3710" s="197"/>
      <c r="AL3710" s="197"/>
      <c r="AM3710" s="197"/>
      <c r="AN3710" s="197"/>
      <c r="AO3710" s="197"/>
      <c r="AP3710" s="197"/>
      <c r="AQ3710" s="197"/>
      <c r="AR3710" s="197"/>
      <c r="AS3710" s="197"/>
      <c r="AT3710" s="197"/>
      <c r="AU3710" s="197"/>
      <c r="AV3710" s="197"/>
      <c r="AW3710" s="197"/>
    </row>
    <row r="3711" spans="28:49" s="196" customFormat="1">
      <c r="AB3711" s="201"/>
      <c r="AC3711" s="201"/>
      <c r="AD3711" s="197"/>
      <c r="AE3711" s="197"/>
      <c r="AF3711" s="197"/>
      <c r="AG3711" s="197"/>
      <c r="AH3711" s="197"/>
      <c r="AI3711" s="197"/>
      <c r="AJ3711" s="197"/>
      <c r="AK3711" s="197"/>
      <c r="AL3711" s="197"/>
      <c r="AM3711" s="197"/>
      <c r="AN3711" s="197"/>
      <c r="AO3711" s="197"/>
      <c r="AP3711" s="197"/>
      <c r="AQ3711" s="197"/>
      <c r="AR3711" s="197"/>
      <c r="AS3711" s="197"/>
      <c r="AT3711" s="197"/>
      <c r="AU3711" s="197"/>
      <c r="AV3711" s="197"/>
      <c r="AW3711" s="197"/>
    </row>
    <row r="3712" spans="28:49" s="196" customFormat="1">
      <c r="AB3712" s="201"/>
      <c r="AC3712" s="201"/>
      <c r="AD3712" s="197"/>
      <c r="AE3712" s="197"/>
      <c r="AF3712" s="197"/>
      <c r="AG3712" s="197"/>
      <c r="AH3712" s="197"/>
      <c r="AI3712" s="197"/>
      <c r="AJ3712" s="197"/>
      <c r="AK3712" s="197"/>
      <c r="AL3712" s="197"/>
      <c r="AM3712" s="197"/>
      <c r="AN3712" s="197"/>
      <c r="AO3712" s="197"/>
      <c r="AP3712" s="197"/>
      <c r="AQ3712" s="197"/>
      <c r="AR3712" s="197"/>
      <c r="AS3712" s="197"/>
      <c r="AT3712" s="197"/>
      <c r="AU3712" s="197"/>
      <c r="AV3712" s="197"/>
      <c r="AW3712" s="197"/>
    </row>
    <row r="3713" spans="28:49" s="196" customFormat="1">
      <c r="AB3713" s="201"/>
      <c r="AC3713" s="201"/>
      <c r="AD3713" s="197"/>
      <c r="AE3713" s="197"/>
      <c r="AF3713" s="197"/>
      <c r="AG3713" s="197"/>
      <c r="AH3713" s="197"/>
      <c r="AI3713" s="197"/>
      <c r="AJ3713" s="197"/>
      <c r="AK3713" s="197"/>
      <c r="AL3713" s="197"/>
      <c r="AM3713" s="197"/>
      <c r="AN3713" s="197"/>
      <c r="AO3713" s="197"/>
      <c r="AP3713" s="197"/>
      <c r="AQ3713" s="197"/>
      <c r="AR3713" s="197"/>
      <c r="AS3713" s="197"/>
      <c r="AT3713" s="197"/>
      <c r="AU3713" s="197"/>
      <c r="AV3713" s="197"/>
      <c r="AW3713" s="197"/>
    </row>
    <row r="3714" spans="28:49" s="196" customFormat="1">
      <c r="AB3714" s="201"/>
      <c r="AC3714" s="201"/>
      <c r="AD3714" s="197"/>
      <c r="AE3714" s="197"/>
      <c r="AF3714" s="197"/>
      <c r="AG3714" s="197"/>
      <c r="AH3714" s="197"/>
      <c r="AI3714" s="197"/>
      <c r="AJ3714" s="197"/>
      <c r="AK3714" s="197"/>
      <c r="AL3714" s="197"/>
      <c r="AM3714" s="197"/>
      <c r="AN3714" s="197"/>
      <c r="AO3714" s="197"/>
      <c r="AP3714" s="197"/>
      <c r="AQ3714" s="197"/>
      <c r="AR3714" s="197"/>
      <c r="AS3714" s="197"/>
      <c r="AT3714" s="197"/>
      <c r="AU3714" s="197"/>
      <c r="AV3714" s="197"/>
      <c r="AW3714" s="197"/>
    </row>
    <row r="3715" spans="28:49" s="196" customFormat="1">
      <c r="AB3715" s="201"/>
      <c r="AC3715" s="201"/>
      <c r="AD3715" s="197"/>
      <c r="AE3715" s="197"/>
      <c r="AF3715" s="197"/>
      <c r="AG3715" s="197"/>
      <c r="AH3715" s="197"/>
      <c r="AI3715" s="197"/>
      <c r="AJ3715" s="197"/>
      <c r="AK3715" s="197"/>
      <c r="AL3715" s="197"/>
      <c r="AM3715" s="197"/>
      <c r="AN3715" s="197"/>
      <c r="AO3715" s="197"/>
      <c r="AP3715" s="197"/>
      <c r="AQ3715" s="197"/>
      <c r="AR3715" s="197"/>
      <c r="AS3715" s="197"/>
      <c r="AT3715" s="197"/>
      <c r="AU3715" s="197"/>
      <c r="AV3715" s="197"/>
      <c r="AW3715" s="197"/>
    </row>
    <row r="3716" spans="28:49" s="196" customFormat="1">
      <c r="AB3716" s="201"/>
      <c r="AC3716" s="201"/>
      <c r="AD3716" s="197"/>
      <c r="AE3716" s="197"/>
      <c r="AF3716" s="197"/>
      <c r="AG3716" s="197"/>
      <c r="AH3716" s="197"/>
      <c r="AI3716" s="197"/>
      <c r="AJ3716" s="197"/>
      <c r="AK3716" s="197"/>
      <c r="AL3716" s="197"/>
      <c r="AM3716" s="197"/>
      <c r="AN3716" s="197"/>
      <c r="AO3716" s="197"/>
      <c r="AP3716" s="197"/>
      <c r="AQ3716" s="197"/>
      <c r="AR3716" s="197"/>
      <c r="AS3716" s="197"/>
      <c r="AT3716" s="197"/>
      <c r="AU3716" s="197"/>
      <c r="AV3716" s="197"/>
      <c r="AW3716" s="197"/>
    </row>
    <row r="3717" spans="28:49" s="196" customFormat="1">
      <c r="AB3717" s="201"/>
      <c r="AC3717" s="201"/>
      <c r="AD3717" s="197"/>
      <c r="AE3717" s="197"/>
      <c r="AF3717" s="197"/>
      <c r="AG3717" s="197"/>
      <c r="AH3717" s="197"/>
      <c r="AI3717" s="197"/>
      <c r="AJ3717" s="197"/>
      <c r="AK3717" s="197"/>
      <c r="AL3717" s="197"/>
      <c r="AM3717" s="197"/>
      <c r="AN3717" s="197"/>
      <c r="AO3717" s="197"/>
      <c r="AP3717" s="197"/>
      <c r="AQ3717" s="197"/>
      <c r="AR3717" s="197"/>
      <c r="AS3717" s="197"/>
      <c r="AT3717" s="197"/>
      <c r="AU3717" s="197"/>
      <c r="AV3717" s="197"/>
      <c r="AW3717" s="197"/>
    </row>
    <row r="3718" spans="28:49" s="196" customFormat="1">
      <c r="AB3718" s="201"/>
      <c r="AC3718" s="201"/>
      <c r="AD3718" s="197"/>
      <c r="AE3718" s="197"/>
      <c r="AF3718" s="197"/>
      <c r="AG3718" s="197"/>
      <c r="AH3718" s="197"/>
      <c r="AI3718" s="197"/>
      <c r="AJ3718" s="197"/>
      <c r="AK3718" s="197"/>
      <c r="AL3718" s="197"/>
      <c r="AM3718" s="197"/>
      <c r="AN3718" s="197"/>
      <c r="AO3718" s="197"/>
      <c r="AP3718" s="197"/>
      <c r="AQ3718" s="197"/>
      <c r="AR3718" s="197"/>
      <c r="AS3718" s="197"/>
      <c r="AT3718" s="197"/>
      <c r="AU3718" s="197"/>
      <c r="AV3718" s="197"/>
      <c r="AW3718" s="197"/>
    </row>
    <row r="3719" spans="28:49" s="196" customFormat="1">
      <c r="AB3719" s="201"/>
      <c r="AC3719" s="201"/>
      <c r="AD3719" s="197"/>
      <c r="AE3719" s="197"/>
      <c r="AF3719" s="197"/>
      <c r="AG3719" s="197"/>
      <c r="AH3719" s="197"/>
      <c r="AI3719" s="197"/>
      <c r="AJ3719" s="197"/>
      <c r="AK3719" s="197"/>
      <c r="AL3719" s="197"/>
      <c r="AM3719" s="197"/>
      <c r="AN3719" s="197"/>
      <c r="AO3719" s="197"/>
      <c r="AP3719" s="197"/>
      <c r="AQ3719" s="197"/>
      <c r="AR3719" s="197"/>
      <c r="AS3719" s="197"/>
      <c r="AT3719" s="197"/>
      <c r="AU3719" s="197"/>
      <c r="AV3719" s="197"/>
      <c r="AW3719" s="197"/>
    </row>
    <row r="3720" spans="28:49" s="196" customFormat="1">
      <c r="AB3720" s="201"/>
      <c r="AC3720" s="201"/>
      <c r="AD3720" s="197"/>
      <c r="AE3720" s="197"/>
      <c r="AF3720" s="197"/>
      <c r="AG3720" s="197"/>
      <c r="AH3720" s="197"/>
      <c r="AI3720" s="197"/>
      <c r="AJ3720" s="197"/>
      <c r="AK3720" s="197"/>
      <c r="AL3720" s="197"/>
      <c r="AM3720" s="197"/>
      <c r="AN3720" s="197"/>
      <c r="AO3720" s="197"/>
      <c r="AP3720" s="197"/>
      <c r="AQ3720" s="197"/>
      <c r="AR3720" s="197"/>
      <c r="AS3720" s="197"/>
      <c r="AT3720" s="197"/>
      <c r="AU3720" s="197"/>
      <c r="AV3720" s="197"/>
      <c r="AW3720" s="197"/>
    </row>
    <row r="3721" spans="28:49" s="196" customFormat="1">
      <c r="AB3721" s="201"/>
      <c r="AC3721" s="201"/>
      <c r="AD3721" s="197"/>
      <c r="AE3721" s="197"/>
      <c r="AF3721" s="197"/>
      <c r="AG3721" s="197"/>
      <c r="AH3721" s="197"/>
      <c r="AI3721" s="197"/>
      <c r="AJ3721" s="197"/>
      <c r="AK3721" s="197"/>
      <c r="AL3721" s="197"/>
      <c r="AM3721" s="197"/>
      <c r="AN3721" s="197"/>
      <c r="AO3721" s="197"/>
      <c r="AP3721" s="197"/>
      <c r="AQ3721" s="197"/>
      <c r="AR3721" s="197"/>
      <c r="AS3721" s="197"/>
      <c r="AT3721" s="197"/>
      <c r="AU3721" s="197"/>
      <c r="AV3721" s="197"/>
      <c r="AW3721" s="197"/>
    </row>
    <row r="3722" spans="28:49" s="196" customFormat="1">
      <c r="AB3722" s="201"/>
      <c r="AC3722" s="201"/>
      <c r="AD3722" s="197"/>
      <c r="AE3722" s="197"/>
      <c r="AF3722" s="197"/>
      <c r="AG3722" s="197"/>
      <c r="AH3722" s="197"/>
      <c r="AI3722" s="197"/>
      <c r="AJ3722" s="197"/>
      <c r="AK3722" s="197"/>
      <c r="AL3722" s="197"/>
      <c r="AM3722" s="197"/>
      <c r="AN3722" s="197"/>
      <c r="AO3722" s="197"/>
      <c r="AP3722" s="197"/>
      <c r="AQ3722" s="197"/>
      <c r="AR3722" s="197"/>
      <c r="AS3722" s="197"/>
      <c r="AT3722" s="197"/>
      <c r="AU3722" s="197"/>
      <c r="AV3722" s="197"/>
      <c r="AW3722" s="197"/>
    </row>
    <row r="3723" spans="28:49" s="196" customFormat="1">
      <c r="AB3723" s="201"/>
      <c r="AC3723" s="201"/>
      <c r="AD3723" s="197"/>
      <c r="AE3723" s="197"/>
      <c r="AF3723" s="197"/>
      <c r="AG3723" s="197"/>
      <c r="AH3723" s="197"/>
      <c r="AI3723" s="197"/>
      <c r="AJ3723" s="197"/>
      <c r="AK3723" s="197"/>
      <c r="AL3723" s="197"/>
      <c r="AM3723" s="197"/>
      <c r="AN3723" s="197"/>
      <c r="AO3723" s="197"/>
      <c r="AP3723" s="197"/>
      <c r="AQ3723" s="197"/>
      <c r="AR3723" s="197"/>
      <c r="AS3723" s="197"/>
      <c r="AT3723" s="197"/>
      <c r="AU3723" s="197"/>
      <c r="AV3723" s="197"/>
      <c r="AW3723" s="197"/>
    </row>
    <row r="3724" spans="28:49" s="196" customFormat="1">
      <c r="AB3724" s="201"/>
      <c r="AC3724" s="201"/>
      <c r="AD3724" s="197"/>
      <c r="AE3724" s="197"/>
      <c r="AF3724" s="197"/>
      <c r="AG3724" s="197"/>
      <c r="AH3724" s="197"/>
      <c r="AI3724" s="197"/>
      <c r="AJ3724" s="197"/>
      <c r="AK3724" s="197"/>
      <c r="AL3724" s="197"/>
      <c r="AM3724" s="197"/>
      <c r="AN3724" s="197"/>
      <c r="AO3724" s="197"/>
      <c r="AP3724" s="197"/>
      <c r="AQ3724" s="197"/>
      <c r="AR3724" s="197"/>
      <c r="AS3724" s="197"/>
      <c r="AT3724" s="197"/>
      <c r="AU3724" s="197"/>
      <c r="AV3724" s="197"/>
      <c r="AW3724" s="197"/>
    </row>
    <row r="3725" spans="28:49" s="196" customFormat="1">
      <c r="AB3725" s="201"/>
      <c r="AC3725" s="201"/>
      <c r="AD3725" s="197"/>
      <c r="AE3725" s="197"/>
      <c r="AF3725" s="197"/>
      <c r="AG3725" s="197"/>
      <c r="AH3725" s="197"/>
      <c r="AI3725" s="197"/>
      <c r="AJ3725" s="197"/>
      <c r="AK3725" s="197"/>
      <c r="AL3725" s="197"/>
      <c r="AM3725" s="197"/>
      <c r="AN3725" s="197"/>
      <c r="AO3725" s="197"/>
      <c r="AP3725" s="197"/>
      <c r="AQ3725" s="197"/>
      <c r="AR3725" s="197"/>
      <c r="AS3725" s="197"/>
      <c r="AT3725" s="197"/>
      <c r="AU3725" s="197"/>
      <c r="AV3725" s="197"/>
      <c r="AW3725" s="197"/>
    </row>
    <row r="3726" spans="28:49" s="196" customFormat="1">
      <c r="AB3726" s="201"/>
      <c r="AC3726" s="201"/>
      <c r="AD3726" s="197"/>
      <c r="AE3726" s="197"/>
      <c r="AF3726" s="197"/>
      <c r="AG3726" s="197"/>
      <c r="AH3726" s="197"/>
      <c r="AI3726" s="197"/>
      <c r="AJ3726" s="197"/>
      <c r="AK3726" s="197"/>
      <c r="AL3726" s="197"/>
      <c r="AM3726" s="197"/>
      <c r="AN3726" s="197"/>
      <c r="AO3726" s="197"/>
      <c r="AP3726" s="197"/>
      <c r="AQ3726" s="197"/>
      <c r="AR3726" s="197"/>
      <c r="AS3726" s="197"/>
      <c r="AT3726" s="197"/>
      <c r="AU3726" s="197"/>
      <c r="AV3726" s="197"/>
      <c r="AW3726" s="197"/>
    </row>
    <row r="3727" spans="28:49" s="196" customFormat="1">
      <c r="AB3727" s="201"/>
      <c r="AC3727" s="201"/>
      <c r="AD3727" s="197"/>
      <c r="AE3727" s="197"/>
      <c r="AF3727" s="197"/>
      <c r="AG3727" s="197"/>
      <c r="AH3727" s="197"/>
      <c r="AI3727" s="197"/>
      <c r="AJ3727" s="197"/>
      <c r="AK3727" s="197"/>
      <c r="AL3727" s="197"/>
      <c r="AM3727" s="197"/>
      <c r="AN3727" s="197"/>
      <c r="AO3727" s="197"/>
      <c r="AP3727" s="197"/>
      <c r="AQ3727" s="197"/>
      <c r="AR3727" s="197"/>
      <c r="AS3727" s="197"/>
      <c r="AT3727" s="197"/>
      <c r="AU3727" s="197"/>
      <c r="AV3727" s="197"/>
      <c r="AW3727" s="197"/>
    </row>
    <row r="3728" spans="28:49" s="196" customFormat="1">
      <c r="AB3728" s="201"/>
      <c r="AC3728" s="201"/>
      <c r="AD3728" s="197"/>
      <c r="AE3728" s="197"/>
      <c r="AF3728" s="197"/>
      <c r="AG3728" s="197"/>
      <c r="AH3728" s="197"/>
      <c r="AI3728" s="197"/>
      <c r="AJ3728" s="197"/>
      <c r="AK3728" s="197"/>
      <c r="AL3728" s="197"/>
      <c r="AM3728" s="197"/>
      <c r="AN3728" s="197"/>
      <c r="AO3728" s="197"/>
      <c r="AP3728" s="197"/>
      <c r="AQ3728" s="197"/>
      <c r="AR3728" s="197"/>
      <c r="AS3728" s="197"/>
      <c r="AT3728" s="197"/>
      <c r="AU3728" s="197"/>
      <c r="AV3728" s="197"/>
      <c r="AW3728" s="197"/>
    </row>
    <row r="3729" spans="28:49" s="196" customFormat="1">
      <c r="AB3729" s="201"/>
      <c r="AC3729" s="201"/>
      <c r="AD3729" s="197"/>
      <c r="AE3729" s="197"/>
      <c r="AF3729" s="197"/>
      <c r="AG3729" s="197"/>
      <c r="AH3729" s="197"/>
      <c r="AI3729" s="197"/>
      <c r="AJ3729" s="197"/>
      <c r="AK3729" s="197"/>
      <c r="AL3729" s="197"/>
      <c r="AM3729" s="197"/>
      <c r="AN3729" s="197"/>
      <c r="AO3729" s="197"/>
      <c r="AP3729" s="197"/>
      <c r="AQ3729" s="197"/>
      <c r="AR3729" s="197"/>
      <c r="AS3729" s="197"/>
      <c r="AT3729" s="197"/>
      <c r="AU3729" s="197"/>
      <c r="AV3729" s="197"/>
      <c r="AW3729" s="197"/>
    </row>
    <row r="3730" spans="28:49" s="196" customFormat="1">
      <c r="AB3730" s="201"/>
      <c r="AC3730" s="201"/>
      <c r="AD3730" s="197"/>
      <c r="AE3730" s="197"/>
      <c r="AF3730" s="197"/>
      <c r="AG3730" s="197"/>
      <c r="AH3730" s="197"/>
      <c r="AI3730" s="197"/>
      <c r="AJ3730" s="197"/>
      <c r="AK3730" s="197"/>
      <c r="AL3730" s="197"/>
      <c r="AM3730" s="197"/>
      <c r="AN3730" s="197"/>
      <c r="AO3730" s="197"/>
      <c r="AP3730" s="197"/>
      <c r="AQ3730" s="197"/>
      <c r="AR3730" s="197"/>
      <c r="AS3730" s="197"/>
      <c r="AT3730" s="197"/>
      <c r="AU3730" s="197"/>
      <c r="AV3730" s="197"/>
      <c r="AW3730" s="197"/>
    </row>
    <row r="3731" spans="28:49" s="196" customFormat="1">
      <c r="AB3731" s="201"/>
      <c r="AC3731" s="201"/>
      <c r="AD3731" s="197"/>
      <c r="AE3731" s="197"/>
      <c r="AF3731" s="197"/>
      <c r="AG3731" s="197"/>
      <c r="AH3731" s="197"/>
      <c r="AI3731" s="197"/>
      <c r="AJ3731" s="197"/>
      <c r="AK3731" s="197"/>
      <c r="AL3731" s="197"/>
      <c r="AM3731" s="197"/>
      <c r="AN3731" s="197"/>
      <c r="AO3731" s="197"/>
      <c r="AP3731" s="197"/>
      <c r="AQ3731" s="197"/>
      <c r="AR3731" s="197"/>
      <c r="AS3731" s="197"/>
      <c r="AT3731" s="197"/>
      <c r="AU3731" s="197"/>
      <c r="AV3731" s="197"/>
      <c r="AW3731" s="197"/>
    </row>
    <row r="3732" spans="28:49" s="196" customFormat="1">
      <c r="AB3732" s="201"/>
      <c r="AC3732" s="201"/>
      <c r="AD3732" s="197"/>
      <c r="AE3732" s="197"/>
      <c r="AF3732" s="197"/>
      <c r="AG3732" s="197"/>
      <c r="AH3732" s="197"/>
      <c r="AI3732" s="197"/>
      <c r="AJ3732" s="197"/>
      <c r="AK3732" s="197"/>
      <c r="AL3732" s="197"/>
      <c r="AM3732" s="197"/>
      <c r="AN3732" s="197"/>
      <c r="AO3732" s="197"/>
      <c r="AP3732" s="197"/>
      <c r="AQ3732" s="197"/>
      <c r="AR3732" s="197"/>
      <c r="AS3732" s="197"/>
      <c r="AT3732" s="197"/>
      <c r="AU3732" s="197"/>
      <c r="AV3732" s="197"/>
      <c r="AW3732" s="197"/>
    </row>
    <row r="3733" spans="28:49" s="196" customFormat="1">
      <c r="AB3733" s="201"/>
      <c r="AC3733" s="201"/>
      <c r="AD3733" s="197"/>
      <c r="AE3733" s="197"/>
      <c r="AF3733" s="197"/>
      <c r="AG3733" s="197"/>
      <c r="AH3733" s="197"/>
      <c r="AI3733" s="197"/>
      <c r="AJ3733" s="197"/>
      <c r="AK3733" s="197"/>
      <c r="AL3733" s="197"/>
      <c r="AM3733" s="197"/>
      <c r="AN3733" s="197"/>
      <c r="AO3733" s="197"/>
      <c r="AP3733" s="197"/>
      <c r="AQ3733" s="197"/>
      <c r="AR3733" s="197"/>
      <c r="AS3733" s="197"/>
      <c r="AT3733" s="197"/>
      <c r="AU3733" s="197"/>
      <c r="AV3733" s="197"/>
      <c r="AW3733" s="197"/>
    </row>
    <row r="3734" spans="28:49" s="196" customFormat="1">
      <c r="AB3734" s="201"/>
      <c r="AC3734" s="201"/>
      <c r="AD3734" s="197"/>
      <c r="AE3734" s="197"/>
      <c r="AF3734" s="197"/>
      <c r="AG3734" s="197"/>
      <c r="AH3734" s="197"/>
      <c r="AI3734" s="197"/>
      <c r="AJ3734" s="197"/>
      <c r="AK3734" s="197"/>
      <c r="AL3734" s="197"/>
      <c r="AM3734" s="197"/>
      <c r="AN3734" s="197"/>
      <c r="AO3734" s="197"/>
      <c r="AP3734" s="197"/>
      <c r="AQ3734" s="197"/>
      <c r="AR3734" s="197"/>
      <c r="AS3734" s="197"/>
      <c r="AT3734" s="197"/>
      <c r="AU3734" s="197"/>
      <c r="AV3734" s="197"/>
      <c r="AW3734" s="197"/>
    </row>
    <row r="3735" spans="28:49" s="196" customFormat="1">
      <c r="AB3735" s="201"/>
      <c r="AC3735" s="201"/>
      <c r="AD3735" s="197"/>
      <c r="AE3735" s="197"/>
      <c r="AF3735" s="197"/>
      <c r="AG3735" s="197"/>
      <c r="AH3735" s="197"/>
      <c r="AI3735" s="197"/>
      <c r="AJ3735" s="197"/>
      <c r="AK3735" s="197"/>
      <c r="AL3735" s="197"/>
      <c r="AM3735" s="197"/>
      <c r="AN3735" s="197"/>
      <c r="AO3735" s="197"/>
      <c r="AP3735" s="197"/>
      <c r="AQ3735" s="197"/>
      <c r="AR3735" s="197"/>
      <c r="AS3735" s="197"/>
      <c r="AT3735" s="197"/>
      <c r="AU3735" s="197"/>
      <c r="AV3735" s="197"/>
      <c r="AW3735" s="197"/>
    </row>
    <row r="3736" spans="28:49" s="196" customFormat="1">
      <c r="AB3736" s="201"/>
      <c r="AC3736" s="201"/>
      <c r="AD3736" s="197"/>
      <c r="AE3736" s="197"/>
      <c r="AF3736" s="197"/>
      <c r="AG3736" s="197"/>
      <c r="AH3736" s="197"/>
      <c r="AI3736" s="197"/>
      <c r="AJ3736" s="197"/>
      <c r="AK3736" s="197"/>
      <c r="AL3736" s="197"/>
      <c r="AM3736" s="197"/>
      <c r="AN3736" s="197"/>
      <c r="AO3736" s="197"/>
      <c r="AP3736" s="197"/>
      <c r="AQ3736" s="197"/>
      <c r="AR3736" s="197"/>
      <c r="AS3736" s="197"/>
      <c r="AT3736" s="197"/>
      <c r="AU3736" s="197"/>
      <c r="AV3736" s="197"/>
      <c r="AW3736" s="197"/>
    </row>
    <row r="3737" spans="28:49" s="196" customFormat="1">
      <c r="AB3737" s="201"/>
      <c r="AC3737" s="201"/>
      <c r="AD3737" s="197"/>
      <c r="AE3737" s="197"/>
      <c r="AF3737" s="197"/>
      <c r="AG3737" s="197"/>
      <c r="AH3737" s="197"/>
      <c r="AI3737" s="197"/>
      <c r="AJ3737" s="197"/>
      <c r="AK3737" s="197"/>
      <c r="AL3737" s="197"/>
      <c r="AM3737" s="197"/>
      <c r="AN3737" s="197"/>
      <c r="AO3737" s="197"/>
      <c r="AP3737" s="197"/>
      <c r="AQ3737" s="197"/>
      <c r="AR3737" s="197"/>
      <c r="AS3737" s="197"/>
      <c r="AT3737" s="197"/>
      <c r="AU3737" s="197"/>
      <c r="AV3737" s="197"/>
      <c r="AW3737" s="197"/>
    </row>
    <row r="3738" spans="28:49" s="196" customFormat="1">
      <c r="AB3738" s="201"/>
      <c r="AC3738" s="201"/>
      <c r="AD3738" s="197"/>
      <c r="AE3738" s="197"/>
      <c r="AF3738" s="197"/>
      <c r="AG3738" s="197"/>
      <c r="AH3738" s="197"/>
      <c r="AI3738" s="197"/>
      <c r="AJ3738" s="197"/>
      <c r="AK3738" s="197"/>
      <c r="AL3738" s="197"/>
      <c r="AM3738" s="197"/>
      <c r="AN3738" s="197"/>
      <c r="AO3738" s="197"/>
      <c r="AP3738" s="197"/>
      <c r="AQ3738" s="197"/>
      <c r="AR3738" s="197"/>
      <c r="AS3738" s="197"/>
      <c r="AT3738" s="197"/>
      <c r="AU3738" s="197"/>
      <c r="AV3738" s="197"/>
      <c r="AW3738" s="197"/>
    </row>
    <row r="3739" spans="28:49" s="196" customFormat="1">
      <c r="AB3739" s="201"/>
      <c r="AC3739" s="201"/>
      <c r="AD3739" s="197"/>
      <c r="AE3739" s="197"/>
      <c r="AF3739" s="197"/>
      <c r="AG3739" s="197"/>
      <c r="AH3739" s="197"/>
      <c r="AI3739" s="197"/>
      <c r="AJ3739" s="197"/>
      <c r="AK3739" s="197"/>
      <c r="AL3739" s="197"/>
      <c r="AM3739" s="197"/>
      <c r="AN3739" s="197"/>
      <c r="AO3739" s="197"/>
      <c r="AP3739" s="197"/>
      <c r="AQ3739" s="197"/>
      <c r="AR3739" s="197"/>
      <c r="AS3739" s="197"/>
      <c r="AT3739" s="197"/>
      <c r="AU3739" s="197"/>
      <c r="AV3739" s="197"/>
      <c r="AW3739" s="197"/>
    </row>
    <row r="3740" spans="28:49" s="196" customFormat="1">
      <c r="AB3740" s="201"/>
      <c r="AC3740" s="201"/>
      <c r="AD3740" s="197"/>
      <c r="AE3740" s="197"/>
      <c r="AF3740" s="197"/>
      <c r="AG3740" s="197"/>
      <c r="AH3740" s="197"/>
      <c r="AI3740" s="197"/>
      <c r="AJ3740" s="197"/>
      <c r="AK3740" s="197"/>
      <c r="AL3740" s="197"/>
      <c r="AM3740" s="197"/>
      <c r="AN3740" s="197"/>
      <c r="AO3740" s="197"/>
      <c r="AP3740" s="197"/>
      <c r="AQ3740" s="197"/>
      <c r="AR3740" s="197"/>
      <c r="AS3740" s="197"/>
      <c r="AT3740" s="197"/>
      <c r="AU3740" s="197"/>
      <c r="AV3740" s="197"/>
      <c r="AW3740" s="197"/>
    </row>
    <row r="3741" spans="28:49" s="196" customFormat="1">
      <c r="AB3741" s="201"/>
      <c r="AC3741" s="201"/>
      <c r="AD3741" s="197"/>
      <c r="AE3741" s="197"/>
      <c r="AF3741" s="197"/>
      <c r="AG3741" s="197"/>
      <c r="AH3741" s="197"/>
      <c r="AI3741" s="197"/>
      <c r="AJ3741" s="197"/>
      <c r="AK3741" s="197"/>
      <c r="AL3741" s="197"/>
      <c r="AM3741" s="197"/>
      <c r="AN3741" s="197"/>
      <c r="AO3741" s="197"/>
      <c r="AP3741" s="197"/>
      <c r="AQ3741" s="197"/>
      <c r="AR3741" s="197"/>
      <c r="AS3741" s="197"/>
      <c r="AT3741" s="197"/>
      <c r="AU3741" s="197"/>
      <c r="AV3741" s="197"/>
      <c r="AW3741" s="197"/>
    </row>
    <row r="3742" spans="28:49" s="196" customFormat="1">
      <c r="AB3742" s="201"/>
      <c r="AC3742" s="201"/>
      <c r="AD3742" s="197"/>
      <c r="AE3742" s="197"/>
      <c r="AF3742" s="197"/>
      <c r="AG3742" s="197"/>
      <c r="AH3742" s="197"/>
      <c r="AI3742" s="197"/>
      <c r="AJ3742" s="197"/>
      <c r="AK3742" s="197"/>
      <c r="AL3742" s="197"/>
      <c r="AM3742" s="197"/>
      <c r="AN3742" s="197"/>
      <c r="AO3742" s="197"/>
      <c r="AP3742" s="197"/>
      <c r="AQ3742" s="197"/>
      <c r="AR3742" s="197"/>
      <c r="AS3742" s="197"/>
      <c r="AT3742" s="197"/>
      <c r="AU3742" s="197"/>
      <c r="AV3742" s="197"/>
      <c r="AW3742" s="197"/>
    </row>
    <row r="3743" spans="28:49" s="196" customFormat="1">
      <c r="AB3743" s="201"/>
      <c r="AC3743" s="201"/>
      <c r="AD3743" s="197"/>
      <c r="AE3743" s="197"/>
      <c r="AF3743" s="197"/>
      <c r="AG3743" s="197"/>
      <c r="AH3743" s="197"/>
      <c r="AI3743" s="197"/>
      <c r="AJ3743" s="197"/>
      <c r="AK3743" s="197"/>
      <c r="AL3743" s="197"/>
      <c r="AM3743" s="197"/>
      <c r="AN3743" s="197"/>
      <c r="AO3743" s="197"/>
      <c r="AP3743" s="197"/>
      <c r="AQ3743" s="197"/>
      <c r="AR3743" s="197"/>
      <c r="AS3743" s="197"/>
      <c r="AT3743" s="197"/>
      <c r="AU3743" s="197"/>
      <c r="AV3743" s="197"/>
      <c r="AW3743" s="197"/>
    </row>
    <row r="3744" spans="28:49" s="196" customFormat="1">
      <c r="AB3744" s="201"/>
      <c r="AC3744" s="201"/>
      <c r="AD3744" s="197"/>
      <c r="AE3744" s="197"/>
      <c r="AF3744" s="197"/>
      <c r="AG3744" s="197"/>
      <c r="AH3744" s="197"/>
      <c r="AI3744" s="197"/>
      <c r="AJ3744" s="197"/>
      <c r="AK3744" s="197"/>
      <c r="AL3744" s="197"/>
      <c r="AM3744" s="197"/>
      <c r="AN3744" s="197"/>
      <c r="AO3744" s="197"/>
      <c r="AP3744" s="197"/>
      <c r="AQ3744" s="197"/>
      <c r="AR3744" s="197"/>
      <c r="AS3744" s="197"/>
      <c r="AT3744" s="197"/>
      <c r="AU3744" s="197"/>
      <c r="AV3744" s="197"/>
      <c r="AW3744" s="197"/>
    </row>
    <row r="3745" spans="28:49" s="196" customFormat="1">
      <c r="AB3745" s="201"/>
      <c r="AC3745" s="201"/>
      <c r="AD3745" s="197"/>
      <c r="AE3745" s="197"/>
      <c r="AF3745" s="197"/>
      <c r="AG3745" s="197"/>
      <c r="AH3745" s="197"/>
      <c r="AI3745" s="197"/>
      <c r="AJ3745" s="197"/>
      <c r="AK3745" s="197"/>
      <c r="AL3745" s="197"/>
      <c r="AM3745" s="197"/>
      <c r="AN3745" s="197"/>
      <c r="AO3745" s="197"/>
      <c r="AP3745" s="197"/>
      <c r="AQ3745" s="197"/>
      <c r="AR3745" s="197"/>
      <c r="AS3745" s="197"/>
      <c r="AT3745" s="197"/>
      <c r="AU3745" s="197"/>
      <c r="AV3745" s="197"/>
      <c r="AW3745" s="197"/>
    </row>
    <row r="3746" spans="28:49" s="196" customFormat="1">
      <c r="AB3746" s="201"/>
      <c r="AC3746" s="201"/>
      <c r="AD3746" s="197"/>
      <c r="AE3746" s="197"/>
      <c r="AF3746" s="197"/>
      <c r="AG3746" s="197"/>
      <c r="AH3746" s="197"/>
      <c r="AI3746" s="197"/>
      <c r="AJ3746" s="197"/>
      <c r="AK3746" s="197"/>
      <c r="AL3746" s="197"/>
      <c r="AM3746" s="197"/>
      <c r="AN3746" s="197"/>
      <c r="AO3746" s="197"/>
      <c r="AP3746" s="197"/>
      <c r="AQ3746" s="197"/>
      <c r="AR3746" s="197"/>
      <c r="AS3746" s="197"/>
      <c r="AT3746" s="197"/>
      <c r="AU3746" s="197"/>
      <c r="AV3746" s="197"/>
      <c r="AW3746" s="197"/>
    </row>
    <row r="3747" spans="28:49" s="196" customFormat="1">
      <c r="AB3747" s="201"/>
      <c r="AC3747" s="201"/>
      <c r="AD3747" s="197"/>
      <c r="AE3747" s="197"/>
      <c r="AF3747" s="197"/>
      <c r="AG3747" s="197"/>
      <c r="AH3747" s="197"/>
      <c r="AI3747" s="197"/>
      <c r="AJ3747" s="197"/>
      <c r="AK3747" s="197"/>
      <c r="AL3747" s="197"/>
      <c r="AM3747" s="197"/>
      <c r="AN3747" s="197"/>
      <c r="AO3747" s="197"/>
      <c r="AP3747" s="197"/>
      <c r="AQ3747" s="197"/>
      <c r="AR3747" s="197"/>
      <c r="AS3747" s="197"/>
      <c r="AT3747" s="197"/>
      <c r="AU3747" s="197"/>
      <c r="AV3747" s="197"/>
      <c r="AW3747" s="197"/>
    </row>
    <row r="3748" spans="28:49" s="196" customFormat="1">
      <c r="AB3748" s="201"/>
      <c r="AC3748" s="201"/>
      <c r="AD3748" s="197"/>
      <c r="AE3748" s="197"/>
      <c r="AF3748" s="197"/>
      <c r="AG3748" s="197"/>
      <c r="AH3748" s="197"/>
      <c r="AI3748" s="197"/>
      <c r="AJ3748" s="197"/>
      <c r="AK3748" s="197"/>
      <c r="AL3748" s="197"/>
      <c r="AM3748" s="197"/>
      <c r="AN3748" s="197"/>
      <c r="AO3748" s="197"/>
      <c r="AP3748" s="197"/>
      <c r="AQ3748" s="197"/>
      <c r="AR3748" s="197"/>
      <c r="AS3748" s="197"/>
      <c r="AT3748" s="197"/>
      <c r="AU3748" s="197"/>
      <c r="AV3748" s="197"/>
      <c r="AW3748" s="197"/>
    </row>
    <row r="3749" spans="28:49" s="196" customFormat="1">
      <c r="AB3749" s="201"/>
      <c r="AC3749" s="201"/>
      <c r="AD3749" s="197"/>
      <c r="AE3749" s="197"/>
      <c r="AF3749" s="197"/>
      <c r="AG3749" s="197"/>
      <c r="AH3749" s="197"/>
      <c r="AI3749" s="197"/>
      <c r="AJ3749" s="197"/>
      <c r="AK3749" s="197"/>
      <c r="AL3749" s="197"/>
      <c r="AM3749" s="197"/>
      <c r="AN3749" s="197"/>
      <c r="AO3749" s="197"/>
      <c r="AP3749" s="197"/>
      <c r="AQ3749" s="197"/>
      <c r="AR3749" s="197"/>
      <c r="AS3749" s="197"/>
      <c r="AT3749" s="197"/>
      <c r="AU3749" s="197"/>
      <c r="AV3749" s="197"/>
      <c r="AW3749" s="197"/>
    </row>
    <row r="3750" spans="28:49" s="196" customFormat="1">
      <c r="AB3750" s="201"/>
      <c r="AC3750" s="201"/>
      <c r="AD3750" s="197"/>
      <c r="AE3750" s="197"/>
      <c r="AF3750" s="197"/>
      <c r="AG3750" s="197"/>
      <c r="AH3750" s="197"/>
      <c r="AI3750" s="197"/>
      <c r="AJ3750" s="197"/>
      <c r="AK3750" s="197"/>
      <c r="AL3750" s="197"/>
      <c r="AM3750" s="197"/>
      <c r="AN3750" s="197"/>
      <c r="AO3750" s="197"/>
      <c r="AP3750" s="197"/>
      <c r="AQ3750" s="197"/>
      <c r="AR3750" s="197"/>
      <c r="AS3750" s="197"/>
      <c r="AT3750" s="197"/>
      <c r="AU3750" s="197"/>
      <c r="AV3750" s="197"/>
      <c r="AW3750" s="197"/>
    </row>
    <row r="3751" spans="28:49" s="196" customFormat="1">
      <c r="AB3751" s="201"/>
      <c r="AC3751" s="201"/>
      <c r="AD3751" s="197"/>
      <c r="AE3751" s="197"/>
      <c r="AF3751" s="197"/>
      <c r="AG3751" s="197"/>
      <c r="AH3751" s="197"/>
      <c r="AI3751" s="197"/>
      <c r="AJ3751" s="197"/>
      <c r="AK3751" s="197"/>
      <c r="AL3751" s="197"/>
      <c r="AM3751" s="197"/>
      <c r="AN3751" s="197"/>
      <c r="AO3751" s="197"/>
      <c r="AP3751" s="197"/>
      <c r="AQ3751" s="197"/>
      <c r="AR3751" s="197"/>
      <c r="AS3751" s="197"/>
      <c r="AT3751" s="197"/>
      <c r="AU3751" s="197"/>
      <c r="AV3751" s="197"/>
      <c r="AW3751" s="197"/>
    </row>
    <row r="3752" spans="28:49" s="196" customFormat="1">
      <c r="AB3752" s="201"/>
      <c r="AC3752" s="201"/>
      <c r="AD3752" s="197"/>
      <c r="AE3752" s="197"/>
      <c r="AF3752" s="197"/>
      <c r="AG3752" s="197"/>
      <c r="AH3752" s="197"/>
      <c r="AI3752" s="197"/>
      <c r="AJ3752" s="197"/>
      <c r="AK3752" s="197"/>
      <c r="AL3752" s="197"/>
      <c r="AM3752" s="197"/>
      <c r="AN3752" s="197"/>
      <c r="AO3752" s="197"/>
      <c r="AP3752" s="197"/>
      <c r="AQ3752" s="197"/>
      <c r="AR3752" s="197"/>
      <c r="AS3752" s="197"/>
      <c r="AT3752" s="197"/>
      <c r="AU3752" s="197"/>
      <c r="AV3752" s="197"/>
      <c r="AW3752" s="197"/>
    </row>
    <row r="3753" spans="28:49" s="196" customFormat="1">
      <c r="AB3753" s="201"/>
      <c r="AC3753" s="201"/>
      <c r="AD3753" s="197"/>
      <c r="AE3753" s="197"/>
      <c r="AF3753" s="197"/>
      <c r="AG3753" s="197"/>
      <c r="AH3753" s="197"/>
      <c r="AI3753" s="197"/>
      <c r="AJ3753" s="197"/>
      <c r="AK3753" s="197"/>
      <c r="AL3753" s="197"/>
      <c r="AM3753" s="197"/>
      <c r="AN3753" s="197"/>
      <c r="AO3753" s="197"/>
      <c r="AP3753" s="197"/>
      <c r="AQ3753" s="197"/>
      <c r="AR3753" s="197"/>
      <c r="AS3753" s="197"/>
      <c r="AT3753" s="197"/>
      <c r="AU3753" s="197"/>
      <c r="AV3753" s="197"/>
      <c r="AW3753" s="197"/>
    </row>
    <row r="3754" spans="28:49" s="196" customFormat="1">
      <c r="AB3754" s="201"/>
      <c r="AC3754" s="201"/>
      <c r="AD3754" s="197"/>
      <c r="AE3754" s="197"/>
      <c r="AF3754" s="197"/>
      <c r="AG3754" s="197"/>
      <c r="AH3754" s="197"/>
      <c r="AI3754" s="197"/>
      <c r="AJ3754" s="197"/>
      <c r="AK3754" s="197"/>
      <c r="AL3754" s="197"/>
      <c r="AM3754" s="197"/>
      <c r="AN3754" s="197"/>
      <c r="AO3754" s="197"/>
      <c r="AP3754" s="197"/>
      <c r="AQ3754" s="197"/>
      <c r="AR3754" s="197"/>
      <c r="AS3754" s="197"/>
      <c r="AT3754" s="197"/>
      <c r="AU3754" s="197"/>
      <c r="AV3754" s="197"/>
      <c r="AW3754" s="197"/>
    </row>
    <row r="3755" spans="28:49" s="196" customFormat="1">
      <c r="AB3755" s="201"/>
      <c r="AC3755" s="201"/>
      <c r="AD3755" s="197"/>
      <c r="AE3755" s="197"/>
      <c r="AF3755" s="197"/>
      <c r="AG3755" s="197"/>
      <c r="AH3755" s="197"/>
      <c r="AI3755" s="197"/>
      <c r="AJ3755" s="197"/>
      <c r="AK3755" s="197"/>
      <c r="AL3755" s="197"/>
      <c r="AM3755" s="197"/>
      <c r="AN3755" s="197"/>
      <c r="AO3755" s="197"/>
      <c r="AP3755" s="197"/>
      <c r="AQ3755" s="197"/>
      <c r="AR3755" s="197"/>
      <c r="AS3755" s="197"/>
      <c r="AT3755" s="197"/>
      <c r="AU3755" s="197"/>
      <c r="AV3755" s="197"/>
      <c r="AW3755" s="197"/>
    </row>
    <row r="3756" spans="28:49" s="196" customFormat="1">
      <c r="AB3756" s="201"/>
      <c r="AC3756" s="201"/>
      <c r="AD3756" s="197"/>
      <c r="AE3756" s="197"/>
      <c r="AF3756" s="197"/>
      <c r="AG3756" s="197"/>
      <c r="AH3756" s="197"/>
      <c r="AI3756" s="197"/>
      <c r="AJ3756" s="197"/>
      <c r="AK3756" s="197"/>
      <c r="AL3756" s="197"/>
      <c r="AM3756" s="197"/>
      <c r="AN3756" s="197"/>
      <c r="AO3756" s="197"/>
      <c r="AP3756" s="197"/>
      <c r="AQ3756" s="197"/>
      <c r="AR3756" s="197"/>
      <c r="AS3756" s="197"/>
      <c r="AT3756" s="197"/>
      <c r="AU3756" s="197"/>
      <c r="AV3756" s="197"/>
      <c r="AW3756" s="197"/>
    </row>
    <row r="3757" spans="28:49" s="196" customFormat="1">
      <c r="AB3757" s="201"/>
      <c r="AC3757" s="201"/>
      <c r="AD3757" s="197"/>
      <c r="AE3757" s="197"/>
      <c r="AF3757" s="197"/>
      <c r="AG3757" s="197"/>
      <c r="AH3757" s="197"/>
      <c r="AI3757" s="197"/>
      <c r="AJ3757" s="197"/>
      <c r="AK3757" s="197"/>
      <c r="AL3757" s="197"/>
      <c r="AM3757" s="197"/>
      <c r="AN3757" s="197"/>
      <c r="AO3757" s="197"/>
      <c r="AP3757" s="197"/>
      <c r="AQ3757" s="197"/>
      <c r="AR3757" s="197"/>
      <c r="AS3757" s="197"/>
      <c r="AT3757" s="197"/>
      <c r="AU3757" s="197"/>
      <c r="AV3757" s="197"/>
      <c r="AW3757" s="197"/>
    </row>
    <row r="3758" spans="28:49" s="196" customFormat="1">
      <c r="AB3758" s="201"/>
      <c r="AC3758" s="201"/>
      <c r="AD3758" s="197"/>
      <c r="AE3758" s="197"/>
      <c r="AF3758" s="197"/>
      <c r="AG3758" s="197"/>
      <c r="AH3758" s="197"/>
      <c r="AI3758" s="197"/>
      <c r="AJ3758" s="197"/>
      <c r="AK3758" s="197"/>
      <c r="AL3758" s="197"/>
      <c r="AM3758" s="197"/>
      <c r="AN3758" s="197"/>
      <c r="AO3758" s="197"/>
      <c r="AP3758" s="197"/>
      <c r="AQ3758" s="197"/>
      <c r="AR3758" s="197"/>
      <c r="AS3758" s="197"/>
      <c r="AT3758" s="197"/>
      <c r="AU3758" s="197"/>
      <c r="AV3758" s="197"/>
      <c r="AW3758" s="197"/>
    </row>
    <row r="3759" spans="28:49" s="196" customFormat="1">
      <c r="AB3759" s="201"/>
      <c r="AC3759" s="201"/>
      <c r="AD3759" s="197"/>
      <c r="AE3759" s="197"/>
      <c r="AF3759" s="197"/>
      <c r="AG3759" s="197"/>
      <c r="AH3759" s="197"/>
      <c r="AI3759" s="197"/>
      <c r="AJ3759" s="197"/>
      <c r="AK3759" s="197"/>
      <c r="AL3759" s="197"/>
      <c r="AM3759" s="197"/>
      <c r="AN3759" s="197"/>
      <c r="AO3759" s="197"/>
      <c r="AP3759" s="197"/>
      <c r="AQ3759" s="197"/>
      <c r="AR3759" s="197"/>
      <c r="AS3759" s="197"/>
      <c r="AT3759" s="197"/>
      <c r="AU3759" s="197"/>
      <c r="AV3759" s="197"/>
      <c r="AW3759" s="197"/>
    </row>
    <row r="3760" spans="28:49" s="196" customFormat="1">
      <c r="AB3760" s="201"/>
      <c r="AC3760" s="201"/>
      <c r="AD3760" s="197"/>
      <c r="AE3760" s="197"/>
      <c r="AF3760" s="197"/>
      <c r="AG3760" s="197"/>
      <c r="AH3760" s="197"/>
      <c r="AI3760" s="197"/>
      <c r="AJ3760" s="197"/>
      <c r="AK3760" s="197"/>
      <c r="AL3760" s="197"/>
      <c r="AM3760" s="197"/>
      <c r="AN3760" s="197"/>
      <c r="AO3760" s="197"/>
      <c r="AP3760" s="197"/>
      <c r="AQ3760" s="197"/>
      <c r="AR3760" s="197"/>
      <c r="AS3760" s="197"/>
      <c r="AT3760" s="197"/>
      <c r="AU3760" s="197"/>
      <c r="AV3760" s="197"/>
      <c r="AW3760" s="197"/>
    </row>
    <row r="3761" spans="28:49" s="196" customFormat="1">
      <c r="AB3761" s="201"/>
      <c r="AC3761" s="201"/>
      <c r="AD3761" s="197"/>
      <c r="AE3761" s="197"/>
      <c r="AF3761" s="197"/>
      <c r="AG3761" s="197"/>
      <c r="AH3761" s="197"/>
      <c r="AI3761" s="197"/>
      <c r="AJ3761" s="197"/>
      <c r="AK3761" s="197"/>
      <c r="AL3761" s="197"/>
      <c r="AM3761" s="197"/>
      <c r="AN3761" s="197"/>
      <c r="AO3761" s="197"/>
      <c r="AP3761" s="197"/>
      <c r="AQ3761" s="197"/>
      <c r="AR3761" s="197"/>
      <c r="AS3761" s="197"/>
      <c r="AT3761" s="197"/>
      <c r="AU3761" s="197"/>
      <c r="AV3761" s="197"/>
      <c r="AW3761" s="197"/>
    </row>
    <row r="3762" spans="28:49" s="196" customFormat="1">
      <c r="AB3762" s="201"/>
      <c r="AC3762" s="201"/>
      <c r="AD3762" s="197"/>
      <c r="AE3762" s="197"/>
      <c r="AF3762" s="197"/>
      <c r="AG3762" s="197"/>
      <c r="AH3762" s="197"/>
      <c r="AI3762" s="197"/>
      <c r="AJ3762" s="197"/>
      <c r="AK3762" s="197"/>
      <c r="AL3762" s="197"/>
      <c r="AM3762" s="197"/>
      <c r="AN3762" s="197"/>
      <c r="AO3762" s="197"/>
      <c r="AP3762" s="197"/>
      <c r="AQ3762" s="197"/>
      <c r="AR3762" s="197"/>
      <c r="AS3762" s="197"/>
      <c r="AT3762" s="197"/>
      <c r="AU3762" s="197"/>
      <c r="AV3762" s="197"/>
      <c r="AW3762" s="197"/>
    </row>
    <row r="3763" spans="28:49" s="196" customFormat="1">
      <c r="AB3763" s="201"/>
      <c r="AC3763" s="201"/>
      <c r="AD3763" s="197"/>
      <c r="AE3763" s="197"/>
      <c r="AF3763" s="197"/>
      <c r="AG3763" s="197"/>
      <c r="AH3763" s="197"/>
      <c r="AI3763" s="197"/>
      <c r="AJ3763" s="197"/>
      <c r="AK3763" s="197"/>
      <c r="AL3763" s="197"/>
      <c r="AM3763" s="197"/>
      <c r="AN3763" s="197"/>
      <c r="AO3763" s="197"/>
      <c r="AP3763" s="197"/>
      <c r="AQ3763" s="197"/>
      <c r="AR3763" s="197"/>
      <c r="AS3763" s="197"/>
      <c r="AT3763" s="197"/>
      <c r="AU3763" s="197"/>
      <c r="AV3763" s="197"/>
      <c r="AW3763" s="197"/>
    </row>
    <row r="3764" spans="28:49" s="196" customFormat="1">
      <c r="AB3764" s="201"/>
      <c r="AC3764" s="201"/>
      <c r="AD3764" s="197"/>
      <c r="AE3764" s="197"/>
      <c r="AF3764" s="197"/>
      <c r="AG3764" s="197"/>
      <c r="AH3764" s="197"/>
      <c r="AI3764" s="197"/>
      <c r="AJ3764" s="197"/>
      <c r="AK3764" s="197"/>
      <c r="AL3764" s="197"/>
      <c r="AM3764" s="197"/>
      <c r="AN3764" s="197"/>
      <c r="AO3764" s="197"/>
      <c r="AP3764" s="197"/>
      <c r="AQ3764" s="197"/>
      <c r="AR3764" s="197"/>
      <c r="AS3764" s="197"/>
      <c r="AT3764" s="197"/>
      <c r="AU3764" s="197"/>
      <c r="AV3764" s="197"/>
      <c r="AW3764" s="197"/>
    </row>
    <row r="3765" spans="28:49" s="196" customFormat="1">
      <c r="AB3765" s="201"/>
      <c r="AC3765" s="201"/>
      <c r="AD3765" s="197"/>
      <c r="AE3765" s="197"/>
      <c r="AF3765" s="197"/>
      <c r="AG3765" s="197"/>
      <c r="AH3765" s="197"/>
      <c r="AI3765" s="197"/>
      <c r="AJ3765" s="197"/>
      <c r="AK3765" s="197"/>
      <c r="AL3765" s="197"/>
      <c r="AM3765" s="197"/>
      <c r="AN3765" s="197"/>
      <c r="AO3765" s="197"/>
      <c r="AP3765" s="197"/>
      <c r="AQ3765" s="197"/>
      <c r="AR3765" s="197"/>
      <c r="AS3765" s="197"/>
      <c r="AT3765" s="197"/>
      <c r="AU3765" s="197"/>
      <c r="AV3765" s="197"/>
      <c r="AW3765" s="197"/>
    </row>
    <row r="3766" spans="28:49" s="196" customFormat="1">
      <c r="AB3766" s="201"/>
      <c r="AC3766" s="201"/>
      <c r="AD3766" s="197"/>
      <c r="AE3766" s="197"/>
      <c r="AF3766" s="197"/>
      <c r="AG3766" s="197"/>
      <c r="AH3766" s="197"/>
      <c r="AI3766" s="197"/>
      <c r="AJ3766" s="197"/>
      <c r="AK3766" s="197"/>
      <c r="AL3766" s="197"/>
      <c r="AM3766" s="197"/>
      <c r="AN3766" s="197"/>
      <c r="AO3766" s="197"/>
      <c r="AP3766" s="197"/>
      <c r="AQ3766" s="197"/>
      <c r="AR3766" s="197"/>
      <c r="AS3766" s="197"/>
      <c r="AT3766" s="197"/>
      <c r="AU3766" s="197"/>
      <c r="AV3766" s="197"/>
      <c r="AW3766" s="197"/>
    </row>
    <row r="3767" spans="28:49" s="196" customFormat="1">
      <c r="AB3767" s="201"/>
      <c r="AC3767" s="201"/>
      <c r="AD3767" s="197"/>
      <c r="AE3767" s="197"/>
      <c r="AF3767" s="197"/>
      <c r="AG3767" s="197"/>
      <c r="AH3767" s="197"/>
      <c r="AI3767" s="197"/>
      <c r="AJ3767" s="197"/>
      <c r="AK3767" s="197"/>
      <c r="AL3767" s="197"/>
      <c r="AM3767" s="197"/>
      <c r="AN3767" s="197"/>
      <c r="AO3767" s="197"/>
      <c r="AP3767" s="197"/>
      <c r="AQ3767" s="197"/>
      <c r="AR3767" s="197"/>
      <c r="AS3767" s="197"/>
      <c r="AT3767" s="197"/>
      <c r="AU3767" s="197"/>
      <c r="AV3767" s="197"/>
      <c r="AW3767" s="197"/>
    </row>
    <row r="3768" spans="28:49" s="196" customFormat="1">
      <c r="AB3768" s="201"/>
      <c r="AC3768" s="201"/>
      <c r="AD3768" s="197"/>
      <c r="AE3768" s="197"/>
      <c r="AF3768" s="197"/>
      <c r="AG3768" s="197"/>
      <c r="AH3768" s="197"/>
      <c r="AI3768" s="197"/>
      <c r="AJ3768" s="197"/>
      <c r="AK3768" s="197"/>
      <c r="AL3768" s="197"/>
      <c r="AM3768" s="197"/>
      <c r="AN3768" s="197"/>
      <c r="AO3768" s="197"/>
      <c r="AP3768" s="197"/>
      <c r="AQ3768" s="197"/>
      <c r="AR3768" s="197"/>
      <c r="AS3768" s="197"/>
      <c r="AT3768" s="197"/>
      <c r="AU3768" s="197"/>
      <c r="AV3768" s="197"/>
      <c r="AW3768" s="197"/>
    </row>
    <row r="3769" spans="28:49" s="196" customFormat="1">
      <c r="AB3769" s="201"/>
      <c r="AC3769" s="201"/>
      <c r="AD3769" s="197"/>
      <c r="AE3769" s="197"/>
      <c r="AF3769" s="197"/>
      <c r="AG3769" s="197"/>
      <c r="AH3769" s="197"/>
      <c r="AI3769" s="197"/>
      <c r="AJ3769" s="197"/>
      <c r="AK3769" s="197"/>
      <c r="AL3769" s="197"/>
      <c r="AM3769" s="197"/>
      <c r="AN3769" s="197"/>
      <c r="AO3769" s="197"/>
      <c r="AP3769" s="197"/>
      <c r="AQ3769" s="197"/>
      <c r="AR3769" s="197"/>
      <c r="AS3769" s="197"/>
      <c r="AT3769" s="197"/>
      <c r="AU3769" s="197"/>
      <c r="AV3769" s="197"/>
      <c r="AW3769" s="197"/>
    </row>
    <row r="3770" spans="28:49" s="196" customFormat="1">
      <c r="AB3770" s="201"/>
      <c r="AC3770" s="201"/>
      <c r="AD3770" s="197"/>
      <c r="AE3770" s="197"/>
      <c r="AF3770" s="197"/>
      <c r="AG3770" s="197"/>
      <c r="AH3770" s="197"/>
      <c r="AI3770" s="197"/>
      <c r="AJ3770" s="197"/>
      <c r="AK3770" s="197"/>
      <c r="AL3770" s="197"/>
      <c r="AM3770" s="197"/>
      <c r="AN3770" s="197"/>
      <c r="AO3770" s="197"/>
      <c r="AP3770" s="197"/>
      <c r="AQ3770" s="197"/>
      <c r="AR3770" s="197"/>
      <c r="AS3770" s="197"/>
      <c r="AT3770" s="197"/>
      <c r="AU3770" s="197"/>
      <c r="AV3770" s="197"/>
      <c r="AW3770" s="197"/>
    </row>
    <row r="3771" spans="28:49" s="196" customFormat="1">
      <c r="AB3771" s="201"/>
      <c r="AC3771" s="201"/>
      <c r="AD3771" s="197"/>
      <c r="AE3771" s="197"/>
      <c r="AF3771" s="197"/>
      <c r="AG3771" s="197"/>
      <c r="AH3771" s="197"/>
      <c r="AI3771" s="197"/>
      <c r="AJ3771" s="197"/>
      <c r="AK3771" s="197"/>
      <c r="AL3771" s="197"/>
      <c r="AM3771" s="197"/>
      <c r="AN3771" s="197"/>
      <c r="AO3771" s="197"/>
      <c r="AP3771" s="197"/>
      <c r="AQ3771" s="197"/>
      <c r="AR3771" s="197"/>
      <c r="AS3771" s="197"/>
      <c r="AT3771" s="197"/>
      <c r="AU3771" s="197"/>
      <c r="AV3771" s="197"/>
      <c r="AW3771" s="197"/>
    </row>
    <row r="3772" spans="28:49" s="196" customFormat="1">
      <c r="AB3772" s="201"/>
      <c r="AC3772" s="201"/>
      <c r="AD3772" s="197"/>
      <c r="AE3772" s="197"/>
      <c r="AF3772" s="197"/>
      <c r="AG3772" s="197"/>
      <c r="AH3772" s="197"/>
      <c r="AI3772" s="197"/>
      <c r="AJ3772" s="197"/>
      <c r="AK3772" s="197"/>
      <c r="AL3772" s="197"/>
      <c r="AM3772" s="197"/>
      <c r="AN3772" s="197"/>
      <c r="AO3772" s="197"/>
      <c r="AP3772" s="197"/>
      <c r="AQ3772" s="197"/>
      <c r="AR3772" s="197"/>
      <c r="AS3772" s="197"/>
      <c r="AT3772" s="197"/>
      <c r="AU3772" s="197"/>
      <c r="AV3772" s="197"/>
      <c r="AW3772" s="197"/>
    </row>
    <row r="3773" spans="28:49" s="196" customFormat="1">
      <c r="AB3773" s="201"/>
      <c r="AC3773" s="201"/>
      <c r="AD3773" s="197"/>
      <c r="AE3773" s="197"/>
      <c r="AF3773" s="197"/>
      <c r="AG3773" s="197"/>
      <c r="AH3773" s="197"/>
      <c r="AI3773" s="197"/>
      <c r="AJ3773" s="197"/>
      <c r="AK3773" s="197"/>
      <c r="AL3773" s="197"/>
      <c r="AM3773" s="197"/>
      <c r="AN3773" s="197"/>
      <c r="AO3773" s="197"/>
      <c r="AP3773" s="197"/>
      <c r="AQ3773" s="197"/>
      <c r="AR3773" s="197"/>
      <c r="AS3773" s="197"/>
      <c r="AT3773" s="197"/>
      <c r="AU3773" s="197"/>
      <c r="AV3773" s="197"/>
      <c r="AW3773" s="197"/>
    </row>
    <row r="3774" spans="28:49" s="196" customFormat="1">
      <c r="AB3774" s="201"/>
      <c r="AC3774" s="201"/>
      <c r="AD3774" s="197"/>
      <c r="AE3774" s="197"/>
      <c r="AF3774" s="197"/>
      <c r="AG3774" s="197"/>
      <c r="AH3774" s="197"/>
      <c r="AI3774" s="197"/>
      <c r="AJ3774" s="197"/>
      <c r="AK3774" s="197"/>
      <c r="AL3774" s="197"/>
      <c r="AM3774" s="197"/>
      <c r="AN3774" s="197"/>
      <c r="AO3774" s="197"/>
      <c r="AP3774" s="197"/>
      <c r="AQ3774" s="197"/>
      <c r="AR3774" s="197"/>
      <c r="AS3774" s="197"/>
      <c r="AT3774" s="197"/>
      <c r="AU3774" s="197"/>
      <c r="AV3774" s="197"/>
      <c r="AW3774" s="197"/>
    </row>
    <row r="3775" spans="28:49" s="196" customFormat="1">
      <c r="AB3775" s="201"/>
      <c r="AC3775" s="201"/>
      <c r="AD3775" s="197"/>
      <c r="AE3775" s="197"/>
      <c r="AF3775" s="197"/>
      <c r="AG3775" s="197"/>
      <c r="AH3775" s="197"/>
      <c r="AI3775" s="197"/>
      <c r="AJ3775" s="197"/>
      <c r="AK3775" s="197"/>
      <c r="AL3775" s="197"/>
      <c r="AM3775" s="197"/>
      <c r="AN3775" s="197"/>
      <c r="AO3775" s="197"/>
      <c r="AP3775" s="197"/>
      <c r="AQ3775" s="197"/>
      <c r="AR3775" s="197"/>
      <c r="AS3775" s="197"/>
      <c r="AT3775" s="197"/>
      <c r="AU3775" s="197"/>
      <c r="AV3775" s="197"/>
      <c r="AW3775" s="197"/>
    </row>
    <row r="3776" spans="28:49" s="196" customFormat="1">
      <c r="AB3776" s="201"/>
      <c r="AC3776" s="201"/>
      <c r="AD3776" s="197"/>
      <c r="AE3776" s="197"/>
      <c r="AF3776" s="197"/>
      <c r="AG3776" s="197"/>
      <c r="AH3776" s="197"/>
      <c r="AI3776" s="197"/>
      <c r="AJ3776" s="197"/>
      <c r="AK3776" s="197"/>
      <c r="AL3776" s="197"/>
      <c r="AM3776" s="197"/>
      <c r="AN3776" s="197"/>
      <c r="AO3776" s="197"/>
      <c r="AP3776" s="197"/>
      <c r="AQ3776" s="197"/>
      <c r="AR3776" s="197"/>
      <c r="AS3776" s="197"/>
      <c r="AT3776" s="197"/>
      <c r="AU3776" s="197"/>
      <c r="AV3776" s="197"/>
      <c r="AW3776" s="197"/>
    </row>
    <row r="3777" spans="28:49" s="196" customFormat="1">
      <c r="AB3777" s="201"/>
      <c r="AC3777" s="201"/>
      <c r="AD3777" s="197"/>
      <c r="AE3777" s="197"/>
      <c r="AF3777" s="197"/>
      <c r="AG3777" s="197"/>
      <c r="AH3777" s="197"/>
      <c r="AI3777" s="197"/>
      <c r="AJ3777" s="197"/>
      <c r="AK3777" s="197"/>
      <c r="AL3777" s="197"/>
      <c r="AM3777" s="197"/>
      <c r="AN3777" s="197"/>
      <c r="AO3777" s="197"/>
      <c r="AP3777" s="197"/>
      <c r="AQ3777" s="197"/>
      <c r="AR3777" s="197"/>
      <c r="AS3777" s="197"/>
      <c r="AT3777" s="197"/>
      <c r="AU3777" s="197"/>
      <c r="AV3777" s="197"/>
      <c r="AW3777" s="197"/>
    </row>
    <row r="3778" spans="28:49" s="196" customFormat="1">
      <c r="AB3778" s="201"/>
      <c r="AC3778" s="201"/>
      <c r="AD3778" s="197"/>
      <c r="AE3778" s="197"/>
      <c r="AF3778" s="197"/>
      <c r="AG3778" s="197"/>
      <c r="AH3778" s="197"/>
      <c r="AI3778" s="197"/>
      <c r="AJ3778" s="197"/>
      <c r="AK3778" s="197"/>
      <c r="AL3778" s="197"/>
      <c r="AM3778" s="197"/>
      <c r="AN3778" s="197"/>
      <c r="AO3778" s="197"/>
      <c r="AP3778" s="197"/>
      <c r="AQ3778" s="197"/>
      <c r="AR3778" s="197"/>
      <c r="AS3778" s="197"/>
      <c r="AT3778" s="197"/>
      <c r="AU3778" s="197"/>
      <c r="AV3778" s="197"/>
      <c r="AW3778" s="197"/>
    </row>
    <row r="3779" spans="28:49" s="196" customFormat="1">
      <c r="AB3779" s="201"/>
      <c r="AC3779" s="201"/>
      <c r="AD3779" s="197"/>
      <c r="AE3779" s="197"/>
      <c r="AF3779" s="197"/>
      <c r="AG3779" s="197"/>
      <c r="AH3779" s="197"/>
      <c r="AI3779" s="197"/>
      <c r="AJ3779" s="197"/>
      <c r="AK3779" s="197"/>
      <c r="AL3779" s="197"/>
      <c r="AM3779" s="197"/>
      <c r="AN3779" s="197"/>
      <c r="AO3779" s="197"/>
      <c r="AP3779" s="197"/>
      <c r="AQ3779" s="197"/>
      <c r="AR3779" s="197"/>
      <c r="AS3779" s="197"/>
      <c r="AT3779" s="197"/>
      <c r="AU3779" s="197"/>
      <c r="AV3779" s="197"/>
      <c r="AW3779" s="197"/>
    </row>
    <row r="3780" spans="28:49" s="196" customFormat="1">
      <c r="AB3780" s="201"/>
      <c r="AC3780" s="201"/>
      <c r="AD3780" s="197"/>
      <c r="AE3780" s="197"/>
      <c r="AF3780" s="197"/>
      <c r="AG3780" s="197"/>
      <c r="AH3780" s="197"/>
      <c r="AI3780" s="197"/>
      <c r="AJ3780" s="197"/>
      <c r="AK3780" s="197"/>
      <c r="AL3780" s="197"/>
      <c r="AM3780" s="197"/>
      <c r="AN3780" s="197"/>
      <c r="AO3780" s="197"/>
      <c r="AP3780" s="197"/>
      <c r="AQ3780" s="197"/>
      <c r="AR3780" s="197"/>
      <c r="AS3780" s="197"/>
      <c r="AT3780" s="197"/>
      <c r="AU3780" s="197"/>
      <c r="AV3780" s="197"/>
      <c r="AW3780" s="197"/>
    </row>
    <row r="3781" spans="28:49" s="196" customFormat="1">
      <c r="AB3781" s="201"/>
      <c r="AC3781" s="201"/>
      <c r="AD3781" s="197"/>
      <c r="AE3781" s="197"/>
      <c r="AF3781" s="197"/>
      <c r="AG3781" s="197"/>
      <c r="AH3781" s="197"/>
      <c r="AI3781" s="197"/>
      <c r="AJ3781" s="197"/>
      <c r="AK3781" s="197"/>
      <c r="AL3781" s="197"/>
      <c r="AM3781" s="197"/>
      <c r="AN3781" s="197"/>
      <c r="AO3781" s="197"/>
      <c r="AP3781" s="197"/>
      <c r="AQ3781" s="197"/>
      <c r="AR3781" s="197"/>
      <c r="AS3781" s="197"/>
      <c r="AT3781" s="197"/>
      <c r="AU3781" s="197"/>
      <c r="AV3781" s="197"/>
      <c r="AW3781" s="197"/>
    </row>
    <row r="3782" spans="28:49" s="196" customFormat="1">
      <c r="AB3782" s="201"/>
      <c r="AC3782" s="201"/>
      <c r="AD3782" s="197"/>
      <c r="AE3782" s="197"/>
      <c r="AF3782" s="197"/>
      <c r="AG3782" s="197"/>
      <c r="AH3782" s="197"/>
      <c r="AI3782" s="197"/>
      <c r="AJ3782" s="197"/>
      <c r="AK3782" s="197"/>
      <c r="AL3782" s="197"/>
      <c r="AM3782" s="197"/>
      <c r="AN3782" s="197"/>
      <c r="AO3782" s="197"/>
      <c r="AP3782" s="197"/>
      <c r="AQ3782" s="197"/>
      <c r="AR3782" s="197"/>
      <c r="AS3782" s="197"/>
      <c r="AT3782" s="197"/>
      <c r="AU3782" s="197"/>
      <c r="AV3782" s="197"/>
      <c r="AW3782" s="197"/>
    </row>
    <row r="3783" spans="28:49" s="196" customFormat="1">
      <c r="AB3783" s="201"/>
      <c r="AC3783" s="201"/>
      <c r="AD3783" s="197"/>
      <c r="AE3783" s="197"/>
      <c r="AF3783" s="197"/>
      <c r="AG3783" s="197"/>
      <c r="AH3783" s="197"/>
      <c r="AI3783" s="197"/>
      <c r="AJ3783" s="197"/>
      <c r="AK3783" s="197"/>
      <c r="AL3783" s="197"/>
      <c r="AM3783" s="197"/>
      <c r="AN3783" s="197"/>
      <c r="AO3783" s="197"/>
      <c r="AP3783" s="197"/>
      <c r="AQ3783" s="197"/>
      <c r="AR3783" s="197"/>
      <c r="AS3783" s="197"/>
      <c r="AT3783" s="197"/>
      <c r="AU3783" s="197"/>
      <c r="AV3783" s="197"/>
      <c r="AW3783" s="197"/>
    </row>
    <row r="3784" spans="28:49" s="196" customFormat="1">
      <c r="AB3784" s="201"/>
      <c r="AC3784" s="201"/>
      <c r="AD3784" s="197"/>
      <c r="AE3784" s="197"/>
      <c r="AF3784" s="197"/>
      <c r="AG3784" s="197"/>
      <c r="AH3784" s="197"/>
      <c r="AI3784" s="197"/>
      <c r="AJ3784" s="197"/>
      <c r="AK3784" s="197"/>
      <c r="AL3784" s="197"/>
      <c r="AM3784" s="197"/>
      <c r="AN3784" s="197"/>
      <c r="AO3784" s="197"/>
      <c r="AP3784" s="197"/>
      <c r="AQ3784" s="197"/>
      <c r="AR3784" s="197"/>
      <c r="AS3784" s="197"/>
      <c r="AT3784" s="197"/>
      <c r="AU3784" s="197"/>
      <c r="AV3784" s="197"/>
      <c r="AW3784" s="197"/>
    </row>
    <row r="3785" spans="28:49" s="196" customFormat="1">
      <c r="AB3785" s="201"/>
      <c r="AC3785" s="201"/>
      <c r="AD3785" s="197"/>
      <c r="AE3785" s="197"/>
      <c r="AF3785" s="197"/>
      <c r="AG3785" s="197"/>
      <c r="AH3785" s="197"/>
      <c r="AI3785" s="197"/>
      <c r="AJ3785" s="197"/>
      <c r="AK3785" s="197"/>
      <c r="AL3785" s="197"/>
      <c r="AM3785" s="197"/>
      <c r="AN3785" s="197"/>
      <c r="AO3785" s="197"/>
      <c r="AP3785" s="197"/>
      <c r="AQ3785" s="197"/>
      <c r="AR3785" s="197"/>
      <c r="AS3785" s="197"/>
      <c r="AT3785" s="197"/>
      <c r="AU3785" s="197"/>
      <c r="AV3785" s="197"/>
      <c r="AW3785" s="197"/>
    </row>
    <row r="3786" spans="28:49" s="196" customFormat="1">
      <c r="AB3786" s="201"/>
      <c r="AC3786" s="201"/>
      <c r="AD3786" s="197"/>
      <c r="AE3786" s="197"/>
      <c r="AF3786" s="197"/>
      <c r="AG3786" s="197"/>
      <c r="AH3786" s="197"/>
      <c r="AI3786" s="197"/>
      <c r="AJ3786" s="197"/>
      <c r="AK3786" s="197"/>
      <c r="AL3786" s="197"/>
      <c r="AM3786" s="197"/>
      <c r="AN3786" s="197"/>
      <c r="AO3786" s="197"/>
      <c r="AP3786" s="197"/>
      <c r="AQ3786" s="197"/>
      <c r="AR3786" s="197"/>
      <c r="AS3786" s="197"/>
      <c r="AT3786" s="197"/>
      <c r="AU3786" s="197"/>
      <c r="AV3786" s="197"/>
      <c r="AW3786" s="197"/>
    </row>
    <row r="3787" spans="28:49" s="196" customFormat="1">
      <c r="AB3787" s="201"/>
      <c r="AC3787" s="201"/>
      <c r="AD3787" s="197"/>
      <c r="AE3787" s="197"/>
      <c r="AF3787" s="197"/>
      <c r="AG3787" s="197"/>
      <c r="AH3787" s="197"/>
      <c r="AI3787" s="197"/>
      <c r="AJ3787" s="197"/>
      <c r="AK3787" s="197"/>
      <c r="AL3787" s="197"/>
      <c r="AM3787" s="197"/>
      <c r="AN3787" s="197"/>
      <c r="AO3787" s="197"/>
      <c r="AP3787" s="197"/>
      <c r="AQ3787" s="197"/>
      <c r="AR3787" s="197"/>
      <c r="AS3787" s="197"/>
      <c r="AT3787" s="197"/>
      <c r="AU3787" s="197"/>
      <c r="AV3787" s="197"/>
      <c r="AW3787" s="197"/>
    </row>
    <row r="3788" spans="28:49" s="196" customFormat="1">
      <c r="AB3788" s="201"/>
      <c r="AC3788" s="201"/>
      <c r="AD3788" s="197"/>
      <c r="AE3788" s="197"/>
      <c r="AF3788" s="197"/>
      <c r="AG3788" s="197"/>
      <c r="AH3788" s="197"/>
      <c r="AI3788" s="197"/>
      <c r="AJ3788" s="197"/>
      <c r="AK3788" s="197"/>
      <c r="AL3788" s="197"/>
      <c r="AM3788" s="197"/>
      <c r="AN3788" s="197"/>
      <c r="AO3788" s="197"/>
      <c r="AP3788" s="197"/>
      <c r="AQ3788" s="197"/>
      <c r="AR3788" s="197"/>
      <c r="AS3788" s="197"/>
      <c r="AT3788" s="197"/>
      <c r="AU3788" s="197"/>
      <c r="AV3788" s="197"/>
      <c r="AW3788" s="197"/>
    </row>
    <row r="3789" spans="28:49" s="196" customFormat="1">
      <c r="AB3789" s="201"/>
      <c r="AC3789" s="201"/>
      <c r="AD3789" s="197"/>
      <c r="AE3789" s="197"/>
      <c r="AF3789" s="197"/>
      <c r="AG3789" s="197"/>
      <c r="AH3789" s="197"/>
      <c r="AI3789" s="197"/>
      <c r="AJ3789" s="197"/>
      <c r="AK3789" s="197"/>
      <c r="AL3789" s="197"/>
      <c r="AM3789" s="197"/>
      <c r="AN3789" s="197"/>
      <c r="AO3789" s="197"/>
      <c r="AP3789" s="197"/>
      <c r="AQ3789" s="197"/>
      <c r="AR3789" s="197"/>
      <c r="AS3789" s="197"/>
      <c r="AT3789" s="197"/>
      <c r="AU3789" s="197"/>
      <c r="AV3789" s="197"/>
      <c r="AW3789" s="197"/>
    </row>
    <row r="3790" spans="28:49" s="196" customFormat="1">
      <c r="AB3790" s="201"/>
      <c r="AC3790" s="201"/>
      <c r="AD3790" s="197"/>
      <c r="AE3790" s="197"/>
      <c r="AF3790" s="197"/>
      <c r="AG3790" s="197"/>
      <c r="AH3790" s="197"/>
      <c r="AI3790" s="197"/>
      <c r="AJ3790" s="197"/>
      <c r="AK3790" s="197"/>
      <c r="AL3790" s="197"/>
      <c r="AM3790" s="197"/>
      <c r="AN3790" s="197"/>
      <c r="AO3790" s="197"/>
      <c r="AP3790" s="197"/>
      <c r="AQ3790" s="197"/>
      <c r="AR3790" s="197"/>
      <c r="AS3790" s="197"/>
      <c r="AT3790" s="197"/>
      <c r="AU3790" s="197"/>
      <c r="AV3790" s="197"/>
      <c r="AW3790" s="197"/>
    </row>
    <row r="3791" spans="28:49" s="196" customFormat="1">
      <c r="AB3791" s="201"/>
      <c r="AC3791" s="201"/>
      <c r="AD3791" s="197"/>
      <c r="AE3791" s="197"/>
      <c r="AF3791" s="197"/>
      <c r="AG3791" s="197"/>
      <c r="AH3791" s="197"/>
      <c r="AI3791" s="197"/>
      <c r="AJ3791" s="197"/>
      <c r="AK3791" s="197"/>
      <c r="AL3791" s="197"/>
      <c r="AM3791" s="197"/>
      <c r="AN3791" s="197"/>
      <c r="AO3791" s="197"/>
      <c r="AP3791" s="197"/>
      <c r="AQ3791" s="197"/>
      <c r="AR3791" s="197"/>
      <c r="AS3791" s="197"/>
      <c r="AT3791" s="197"/>
      <c r="AU3791" s="197"/>
      <c r="AV3791" s="197"/>
      <c r="AW3791" s="197"/>
    </row>
    <row r="3792" spans="28:49" s="196" customFormat="1">
      <c r="AB3792" s="201"/>
      <c r="AC3792" s="201"/>
      <c r="AD3792" s="197"/>
      <c r="AE3792" s="197"/>
      <c r="AF3792" s="197"/>
      <c r="AG3792" s="197"/>
      <c r="AH3792" s="197"/>
      <c r="AI3792" s="197"/>
      <c r="AJ3792" s="197"/>
      <c r="AK3792" s="197"/>
      <c r="AL3792" s="197"/>
      <c r="AM3792" s="197"/>
      <c r="AN3792" s="197"/>
      <c r="AO3792" s="197"/>
      <c r="AP3792" s="197"/>
      <c r="AQ3792" s="197"/>
      <c r="AR3792" s="197"/>
      <c r="AS3792" s="197"/>
      <c r="AT3792" s="197"/>
      <c r="AU3792" s="197"/>
      <c r="AV3792" s="197"/>
      <c r="AW3792" s="197"/>
    </row>
    <row r="3793" spans="28:49" s="196" customFormat="1">
      <c r="AB3793" s="201"/>
      <c r="AC3793" s="201"/>
      <c r="AD3793" s="197"/>
      <c r="AE3793" s="197"/>
      <c r="AF3793" s="197"/>
      <c r="AG3793" s="197"/>
      <c r="AH3793" s="197"/>
      <c r="AI3793" s="197"/>
      <c r="AJ3793" s="197"/>
      <c r="AK3793" s="197"/>
      <c r="AL3793" s="197"/>
      <c r="AM3793" s="197"/>
      <c r="AN3793" s="197"/>
      <c r="AO3793" s="197"/>
      <c r="AP3793" s="197"/>
      <c r="AQ3793" s="197"/>
      <c r="AR3793" s="197"/>
      <c r="AS3793" s="197"/>
      <c r="AT3793" s="197"/>
      <c r="AU3793" s="197"/>
      <c r="AV3793" s="197"/>
      <c r="AW3793" s="197"/>
    </row>
    <row r="3794" spans="28:49" s="196" customFormat="1">
      <c r="AB3794" s="201"/>
      <c r="AC3794" s="201"/>
      <c r="AD3794" s="197"/>
      <c r="AE3794" s="197"/>
      <c r="AF3794" s="197"/>
      <c r="AG3794" s="197"/>
      <c r="AH3794" s="197"/>
      <c r="AI3794" s="197"/>
      <c r="AJ3794" s="197"/>
      <c r="AK3794" s="197"/>
      <c r="AL3794" s="197"/>
      <c r="AM3794" s="197"/>
      <c r="AN3794" s="197"/>
      <c r="AO3794" s="197"/>
      <c r="AP3794" s="197"/>
      <c r="AQ3794" s="197"/>
      <c r="AR3794" s="197"/>
      <c r="AS3794" s="197"/>
      <c r="AT3794" s="197"/>
      <c r="AU3794" s="197"/>
      <c r="AV3794" s="197"/>
      <c r="AW3794" s="197"/>
    </row>
    <row r="3795" spans="28:49" s="196" customFormat="1">
      <c r="AB3795" s="201"/>
      <c r="AC3795" s="201"/>
      <c r="AD3795" s="197"/>
      <c r="AE3795" s="197"/>
      <c r="AF3795" s="197"/>
      <c r="AG3795" s="197"/>
      <c r="AH3795" s="197"/>
      <c r="AI3795" s="197"/>
      <c r="AJ3795" s="197"/>
      <c r="AK3795" s="197"/>
      <c r="AL3795" s="197"/>
      <c r="AM3795" s="197"/>
      <c r="AN3795" s="197"/>
      <c r="AO3795" s="197"/>
      <c r="AP3795" s="197"/>
      <c r="AQ3795" s="197"/>
      <c r="AR3795" s="197"/>
      <c r="AS3795" s="197"/>
      <c r="AT3795" s="197"/>
      <c r="AU3795" s="197"/>
      <c r="AV3795" s="197"/>
      <c r="AW3795" s="197"/>
    </row>
    <row r="3796" spans="28:49" s="196" customFormat="1">
      <c r="AB3796" s="201"/>
      <c r="AC3796" s="201"/>
      <c r="AD3796" s="197"/>
      <c r="AE3796" s="197"/>
      <c r="AF3796" s="197"/>
      <c r="AG3796" s="197"/>
      <c r="AH3796" s="197"/>
      <c r="AI3796" s="197"/>
      <c r="AJ3796" s="197"/>
      <c r="AK3796" s="197"/>
      <c r="AL3796" s="197"/>
      <c r="AM3796" s="197"/>
      <c r="AN3796" s="197"/>
      <c r="AO3796" s="197"/>
      <c r="AP3796" s="197"/>
      <c r="AQ3796" s="197"/>
      <c r="AR3796" s="197"/>
      <c r="AS3796" s="197"/>
      <c r="AT3796" s="197"/>
      <c r="AU3796" s="197"/>
      <c r="AV3796" s="197"/>
      <c r="AW3796" s="197"/>
    </row>
    <row r="3797" spans="28:49" s="196" customFormat="1">
      <c r="AB3797" s="201"/>
      <c r="AC3797" s="201"/>
      <c r="AD3797" s="197"/>
      <c r="AE3797" s="197"/>
      <c r="AF3797" s="197"/>
      <c r="AG3797" s="197"/>
      <c r="AH3797" s="197"/>
      <c r="AI3797" s="197"/>
      <c r="AJ3797" s="197"/>
      <c r="AK3797" s="197"/>
      <c r="AL3797" s="197"/>
      <c r="AM3797" s="197"/>
      <c r="AN3797" s="197"/>
      <c r="AO3797" s="197"/>
      <c r="AP3797" s="197"/>
      <c r="AQ3797" s="197"/>
      <c r="AR3797" s="197"/>
      <c r="AS3797" s="197"/>
      <c r="AT3797" s="197"/>
      <c r="AU3797" s="197"/>
      <c r="AV3797" s="197"/>
      <c r="AW3797" s="197"/>
    </row>
    <row r="3798" spans="28:49" s="196" customFormat="1">
      <c r="AB3798" s="201"/>
      <c r="AC3798" s="201"/>
      <c r="AD3798" s="197"/>
      <c r="AE3798" s="197"/>
      <c r="AF3798" s="197"/>
      <c r="AG3798" s="197"/>
      <c r="AH3798" s="197"/>
      <c r="AI3798" s="197"/>
      <c r="AJ3798" s="197"/>
      <c r="AK3798" s="197"/>
      <c r="AL3798" s="197"/>
      <c r="AM3798" s="197"/>
      <c r="AN3798" s="197"/>
      <c r="AO3798" s="197"/>
      <c r="AP3798" s="197"/>
      <c r="AQ3798" s="197"/>
      <c r="AR3798" s="197"/>
      <c r="AS3798" s="197"/>
      <c r="AT3798" s="197"/>
      <c r="AU3798" s="197"/>
      <c r="AV3798" s="197"/>
      <c r="AW3798" s="197"/>
    </row>
    <row r="3799" spans="28:49" s="196" customFormat="1">
      <c r="AB3799" s="201"/>
      <c r="AC3799" s="201"/>
      <c r="AD3799" s="197"/>
      <c r="AE3799" s="197"/>
      <c r="AF3799" s="197"/>
      <c r="AG3799" s="197"/>
      <c r="AH3799" s="197"/>
      <c r="AI3799" s="197"/>
      <c r="AJ3799" s="197"/>
      <c r="AK3799" s="197"/>
      <c r="AL3799" s="197"/>
      <c r="AM3799" s="197"/>
      <c r="AN3799" s="197"/>
      <c r="AO3799" s="197"/>
      <c r="AP3799" s="197"/>
      <c r="AQ3799" s="197"/>
      <c r="AR3799" s="197"/>
      <c r="AS3799" s="197"/>
      <c r="AT3799" s="197"/>
      <c r="AU3799" s="197"/>
      <c r="AV3799" s="197"/>
      <c r="AW3799" s="197"/>
    </row>
    <row r="3800" spans="28:49" s="196" customFormat="1">
      <c r="AB3800" s="201"/>
      <c r="AC3800" s="201"/>
      <c r="AD3800" s="197"/>
      <c r="AE3800" s="197"/>
      <c r="AF3800" s="197"/>
      <c r="AG3800" s="197"/>
      <c r="AH3800" s="197"/>
      <c r="AI3800" s="197"/>
      <c r="AJ3800" s="197"/>
      <c r="AK3800" s="197"/>
      <c r="AL3800" s="197"/>
      <c r="AM3800" s="197"/>
      <c r="AN3800" s="197"/>
      <c r="AO3800" s="197"/>
      <c r="AP3800" s="197"/>
      <c r="AQ3800" s="197"/>
      <c r="AR3800" s="197"/>
      <c r="AS3800" s="197"/>
      <c r="AT3800" s="197"/>
      <c r="AU3800" s="197"/>
      <c r="AV3800" s="197"/>
      <c r="AW3800" s="197"/>
    </row>
    <row r="3801" spans="28:49" s="196" customFormat="1">
      <c r="AB3801" s="201"/>
      <c r="AC3801" s="201"/>
      <c r="AD3801" s="197"/>
      <c r="AE3801" s="197"/>
      <c r="AF3801" s="197"/>
      <c r="AG3801" s="197"/>
      <c r="AH3801" s="197"/>
      <c r="AI3801" s="197"/>
      <c r="AJ3801" s="197"/>
      <c r="AK3801" s="197"/>
      <c r="AL3801" s="197"/>
      <c r="AM3801" s="197"/>
      <c r="AN3801" s="197"/>
      <c r="AO3801" s="197"/>
      <c r="AP3801" s="197"/>
      <c r="AQ3801" s="197"/>
      <c r="AR3801" s="197"/>
      <c r="AS3801" s="197"/>
      <c r="AT3801" s="197"/>
      <c r="AU3801" s="197"/>
      <c r="AV3801" s="197"/>
      <c r="AW3801" s="197"/>
    </row>
    <row r="3802" spans="28:49" s="196" customFormat="1">
      <c r="AB3802" s="201"/>
      <c r="AC3802" s="201"/>
      <c r="AD3802" s="197"/>
      <c r="AE3802" s="197"/>
      <c r="AF3802" s="197"/>
      <c r="AG3802" s="197"/>
      <c r="AH3802" s="197"/>
      <c r="AI3802" s="197"/>
      <c r="AJ3802" s="197"/>
      <c r="AK3802" s="197"/>
      <c r="AL3802" s="197"/>
      <c r="AM3802" s="197"/>
      <c r="AN3802" s="197"/>
      <c r="AO3802" s="197"/>
      <c r="AP3802" s="197"/>
      <c r="AQ3802" s="197"/>
      <c r="AR3802" s="197"/>
      <c r="AS3802" s="197"/>
      <c r="AT3802" s="197"/>
      <c r="AU3802" s="197"/>
      <c r="AV3802" s="197"/>
      <c r="AW3802" s="197"/>
    </row>
    <row r="3803" spans="28:49" s="196" customFormat="1">
      <c r="AB3803" s="201"/>
      <c r="AC3803" s="201"/>
      <c r="AD3803" s="197"/>
      <c r="AE3803" s="197"/>
      <c r="AF3803" s="197"/>
      <c r="AG3803" s="197"/>
      <c r="AH3803" s="197"/>
      <c r="AI3803" s="197"/>
      <c r="AJ3803" s="197"/>
      <c r="AK3803" s="197"/>
      <c r="AL3803" s="197"/>
      <c r="AM3803" s="197"/>
      <c r="AN3803" s="197"/>
      <c r="AO3803" s="197"/>
      <c r="AP3803" s="197"/>
      <c r="AQ3803" s="197"/>
      <c r="AR3803" s="197"/>
      <c r="AS3803" s="197"/>
      <c r="AT3803" s="197"/>
      <c r="AU3803" s="197"/>
      <c r="AV3803" s="197"/>
      <c r="AW3803" s="197"/>
    </row>
    <row r="3804" spans="28:49" s="196" customFormat="1">
      <c r="AB3804" s="201"/>
      <c r="AC3804" s="201"/>
      <c r="AD3804" s="197"/>
      <c r="AE3804" s="197"/>
      <c r="AF3804" s="197"/>
      <c r="AG3804" s="197"/>
      <c r="AH3804" s="197"/>
      <c r="AI3804" s="197"/>
      <c r="AJ3804" s="197"/>
      <c r="AK3804" s="197"/>
      <c r="AL3804" s="197"/>
      <c r="AM3804" s="197"/>
      <c r="AN3804" s="197"/>
      <c r="AO3804" s="197"/>
      <c r="AP3804" s="197"/>
      <c r="AQ3804" s="197"/>
      <c r="AR3804" s="197"/>
      <c r="AS3804" s="197"/>
      <c r="AT3804" s="197"/>
      <c r="AU3804" s="197"/>
      <c r="AV3804" s="197"/>
      <c r="AW3804" s="197"/>
    </row>
    <row r="3805" spans="28:49" s="196" customFormat="1">
      <c r="AB3805" s="201"/>
      <c r="AC3805" s="201"/>
      <c r="AD3805" s="197"/>
      <c r="AE3805" s="197"/>
      <c r="AF3805" s="197"/>
      <c r="AG3805" s="197"/>
      <c r="AH3805" s="197"/>
      <c r="AI3805" s="197"/>
      <c r="AJ3805" s="197"/>
      <c r="AK3805" s="197"/>
      <c r="AL3805" s="197"/>
      <c r="AM3805" s="197"/>
      <c r="AN3805" s="197"/>
      <c r="AO3805" s="197"/>
      <c r="AP3805" s="197"/>
      <c r="AQ3805" s="197"/>
      <c r="AR3805" s="197"/>
      <c r="AS3805" s="197"/>
      <c r="AT3805" s="197"/>
      <c r="AU3805" s="197"/>
      <c r="AV3805" s="197"/>
      <c r="AW3805" s="197"/>
    </row>
    <row r="3806" spans="28:49" s="196" customFormat="1">
      <c r="AB3806" s="201"/>
      <c r="AC3806" s="201"/>
      <c r="AD3806" s="197"/>
      <c r="AE3806" s="197"/>
      <c r="AF3806" s="197"/>
      <c r="AG3806" s="197"/>
      <c r="AH3806" s="197"/>
      <c r="AI3806" s="197"/>
      <c r="AJ3806" s="197"/>
      <c r="AK3806" s="197"/>
      <c r="AL3806" s="197"/>
      <c r="AM3806" s="197"/>
      <c r="AN3806" s="197"/>
      <c r="AO3806" s="197"/>
      <c r="AP3806" s="197"/>
      <c r="AQ3806" s="197"/>
      <c r="AR3806" s="197"/>
      <c r="AS3806" s="197"/>
      <c r="AT3806" s="197"/>
      <c r="AU3806" s="197"/>
      <c r="AV3806" s="197"/>
      <c r="AW3806" s="197"/>
    </row>
    <row r="3807" spans="28:49" s="196" customFormat="1">
      <c r="AB3807" s="201"/>
      <c r="AC3807" s="201"/>
      <c r="AD3807" s="197"/>
      <c r="AE3807" s="197"/>
      <c r="AF3807" s="197"/>
      <c r="AG3807" s="197"/>
      <c r="AH3807" s="197"/>
      <c r="AI3807" s="197"/>
      <c r="AJ3807" s="197"/>
      <c r="AK3807" s="197"/>
      <c r="AL3807" s="197"/>
      <c r="AM3807" s="197"/>
      <c r="AN3807" s="197"/>
      <c r="AO3807" s="197"/>
      <c r="AP3807" s="197"/>
      <c r="AQ3807" s="197"/>
      <c r="AR3807" s="197"/>
      <c r="AS3807" s="197"/>
      <c r="AT3807" s="197"/>
      <c r="AU3807" s="197"/>
      <c r="AV3807" s="197"/>
      <c r="AW3807" s="197"/>
    </row>
    <row r="3808" spans="28:49" s="196" customFormat="1">
      <c r="AB3808" s="201"/>
      <c r="AC3808" s="201"/>
      <c r="AD3808" s="197"/>
      <c r="AE3808" s="197"/>
      <c r="AF3808" s="197"/>
      <c r="AG3808" s="197"/>
      <c r="AH3808" s="197"/>
      <c r="AI3808" s="197"/>
      <c r="AJ3808" s="197"/>
      <c r="AK3808" s="197"/>
      <c r="AL3808" s="197"/>
      <c r="AM3808" s="197"/>
      <c r="AN3808" s="197"/>
      <c r="AO3808" s="197"/>
      <c r="AP3808" s="197"/>
      <c r="AQ3808" s="197"/>
      <c r="AR3808" s="197"/>
      <c r="AS3808" s="197"/>
      <c r="AT3808" s="197"/>
      <c r="AU3808" s="197"/>
      <c r="AV3808" s="197"/>
      <c r="AW3808" s="197"/>
    </row>
    <row r="3809" spans="28:49" s="196" customFormat="1">
      <c r="AB3809" s="201"/>
      <c r="AC3809" s="201"/>
      <c r="AD3809" s="197"/>
      <c r="AE3809" s="197"/>
      <c r="AF3809" s="197"/>
      <c r="AG3809" s="197"/>
      <c r="AH3809" s="197"/>
      <c r="AI3809" s="197"/>
      <c r="AJ3809" s="197"/>
      <c r="AK3809" s="197"/>
      <c r="AL3809" s="197"/>
      <c r="AM3809" s="197"/>
      <c r="AN3809" s="197"/>
      <c r="AO3809" s="197"/>
      <c r="AP3809" s="197"/>
      <c r="AQ3809" s="197"/>
      <c r="AR3809" s="197"/>
      <c r="AS3809" s="197"/>
      <c r="AT3809" s="197"/>
      <c r="AU3809" s="197"/>
      <c r="AV3809" s="197"/>
      <c r="AW3809" s="197"/>
    </row>
    <row r="3810" spans="28:49" s="196" customFormat="1">
      <c r="AB3810" s="201"/>
      <c r="AC3810" s="201"/>
      <c r="AD3810" s="197"/>
      <c r="AE3810" s="197"/>
      <c r="AF3810" s="197"/>
      <c r="AG3810" s="197"/>
      <c r="AH3810" s="197"/>
      <c r="AI3810" s="197"/>
      <c r="AJ3810" s="197"/>
      <c r="AK3810" s="197"/>
      <c r="AL3810" s="197"/>
      <c r="AM3810" s="197"/>
      <c r="AN3810" s="197"/>
      <c r="AO3810" s="197"/>
      <c r="AP3810" s="197"/>
      <c r="AQ3810" s="197"/>
      <c r="AR3810" s="197"/>
      <c r="AS3810" s="197"/>
      <c r="AT3810" s="197"/>
      <c r="AU3810" s="197"/>
      <c r="AV3810" s="197"/>
      <c r="AW3810" s="197"/>
    </row>
    <row r="3811" spans="28:49" s="196" customFormat="1">
      <c r="AB3811" s="201"/>
      <c r="AC3811" s="201"/>
      <c r="AD3811" s="197"/>
      <c r="AE3811" s="197"/>
      <c r="AF3811" s="197"/>
      <c r="AG3811" s="197"/>
      <c r="AH3811" s="197"/>
      <c r="AI3811" s="197"/>
      <c r="AJ3811" s="197"/>
      <c r="AK3811" s="197"/>
      <c r="AL3811" s="197"/>
      <c r="AM3811" s="197"/>
      <c r="AN3811" s="197"/>
      <c r="AO3811" s="197"/>
      <c r="AP3811" s="197"/>
      <c r="AQ3811" s="197"/>
      <c r="AR3811" s="197"/>
      <c r="AS3811" s="197"/>
      <c r="AT3811" s="197"/>
      <c r="AU3811" s="197"/>
      <c r="AV3811" s="197"/>
      <c r="AW3811" s="197"/>
    </row>
    <row r="3812" spans="28:49" s="196" customFormat="1">
      <c r="AB3812" s="201"/>
      <c r="AC3812" s="201"/>
      <c r="AD3812" s="197"/>
      <c r="AE3812" s="197"/>
      <c r="AF3812" s="197"/>
      <c r="AG3812" s="197"/>
      <c r="AH3812" s="197"/>
      <c r="AI3812" s="197"/>
      <c r="AJ3812" s="197"/>
      <c r="AK3812" s="197"/>
      <c r="AL3812" s="197"/>
      <c r="AM3812" s="197"/>
      <c r="AN3812" s="197"/>
      <c r="AO3812" s="197"/>
      <c r="AP3812" s="197"/>
      <c r="AQ3812" s="197"/>
      <c r="AR3812" s="197"/>
      <c r="AS3812" s="197"/>
      <c r="AT3812" s="197"/>
      <c r="AU3812" s="197"/>
      <c r="AV3812" s="197"/>
      <c r="AW3812" s="197"/>
    </row>
    <row r="3813" spans="28:49" s="196" customFormat="1">
      <c r="AB3813" s="201"/>
      <c r="AC3813" s="201"/>
      <c r="AD3813" s="197"/>
      <c r="AE3813" s="197"/>
      <c r="AF3813" s="197"/>
      <c r="AG3813" s="197"/>
      <c r="AH3813" s="197"/>
      <c r="AI3813" s="197"/>
      <c r="AJ3813" s="197"/>
      <c r="AK3813" s="197"/>
      <c r="AL3813" s="197"/>
      <c r="AM3813" s="197"/>
      <c r="AN3813" s="197"/>
      <c r="AO3813" s="197"/>
      <c r="AP3813" s="197"/>
      <c r="AQ3813" s="197"/>
      <c r="AR3813" s="197"/>
      <c r="AS3813" s="197"/>
      <c r="AT3813" s="197"/>
      <c r="AU3813" s="197"/>
      <c r="AV3813" s="197"/>
      <c r="AW3813" s="197"/>
    </row>
    <row r="3814" spans="28:49" s="196" customFormat="1">
      <c r="AB3814" s="201"/>
      <c r="AC3814" s="201"/>
      <c r="AD3814" s="197"/>
      <c r="AE3814" s="197"/>
      <c r="AF3814" s="197"/>
      <c r="AG3814" s="197"/>
      <c r="AH3814" s="197"/>
      <c r="AI3814" s="197"/>
      <c r="AJ3814" s="197"/>
      <c r="AK3814" s="197"/>
      <c r="AL3814" s="197"/>
      <c r="AM3814" s="197"/>
      <c r="AN3814" s="197"/>
      <c r="AO3814" s="197"/>
      <c r="AP3814" s="197"/>
      <c r="AQ3814" s="197"/>
      <c r="AR3814" s="197"/>
      <c r="AS3814" s="197"/>
      <c r="AT3814" s="197"/>
      <c r="AU3814" s="197"/>
      <c r="AV3814" s="197"/>
      <c r="AW3814" s="197"/>
    </row>
    <row r="3815" spans="28:49" s="196" customFormat="1">
      <c r="AB3815" s="201"/>
      <c r="AC3815" s="201"/>
      <c r="AD3815" s="197"/>
      <c r="AE3815" s="197"/>
      <c r="AF3815" s="197"/>
      <c r="AG3815" s="197"/>
      <c r="AH3815" s="197"/>
      <c r="AI3815" s="197"/>
      <c r="AJ3815" s="197"/>
      <c r="AK3815" s="197"/>
      <c r="AL3815" s="197"/>
      <c r="AM3815" s="197"/>
      <c r="AN3815" s="197"/>
      <c r="AO3815" s="197"/>
      <c r="AP3815" s="197"/>
      <c r="AQ3815" s="197"/>
      <c r="AR3815" s="197"/>
      <c r="AS3815" s="197"/>
      <c r="AT3815" s="197"/>
      <c r="AU3815" s="197"/>
      <c r="AV3815" s="197"/>
      <c r="AW3815" s="197"/>
    </row>
    <row r="3816" spans="28:49" s="196" customFormat="1">
      <c r="AB3816" s="201"/>
      <c r="AC3816" s="201"/>
      <c r="AD3816" s="197"/>
      <c r="AE3816" s="197"/>
      <c r="AF3816" s="197"/>
      <c r="AG3816" s="197"/>
      <c r="AH3816" s="197"/>
      <c r="AI3816" s="197"/>
      <c r="AJ3816" s="197"/>
      <c r="AK3816" s="197"/>
      <c r="AL3816" s="197"/>
      <c r="AM3816" s="197"/>
      <c r="AN3816" s="197"/>
      <c r="AO3816" s="197"/>
      <c r="AP3816" s="197"/>
      <c r="AQ3816" s="197"/>
      <c r="AR3816" s="197"/>
      <c r="AS3816" s="197"/>
      <c r="AT3816" s="197"/>
      <c r="AU3816" s="197"/>
      <c r="AV3816" s="197"/>
      <c r="AW3816" s="197"/>
    </row>
    <row r="3817" spans="28:49" s="196" customFormat="1">
      <c r="AB3817" s="201"/>
      <c r="AC3817" s="201"/>
      <c r="AD3817" s="197"/>
      <c r="AE3817" s="197"/>
      <c r="AF3817" s="197"/>
      <c r="AG3817" s="197"/>
      <c r="AH3817" s="197"/>
      <c r="AI3817" s="197"/>
      <c r="AJ3817" s="197"/>
      <c r="AK3817" s="197"/>
      <c r="AL3817" s="197"/>
      <c r="AM3817" s="197"/>
      <c r="AN3817" s="197"/>
      <c r="AO3817" s="197"/>
      <c r="AP3817" s="197"/>
      <c r="AQ3817" s="197"/>
      <c r="AR3817" s="197"/>
      <c r="AS3817" s="197"/>
      <c r="AT3817" s="197"/>
      <c r="AU3817" s="197"/>
      <c r="AV3817" s="197"/>
      <c r="AW3817" s="197"/>
    </row>
    <row r="3818" spans="28:49" s="196" customFormat="1">
      <c r="AB3818" s="201"/>
      <c r="AC3818" s="201"/>
      <c r="AD3818" s="197"/>
      <c r="AE3818" s="197"/>
      <c r="AF3818" s="197"/>
      <c r="AG3818" s="197"/>
      <c r="AH3818" s="197"/>
      <c r="AI3818" s="197"/>
      <c r="AJ3818" s="197"/>
      <c r="AK3818" s="197"/>
      <c r="AL3818" s="197"/>
      <c r="AM3818" s="197"/>
      <c r="AN3818" s="197"/>
      <c r="AO3818" s="197"/>
      <c r="AP3818" s="197"/>
      <c r="AQ3818" s="197"/>
      <c r="AR3818" s="197"/>
      <c r="AS3818" s="197"/>
      <c r="AT3818" s="197"/>
      <c r="AU3818" s="197"/>
      <c r="AV3818" s="197"/>
      <c r="AW3818" s="197"/>
    </row>
    <row r="3819" spans="28:49" s="196" customFormat="1">
      <c r="AB3819" s="201"/>
      <c r="AC3819" s="201"/>
      <c r="AD3819" s="197"/>
      <c r="AE3819" s="197"/>
      <c r="AF3819" s="197"/>
      <c r="AG3819" s="197"/>
      <c r="AH3819" s="197"/>
      <c r="AI3819" s="197"/>
      <c r="AJ3819" s="197"/>
      <c r="AK3819" s="197"/>
      <c r="AL3819" s="197"/>
      <c r="AM3819" s="197"/>
      <c r="AN3819" s="197"/>
      <c r="AO3819" s="197"/>
      <c r="AP3819" s="197"/>
      <c r="AQ3819" s="197"/>
      <c r="AR3819" s="197"/>
      <c r="AS3819" s="197"/>
      <c r="AT3819" s="197"/>
      <c r="AU3819" s="197"/>
      <c r="AV3819" s="197"/>
      <c r="AW3819" s="197"/>
    </row>
    <row r="3820" spans="28:49" s="196" customFormat="1">
      <c r="AB3820" s="201"/>
      <c r="AC3820" s="201"/>
      <c r="AD3820" s="197"/>
      <c r="AE3820" s="197"/>
      <c r="AF3820" s="197"/>
      <c r="AG3820" s="197"/>
      <c r="AH3820" s="197"/>
      <c r="AI3820" s="197"/>
      <c r="AJ3820" s="197"/>
      <c r="AK3820" s="197"/>
      <c r="AL3820" s="197"/>
      <c r="AM3820" s="197"/>
      <c r="AN3820" s="197"/>
      <c r="AO3820" s="197"/>
      <c r="AP3820" s="197"/>
      <c r="AQ3820" s="197"/>
      <c r="AR3820" s="197"/>
      <c r="AS3820" s="197"/>
      <c r="AT3820" s="197"/>
      <c r="AU3820" s="197"/>
      <c r="AV3820" s="197"/>
      <c r="AW3820" s="197"/>
    </row>
    <row r="3821" spans="28:49" s="196" customFormat="1">
      <c r="AB3821" s="201"/>
      <c r="AC3821" s="201"/>
      <c r="AD3821" s="197"/>
      <c r="AE3821" s="197"/>
      <c r="AF3821" s="197"/>
      <c r="AG3821" s="197"/>
      <c r="AH3821" s="197"/>
      <c r="AI3821" s="197"/>
      <c r="AJ3821" s="197"/>
      <c r="AK3821" s="197"/>
      <c r="AL3821" s="197"/>
      <c r="AM3821" s="197"/>
      <c r="AN3821" s="197"/>
      <c r="AO3821" s="197"/>
      <c r="AP3821" s="197"/>
      <c r="AQ3821" s="197"/>
      <c r="AR3821" s="197"/>
      <c r="AS3821" s="197"/>
      <c r="AT3821" s="197"/>
      <c r="AU3821" s="197"/>
      <c r="AV3821" s="197"/>
      <c r="AW3821" s="197"/>
    </row>
    <row r="3822" spans="28:49" s="196" customFormat="1">
      <c r="AB3822" s="201"/>
      <c r="AC3822" s="201"/>
      <c r="AD3822" s="197"/>
      <c r="AE3822" s="197"/>
      <c r="AF3822" s="197"/>
      <c r="AG3822" s="197"/>
      <c r="AH3822" s="197"/>
      <c r="AI3822" s="197"/>
      <c r="AJ3822" s="197"/>
      <c r="AK3822" s="197"/>
      <c r="AL3822" s="197"/>
      <c r="AM3822" s="197"/>
      <c r="AN3822" s="197"/>
      <c r="AO3822" s="197"/>
      <c r="AP3822" s="197"/>
      <c r="AQ3822" s="197"/>
      <c r="AR3822" s="197"/>
      <c r="AS3822" s="197"/>
      <c r="AT3822" s="197"/>
      <c r="AU3822" s="197"/>
      <c r="AV3822" s="197"/>
      <c r="AW3822" s="197"/>
    </row>
    <row r="3823" spans="28:49" s="196" customFormat="1">
      <c r="AB3823" s="201"/>
      <c r="AC3823" s="201"/>
      <c r="AD3823" s="197"/>
      <c r="AE3823" s="197"/>
      <c r="AF3823" s="197"/>
      <c r="AG3823" s="197"/>
      <c r="AH3823" s="197"/>
      <c r="AI3823" s="197"/>
      <c r="AJ3823" s="197"/>
      <c r="AK3823" s="197"/>
      <c r="AL3823" s="197"/>
      <c r="AM3823" s="197"/>
      <c r="AN3823" s="197"/>
      <c r="AO3823" s="197"/>
      <c r="AP3823" s="197"/>
      <c r="AQ3823" s="197"/>
      <c r="AR3823" s="197"/>
      <c r="AS3823" s="197"/>
      <c r="AT3823" s="197"/>
      <c r="AU3823" s="197"/>
      <c r="AV3823" s="197"/>
      <c r="AW3823" s="197"/>
    </row>
    <row r="3824" spans="28:49" s="196" customFormat="1">
      <c r="AB3824" s="201"/>
      <c r="AC3824" s="201"/>
      <c r="AD3824" s="197"/>
      <c r="AE3824" s="197"/>
      <c r="AF3824" s="197"/>
      <c r="AG3824" s="197"/>
      <c r="AH3824" s="197"/>
      <c r="AI3824" s="197"/>
      <c r="AJ3824" s="197"/>
      <c r="AK3824" s="197"/>
      <c r="AL3824" s="197"/>
      <c r="AM3824" s="197"/>
      <c r="AN3824" s="197"/>
      <c r="AO3824" s="197"/>
      <c r="AP3824" s="197"/>
      <c r="AQ3824" s="197"/>
      <c r="AR3824" s="197"/>
      <c r="AS3824" s="197"/>
      <c r="AT3824" s="197"/>
      <c r="AU3824" s="197"/>
      <c r="AV3824" s="197"/>
      <c r="AW3824" s="197"/>
    </row>
    <row r="3825" spans="28:49" s="196" customFormat="1">
      <c r="AB3825" s="201"/>
      <c r="AC3825" s="201"/>
      <c r="AD3825" s="197"/>
      <c r="AE3825" s="197"/>
      <c r="AF3825" s="197"/>
      <c r="AG3825" s="197"/>
      <c r="AH3825" s="197"/>
      <c r="AI3825" s="197"/>
      <c r="AJ3825" s="197"/>
      <c r="AK3825" s="197"/>
      <c r="AL3825" s="197"/>
      <c r="AM3825" s="197"/>
      <c r="AN3825" s="197"/>
      <c r="AO3825" s="197"/>
      <c r="AP3825" s="197"/>
      <c r="AQ3825" s="197"/>
      <c r="AR3825" s="197"/>
      <c r="AS3825" s="197"/>
      <c r="AT3825" s="197"/>
      <c r="AU3825" s="197"/>
      <c r="AV3825" s="197"/>
      <c r="AW3825" s="197"/>
    </row>
    <row r="3826" spans="28:49" s="196" customFormat="1">
      <c r="AB3826" s="201"/>
      <c r="AC3826" s="201"/>
      <c r="AD3826" s="197"/>
      <c r="AE3826" s="197"/>
      <c r="AF3826" s="197"/>
      <c r="AG3826" s="197"/>
      <c r="AH3826" s="197"/>
      <c r="AI3826" s="197"/>
      <c r="AJ3826" s="197"/>
      <c r="AK3826" s="197"/>
      <c r="AL3826" s="197"/>
      <c r="AM3826" s="197"/>
      <c r="AN3826" s="197"/>
      <c r="AO3826" s="197"/>
      <c r="AP3826" s="197"/>
      <c r="AQ3826" s="197"/>
      <c r="AR3826" s="197"/>
      <c r="AS3826" s="197"/>
      <c r="AT3826" s="197"/>
      <c r="AU3826" s="197"/>
      <c r="AV3826" s="197"/>
      <c r="AW3826" s="197"/>
    </row>
    <row r="3827" spans="28:49" s="196" customFormat="1">
      <c r="AB3827" s="201"/>
      <c r="AC3827" s="201"/>
      <c r="AD3827" s="197"/>
      <c r="AE3827" s="197"/>
      <c r="AF3827" s="197"/>
      <c r="AG3827" s="197"/>
      <c r="AH3827" s="197"/>
      <c r="AI3827" s="197"/>
      <c r="AJ3827" s="197"/>
      <c r="AK3827" s="197"/>
      <c r="AL3827" s="197"/>
      <c r="AM3827" s="197"/>
      <c r="AN3827" s="197"/>
      <c r="AO3827" s="197"/>
      <c r="AP3827" s="197"/>
      <c r="AQ3827" s="197"/>
      <c r="AR3827" s="197"/>
      <c r="AS3827" s="197"/>
      <c r="AT3827" s="197"/>
      <c r="AU3827" s="197"/>
      <c r="AV3827" s="197"/>
      <c r="AW3827" s="197"/>
    </row>
    <row r="3828" spans="28:49" s="196" customFormat="1">
      <c r="AB3828" s="201"/>
      <c r="AC3828" s="201"/>
      <c r="AD3828" s="197"/>
      <c r="AE3828" s="197"/>
      <c r="AF3828" s="197"/>
      <c r="AG3828" s="197"/>
      <c r="AH3828" s="197"/>
      <c r="AI3828" s="197"/>
      <c r="AJ3828" s="197"/>
      <c r="AK3828" s="197"/>
      <c r="AL3828" s="197"/>
      <c r="AM3828" s="197"/>
      <c r="AN3828" s="197"/>
      <c r="AO3828" s="197"/>
      <c r="AP3828" s="197"/>
      <c r="AQ3828" s="197"/>
      <c r="AR3828" s="197"/>
      <c r="AS3828" s="197"/>
      <c r="AT3828" s="197"/>
      <c r="AU3828" s="197"/>
      <c r="AV3828" s="197"/>
      <c r="AW3828" s="197"/>
    </row>
    <row r="3829" spans="28:49" s="196" customFormat="1">
      <c r="AB3829" s="201"/>
      <c r="AC3829" s="201"/>
      <c r="AD3829" s="197"/>
      <c r="AE3829" s="197"/>
      <c r="AF3829" s="197"/>
      <c r="AG3829" s="197"/>
      <c r="AH3829" s="197"/>
      <c r="AI3829" s="197"/>
      <c r="AJ3829" s="197"/>
      <c r="AK3829" s="197"/>
      <c r="AL3829" s="197"/>
      <c r="AM3829" s="197"/>
      <c r="AN3829" s="197"/>
      <c r="AO3829" s="197"/>
      <c r="AP3829" s="197"/>
      <c r="AQ3829" s="197"/>
      <c r="AR3829" s="197"/>
      <c r="AS3829" s="197"/>
      <c r="AT3829" s="197"/>
      <c r="AU3829" s="197"/>
      <c r="AV3829" s="197"/>
      <c r="AW3829" s="197"/>
    </row>
  </sheetData>
  <sheetProtection password="CD0C" sheet="1" objects="1" scenarios="1" selectLockedCells="1"/>
  <mergeCells count="31">
    <mergeCell ref="AF24:AJ24"/>
    <mergeCell ref="O24:AD24"/>
    <mergeCell ref="T21:T22"/>
    <mergeCell ref="H15:K15"/>
    <mergeCell ref="O5:AJ5"/>
    <mergeCell ref="O7:P7"/>
    <mergeCell ref="I9:J9"/>
    <mergeCell ref="AH20:AI20"/>
    <mergeCell ref="AE21:AF21"/>
    <mergeCell ref="AG21:AI21"/>
    <mergeCell ref="AI22:AJ22"/>
    <mergeCell ref="F9:G9"/>
    <mergeCell ref="E7:J7"/>
    <mergeCell ref="O8:O10"/>
    <mergeCell ref="C9:E9"/>
    <mergeCell ref="F10:G10"/>
    <mergeCell ref="C10:D10"/>
    <mergeCell ref="I10:J10"/>
    <mergeCell ref="O42:R42"/>
    <mergeCell ref="O37:R37"/>
    <mergeCell ref="O31:R31"/>
    <mergeCell ref="O32:R32"/>
    <mergeCell ref="D11:D12"/>
    <mergeCell ref="C15:F15"/>
    <mergeCell ref="O11:O13"/>
    <mergeCell ref="C14:G14"/>
    <mergeCell ref="E11:G11"/>
    <mergeCell ref="E12:G12"/>
    <mergeCell ref="I11:J11"/>
    <mergeCell ref="I12:J12"/>
    <mergeCell ref="C11:C12"/>
  </mergeCells>
  <conditionalFormatting sqref="I9:K9">
    <cfRule type="expression" dxfId="35" priority="4">
      <formula>$H$9="NON"</formula>
    </cfRule>
  </conditionalFormatting>
  <conditionalFormatting sqref="E7:K7">
    <cfRule type="expression" dxfId="34" priority="3">
      <formula>$H$9="NON"</formula>
    </cfRule>
  </conditionalFormatting>
  <conditionalFormatting sqref="K7">
    <cfRule type="expression" dxfId="33" priority="2">
      <formula>$H$9="OUI"</formula>
    </cfRule>
  </conditionalFormatting>
  <conditionalFormatting sqref="K6">
    <cfRule type="expression" dxfId="32" priority="1">
      <formula>$H$9="OUI"</formula>
    </cfRule>
  </conditionalFormatting>
  <dataValidations count="3">
    <dataValidation type="list" showInputMessage="1" showErrorMessage="1" sqref="H9 K9">
      <formula1>"OUI,NON"</formula1>
    </dataValidation>
    <dataValidation type="list" allowBlank="1" showInputMessage="1" showErrorMessage="1" sqref="D11:D12">
      <formula1>"Contact,Feu"</formula1>
    </dataValidation>
    <dataValidation type="list" showInputMessage="1" showErrorMessage="1" sqref="AH20:AI20">
      <formula1>"ATTAQUE,DEFENSE"</formula1>
    </dataValidation>
  </dataValidations>
  <pageMargins left="0.7" right="0.7" top="0.75" bottom="0.75" header="0.3" footer="0.3"/>
  <pageSetup paperSize="9" orientation="portrait" r:id="rId1"/>
  <headerFooter>
    <oddFooter>&amp;L&amp;1#&amp;"Calibri"&amp;10&amp;KC8DE09Diffusable SNCF RESEAU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G732"/>
  <sheetViews>
    <sheetView workbookViewId="0">
      <selection activeCell="M15" sqref="M15:N15"/>
    </sheetView>
  </sheetViews>
  <sheetFormatPr baseColWidth="10" defaultRowHeight="15"/>
  <cols>
    <col min="1" max="1" width="1.7109375" style="6" customWidth="1"/>
    <col min="2" max="2" width="2.7109375" style="6" customWidth="1"/>
    <col min="3" max="6" width="9.7109375" style="6" customWidth="1"/>
    <col min="7" max="7" width="2.7109375" style="6" customWidth="1"/>
    <col min="8" max="8" width="1.7109375" style="6" customWidth="1"/>
    <col min="9" max="9" width="2.7109375" style="6" customWidth="1"/>
    <col min="10" max="12" width="9.7109375" style="6" customWidth="1"/>
    <col min="13" max="13" width="2.7109375" style="6" customWidth="1"/>
    <col min="14" max="14" width="7.7109375" style="6" customWidth="1"/>
    <col min="15" max="15" width="2.7109375" style="6" customWidth="1"/>
    <col min="16" max="16" width="7.7109375" style="6" customWidth="1"/>
    <col min="17" max="17" width="2.7109375" style="6" customWidth="1"/>
    <col min="18" max="18" width="7.7109375" style="6" customWidth="1"/>
    <col min="19" max="19" width="9.7109375" style="6" customWidth="1"/>
    <col min="20" max="20" width="2.7109375" style="6" customWidth="1"/>
    <col min="21" max="21" width="7.7109375" style="111" customWidth="1"/>
    <col min="22" max="25" width="5.28515625" style="111" customWidth="1"/>
    <col min="26" max="26" width="2.7109375" style="111" customWidth="1"/>
    <col min="27" max="27" width="3.28515625" style="111" customWidth="1"/>
    <col min="28" max="31" width="5.28515625" style="111" customWidth="1"/>
    <col min="32" max="32" width="2.7109375" style="111" customWidth="1"/>
    <col min="33" max="33" width="3.28515625" style="111" customWidth="1"/>
    <col min="34" max="37" width="5.28515625" style="111" customWidth="1"/>
    <col min="38" max="39" width="2.7109375" style="111" customWidth="1"/>
    <col min="40" max="40" width="11.42578125" style="121"/>
    <col min="41" max="46" width="11.42578125" style="129"/>
    <col min="47" max="189" width="11.42578125" style="21"/>
    <col min="190" max="16384" width="11.42578125" style="6"/>
  </cols>
  <sheetData>
    <row r="1" spans="1:53" ht="8.1" customHeight="1" thickBot="1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2"/>
      <c r="S1" s="2"/>
      <c r="T1" s="2"/>
      <c r="U1" s="4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O1" s="141"/>
      <c r="AP1" s="129">
        <v>1</v>
      </c>
      <c r="AQ1" s="129">
        <v>110</v>
      </c>
      <c r="AR1" s="129">
        <v>100</v>
      </c>
    </row>
    <row r="2" spans="1:53" ht="12" customHeight="1">
      <c r="A2" s="1"/>
      <c r="B2" s="7"/>
      <c r="C2" s="647" t="s">
        <v>92</v>
      </c>
      <c r="D2" s="647"/>
      <c r="E2" s="647"/>
      <c r="F2" s="647"/>
      <c r="G2" s="8"/>
      <c r="H2" s="666"/>
      <c r="I2" s="9"/>
      <c r="J2" s="667" t="s">
        <v>68</v>
      </c>
      <c r="K2" s="667"/>
      <c r="L2" s="667"/>
      <c r="M2" s="668" t="s">
        <v>78</v>
      </c>
      <c r="N2" s="668"/>
      <c r="O2" s="668"/>
      <c r="P2" s="136"/>
      <c r="Q2" s="136"/>
      <c r="R2" s="136" t="s">
        <v>69</v>
      </c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1"/>
      <c r="AF2" s="136"/>
      <c r="AG2" s="136"/>
      <c r="AH2" s="136"/>
      <c r="AI2" s="136"/>
      <c r="AJ2" s="136"/>
      <c r="AK2" s="11"/>
      <c r="AL2" s="12"/>
      <c r="AM2" s="5"/>
      <c r="AO2" s="141"/>
      <c r="AP2" s="129">
        <v>2</v>
      </c>
      <c r="AQ2" s="129">
        <f>IF(AP2=1,110,ROUND(100+(AP2*9.93288590604026),0))</f>
        <v>120</v>
      </c>
      <c r="AR2" s="129">
        <v>110</v>
      </c>
      <c r="AU2" s="129"/>
      <c r="AV2" s="129"/>
      <c r="AW2" s="129"/>
      <c r="AX2" s="129"/>
      <c r="AY2" s="129"/>
      <c r="AZ2" s="129"/>
      <c r="BA2" s="129"/>
    </row>
    <row r="3" spans="1:53" ht="12" customHeight="1">
      <c r="A3" s="1"/>
      <c r="B3" s="13"/>
      <c r="C3" s="14"/>
      <c r="D3" s="14"/>
      <c r="E3" s="14"/>
      <c r="F3" s="14"/>
      <c r="G3" s="15"/>
      <c r="H3" s="66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9"/>
      <c r="AM3" s="5"/>
      <c r="AO3" s="141"/>
      <c r="AP3" s="129">
        <v>3</v>
      </c>
      <c r="AQ3" s="129">
        <f t="shared" ref="AQ3:AQ66" si="0">IF(AP3=1,110,ROUND(100+(AP3*9.93288590604026),0))</f>
        <v>130</v>
      </c>
      <c r="AR3" s="129">
        <v>120</v>
      </c>
      <c r="AS3" s="129" t="s">
        <v>71</v>
      </c>
      <c r="AU3" s="129"/>
      <c r="AV3" s="129"/>
      <c r="AW3" s="129"/>
      <c r="AX3" s="129"/>
      <c r="AY3" s="129"/>
      <c r="AZ3" s="129"/>
      <c r="BA3" s="129"/>
    </row>
    <row r="4" spans="1:53" ht="12" customHeight="1">
      <c r="A4" s="1"/>
      <c r="B4" s="13"/>
      <c r="C4" s="20" t="s">
        <v>0</v>
      </c>
      <c r="D4" s="20"/>
      <c r="E4" s="20"/>
      <c r="F4" s="122" t="s">
        <v>61</v>
      </c>
      <c r="G4" s="15"/>
      <c r="H4" s="666"/>
      <c r="I4" s="16"/>
      <c r="J4" s="669" t="s">
        <v>4</v>
      </c>
      <c r="K4" s="671" t="s">
        <v>8</v>
      </c>
      <c r="L4" s="673" t="s">
        <v>7</v>
      </c>
      <c r="M4" s="17"/>
      <c r="N4" s="654" t="s">
        <v>9</v>
      </c>
      <c r="O4" s="675"/>
      <c r="P4" s="661"/>
      <c r="Q4" s="22"/>
      <c r="R4" s="654" t="s">
        <v>13</v>
      </c>
      <c r="S4" s="661"/>
      <c r="T4" s="17"/>
      <c r="U4" s="662" t="s">
        <v>56</v>
      </c>
      <c r="V4" s="663"/>
      <c r="W4" s="663"/>
      <c r="X4" s="663"/>
      <c r="Y4" s="663"/>
      <c r="Z4" s="663"/>
      <c r="AA4" s="663"/>
      <c r="AB4" s="663"/>
      <c r="AC4" s="663"/>
      <c r="AD4" s="663"/>
      <c r="AE4" s="664"/>
      <c r="AF4" s="62"/>
      <c r="AG4" s="62"/>
      <c r="AH4" s="62"/>
      <c r="AI4" s="62"/>
      <c r="AJ4" s="62"/>
      <c r="AK4" s="62"/>
      <c r="AL4" s="19"/>
      <c r="AM4" s="5"/>
      <c r="AO4" s="141"/>
      <c r="AP4" s="129">
        <v>4</v>
      </c>
      <c r="AQ4" s="129">
        <f t="shared" si="0"/>
        <v>140</v>
      </c>
      <c r="AR4" s="129">
        <v>130</v>
      </c>
      <c r="AS4" s="129" t="s">
        <v>70</v>
      </c>
      <c r="AT4" s="129">
        <v>27</v>
      </c>
      <c r="AU4" s="129">
        <v>20</v>
      </c>
      <c r="AV4" s="129">
        <v>28</v>
      </c>
      <c r="AW4" s="129">
        <v>21</v>
      </c>
      <c r="AX4" s="129">
        <v>24</v>
      </c>
      <c r="AY4" s="129">
        <v>15</v>
      </c>
      <c r="AZ4" s="141"/>
      <c r="BA4" s="141"/>
    </row>
    <row r="5" spans="1:53" ht="12" customHeight="1">
      <c r="A5" s="1"/>
      <c r="B5" s="13"/>
      <c r="C5" s="20" t="s">
        <v>1</v>
      </c>
      <c r="D5" s="20"/>
      <c r="E5" s="20"/>
      <c r="F5" s="122" t="s">
        <v>64</v>
      </c>
      <c r="G5" s="15"/>
      <c r="H5" s="666"/>
      <c r="I5" s="16"/>
      <c r="J5" s="670"/>
      <c r="K5" s="672"/>
      <c r="L5" s="674"/>
      <c r="M5" s="17"/>
      <c r="N5" s="665" t="s">
        <v>10</v>
      </c>
      <c r="O5" s="653"/>
      <c r="P5" s="32">
        <f>((F8+F9)/2)+((((F8+F9)/2)*S6)/S5)+F10</f>
        <v>375.6096845194424</v>
      </c>
      <c r="Q5" s="23"/>
      <c r="R5" s="24" t="s">
        <v>52</v>
      </c>
      <c r="S5" s="25">
        <f>IF(F7="Création",IF(AND(F4="Soldat",F5="Non"),(V30+(D17*15)+(F17*15)+(M20*15)),IF(AND(F4="Soldat",F5="Oui"),(V30+(D17*20)+(F17*20)+(M20*20)),(V30+(D17*10)+(F17*10)+(M20*10)))),IF(AND(F4="Soldat",F5="Non"),(V30+(M15*15)),IF(AND(F4="Soldat",F5="Oui"),(V30+(M15*20)),(V30+(M15*10)))))</f>
        <v>13630</v>
      </c>
      <c r="T5" s="17"/>
      <c r="U5" s="26" t="s">
        <v>18</v>
      </c>
      <c r="V5" s="27" t="s">
        <v>20</v>
      </c>
      <c r="W5" s="27">
        <v>1</v>
      </c>
      <c r="X5" s="27">
        <v>2</v>
      </c>
      <c r="Y5" s="27">
        <v>3</v>
      </c>
      <c r="Z5" s="653">
        <v>4</v>
      </c>
      <c r="AA5" s="653"/>
      <c r="AB5" s="27">
        <v>5</v>
      </c>
      <c r="AC5" s="27">
        <v>6</v>
      </c>
      <c r="AD5" s="27">
        <v>7</v>
      </c>
      <c r="AE5" s="28">
        <v>8</v>
      </c>
      <c r="AF5" s="18"/>
      <c r="AG5" s="18"/>
      <c r="AH5" s="18"/>
      <c r="AI5" s="18"/>
      <c r="AJ5" s="18"/>
      <c r="AK5" s="18"/>
      <c r="AL5" s="19"/>
      <c r="AM5" s="5"/>
      <c r="AN5" s="121" t="s">
        <v>58</v>
      </c>
      <c r="AO5" s="141"/>
      <c r="AP5" s="129">
        <v>5</v>
      </c>
      <c r="AQ5" s="129">
        <f t="shared" si="0"/>
        <v>150</v>
      </c>
      <c r="AR5" s="129">
        <v>140</v>
      </c>
      <c r="AS5" s="129" t="s">
        <v>72</v>
      </c>
      <c r="AT5" s="129">
        <v>20</v>
      </c>
      <c r="AU5" s="129">
        <v>20</v>
      </c>
      <c r="AV5" s="129">
        <v>21</v>
      </c>
      <c r="AW5" s="129">
        <v>21</v>
      </c>
      <c r="AX5" s="129">
        <v>18</v>
      </c>
      <c r="AY5" s="129">
        <v>15</v>
      </c>
      <c r="AZ5" s="141"/>
      <c r="BA5" s="141"/>
    </row>
    <row r="6" spans="1:53" ht="12" customHeight="1">
      <c r="A6" s="1"/>
      <c r="B6" s="13"/>
      <c r="C6" s="20" t="s">
        <v>2</v>
      </c>
      <c r="D6" s="20"/>
      <c r="E6" s="20"/>
      <c r="F6" s="123">
        <v>150</v>
      </c>
      <c r="G6" s="15"/>
      <c r="H6" s="666"/>
      <c r="I6" s="16"/>
      <c r="J6" s="29"/>
      <c r="K6" s="30" t="s">
        <v>5</v>
      </c>
      <c r="L6" s="31"/>
      <c r="M6" s="17"/>
      <c r="N6" s="665" t="s">
        <v>11</v>
      </c>
      <c r="O6" s="653"/>
      <c r="P6" s="32">
        <f>F8+((F8*S6)/S5)+F10</f>
        <v>365.17608217168009</v>
      </c>
      <c r="Q6" s="23"/>
      <c r="R6" s="26" t="s">
        <v>14</v>
      </c>
      <c r="S6" s="32">
        <f>IF(F7="Création",IF(AND(F4="Soldat",F5="Non"),(O25*0.25+O25),IF(AND(F4="Soldat",F5="Oui"),(O25*0.5+O25),O25)),IF(AND(F4="Soldat",F5="Non"),(O15*0.25+O15),IF(AND(F4="Soldat",F5="Oui"),(O15*0.5+O15),O15)))</f>
        <v>591</v>
      </c>
      <c r="T6" s="17"/>
      <c r="U6" s="26" t="s">
        <v>19</v>
      </c>
      <c r="V6" s="27"/>
      <c r="W6" s="115">
        <f>K7-1</f>
        <v>124.79385415145222</v>
      </c>
      <c r="X6" s="115">
        <f>K7-2</f>
        <v>123.79385415145222</v>
      </c>
      <c r="Y6" s="115">
        <f>K7-4</f>
        <v>121.79385415145222</v>
      </c>
      <c r="Z6" s="657">
        <f>K7-5</f>
        <v>120.79385415145222</v>
      </c>
      <c r="AA6" s="657"/>
      <c r="AB6" s="115">
        <f>K7-7</f>
        <v>118.79385415145222</v>
      </c>
      <c r="AC6" s="115">
        <f>K7-9</f>
        <v>116.79385415145222</v>
      </c>
      <c r="AD6" s="115">
        <f>K7-10</f>
        <v>115.79385415145222</v>
      </c>
      <c r="AE6" s="116">
        <f>K7-12</f>
        <v>113.79385415145222</v>
      </c>
      <c r="AF6" s="18"/>
      <c r="AG6" s="18"/>
      <c r="AH6" s="18"/>
      <c r="AI6" s="18"/>
      <c r="AJ6" s="18"/>
      <c r="AK6" s="18"/>
      <c r="AL6" s="19"/>
      <c r="AM6" s="5"/>
      <c r="AN6" s="121" t="s">
        <v>54</v>
      </c>
      <c r="AO6" s="141"/>
      <c r="AP6" s="129">
        <v>6</v>
      </c>
      <c r="AQ6" s="129">
        <f t="shared" si="0"/>
        <v>160</v>
      </c>
      <c r="AR6" s="129">
        <v>150</v>
      </c>
      <c r="AS6" s="129" t="s">
        <v>73</v>
      </c>
      <c r="AU6" s="129"/>
      <c r="AV6" s="129"/>
      <c r="AW6" s="129"/>
      <c r="AX6" s="129"/>
      <c r="AY6" s="129"/>
      <c r="AZ6" s="141"/>
      <c r="BA6" s="141"/>
    </row>
    <row r="7" spans="1:53" ht="12" customHeight="1">
      <c r="A7" s="1"/>
      <c r="B7" s="13"/>
      <c r="C7" s="20" t="s">
        <v>3</v>
      </c>
      <c r="D7" s="20"/>
      <c r="E7" s="20"/>
      <c r="F7" s="122" t="s">
        <v>54</v>
      </c>
      <c r="G7" s="15"/>
      <c r="H7" s="666"/>
      <c r="I7" s="16"/>
      <c r="J7" s="34">
        <f>((300*S10)/S5)+F11</f>
        <v>176.90755685986795</v>
      </c>
      <c r="K7" s="35">
        <f>(IF(AND(F4="Ouvrier",F5="Non"),(((S6^0.5)+(S10^0.6)+(S7^0.5)+25+F13)*0.2)+((S6^0.5)+(S10^0.6)+(S7^0.5)+25+F13),IF(AND(F4="OUVRIER",F5="OUI"),(((S6^0.5)+(S10^0.6)+(S7^0.5)+25+F13)*0.4)+((S6^0.5)+(S10^0.6)+(S7^0.5)+25+F13),(S6^0.5)+(S10^0.6)+(S7^0.5)+25+F13)))</f>
        <v>125.79385415145222</v>
      </c>
      <c r="L7" s="33">
        <f>(IF(AND(F4="Ouvrier",F5="Non"),(((S6^0.5)+(S10^0.6)+(S8^0.5)+10+F12)*0.2)+((S6^0.5)+(S10^0.6)+(S8^0.5)+10+F12),IF(AND(F4="OUVRIER",F5="OUI"),(((S6^0.5)+(S10^0.6)+(S8^0.5)+10+F12)*0.4)+((S6^0.5)+(S10^0.6)+(S8^0.5)+10+F12),(S6^0.5)+(S10^0.6)+(S8^0.5)+10+F12)))</f>
        <v>127.76042947752654</v>
      </c>
      <c r="M7" s="17"/>
      <c r="N7" s="676" t="s">
        <v>12</v>
      </c>
      <c r="O7" s="677"/>
      <c r="P7" s="53">
        <f>F9+((F9*S6)/S5)+F10</f>
        <v>386.0432868672047</v>
      </c>
      <c r="Q7" s="23"/>
      <c r="R7" s="36" t="s">
        <v>15</v>
      </c>
      <c r="S7" s="37">
        <f>IF(F7="Création",T25,T15)</f>
        <v>141</v>
      </c>
      <c r="T7" s="17"/>
      <c r="U7" s="38"/>
      <c r="V7" s="27"/>
      <c r="W7" s="117">
        <f>K10-1</f>
        <v>132.49580639087876</v>
      </c>
      <c r="X7" s="117">
        <f>K10-2</f>
        <v>131.49580639087876</v>
      </c>
      <c r="Y7" s="117">
        <f>K10-4</f>
        <v>129.49580639087876</v>
      </c>
      <c r="Z7" s="652">
        <f>K10-5</f>
        <v>128.49580639087876</v>
      </c>
      <c r="AA7" s="652"/>
      <c r="AB7" s="117">
        <f>K10-7</f>
        <v>126.49580639087876</v>
      </c>
      <c r="AC7" s="117">
        <f>K10-9</f>
        <v>124.49580639087876</v>
      </c>
      <c r="AD7" s="117">
        <f>K10-10</f>
        <v>123.49580639087876</v>
      </c>
      <c r="AE7" s="118">
        <f>K10-12</f>
        <v>121.49580639087876</v>
      </c>
      <c r="AF7" s="18"/>
      <c r="AG7" s="18"/>
      <c r="AH7" s="138"/>
      <c r="AI7" s="18"/>
      <c r="AJ7" s="18"/>
      <c r="AK7" s="18"/>
      <c r="AL7" s="19"/>
      <c r="AM7" s="5"/>
      <c r="AO7" s="141"/>
      <c r="AP7" s="129">
        <v>7</v>
      </c>
      <c r="AQ7" s="129">
        <f t="shared" si="0"/>
        <v>170</v>
      </c>
      <c r="AR7" s="129">
        <v>160</v>
      </c>
      <c r="AS7" s="129" t="s">
        <v>70</v>
      </c>
      <c r="AT7" s="129">
        <v>27</v>
      </c>
      <c r="AU7" s="129"/>
      <c r="AV7" s="129">
        <v>28</v>
      </c>
      <c r="AW7" s="129"/>
      <c r="AX7" s="129">
        <v>24</v>
      </c>
      <c r="AY7" s="129"/>
      <c r="AZ7" s="141"/>
      <c r="BA7" s="141"/>
    </row>
    <row r="8" spans="1:53" ht="12" customHeight="1">
      <c r="A8" s="1"/>
      <c r="B8" s="13"/>
      <c r="C8" s="39" t="s">
        <v>22</v>
      </c>
      <c r="D8" s="40"/>
      <c r="E8" s="41" t="s">
        <v>23</v>
      </c>
      <c r="F8" s="122">
        <v>350</v>
      </c>
      <c r="G8" s="15"/>
      <c r="H8" s="666"/>
      <c r="I8" s="16"/>
      <c r="J8" s="26"/>
      <c r="K8" s="42"/>
      <c r="L8" s="28"/>
      <c r="M8" s="17"/>
      <c r="N8" s="40"/>
      <c r="O8" s="40"/>
      <c r="P8" s="40"/>
      <c r="Q8" s="23"/>
      <c r="R8" s="36" t="s">
        <v>16</v>
      </c>
      <c r="S8" s="37">
        <f>IF(F7="Création",Q25,Q15)</f>
        <v>813</v>
      </c>
      <c r="T8" s="17"/>
      <c r="U8" s="26" t="s">
        <v>18</v>
      </c>
      <c r="V8" s="27" t="s">
        <v>20</v>
      </c>
      <c r="W8" s="27">
        <v>9</v>
      </c>
      <c r="X8" s="27">
        <v>10</v>
      </c>
      <c r="Y8" s="27">
        <v>11</v>
      </c>
      <c r="Z8" s="653">
        <v>12</v>
      </c>
      <c r="AA8" s="653"/>
      <c r="AB8" s="27">
        <v>13</v>
      </c>
      <c r="AC8" s="27">
        <v>14</v>
      </c>
      <c r="AD8" s="27">
        <v>15</v>
      </c>
      <c r="AE8" s="28">
        <v>16</v>
      </c>
      <c r="AF8" s="140"/>
      <c r="AG8" s="18"/>
      <c r="AH8" s="18"/>
      <c r="AI8" s="18"/>
      <c r="AJ8" s="18"/>
      <c r="AK8" s="18"/>
      <c r="AL8" s="19"/>
      <c r="AM8" s="5"/>
      <c r="AN8" s="121" t="s">
        <v>59</v>
      </c>
      <c r="AO8" s="141"/>
      <c r="AP8" s="129">
        <v>8</v>
      </c>
      <c r="AQ8" s="129">
        <f t="shared" si="0"/>
        <v>179</v>
      </c>
      <c r="AR8" s="129">
        <v>170</v>
      </c>
      <c r="AS8" s="129" t="s">
        <v>72</v>
      </c>
      <c r="AT8" s="129">
        <v>20</v>
      </c>
      <c r="AU8" s="129"/>
      <c r="AV8" s="129">
        <v>21</v>
      </c>
      <c r="AW8" s="129"/>
      <c r="AX8" s="129">
        <v>18</v>
      </c>
      <c r="AY8" s="129"/>
      <c r="AZ8" s="141"/>
      <c r="BA8" s="141"/>
    </row>
    <row r="9" spans="1:53" ht="12" customHeight="1">
      <c r="A9" s="1"/>
      <c r="B9" s="13"/>
      <c r="C9" s="18"/>
      <c r="D9" s="18"/>
      <c r="E9" s="43" t="s">
        <v>24</v>
      </c>
      <c r="F9" s="122">
        <v>370</v>
      </c>
      <c r="G9" s="15"/>
      <c r="H9" s="666"/>
      <c r="I9" s="16"/>
      <c r="J9" s="44"/>
      <c r="K9" s="45" t="s">
        <v>6</v>
      </c>
      <c r="L9" s="46"/>
      <c r="M9" s="17"/>
      <c r="N9" s="654" t="s">
        <v>66</v>
      </c>
      <c r="O9" s="655"/>
      <c r="P9" s="656"/>
      <c r="Q9" s="23"/>
      <c r="R9" s="36" t="s">
        <v>17</v>
      </c>
      <c r="S9" s="37">
        <f>IF(F7="Création",V25,V15)</f>
        <v>680</v>
      </c>
      <c r="T9" s="17"/>
      <c r="U9" s="26" t="s">
        <v>19</v>
      </c>
      <c r="V9" s="27"/>
      <c r="W9" s="115">
        <f>K7-14</f>
        <v>111.79385415145222</v>
      </c>
      <c r="X9" s="115">
        <f>K7-16</f>
        <v>109.79385415145222</v>
      </c>
      <c r="Y9" s="115">
        <f>K7-18</f>
        <v>107.79385415145222</v>
      </c>
      <c r="Z9" s="657">
        <f>K7-19</f>
        <v>106.79385415145222</v>
      </c>
      <c r="AA9" s="657"/>
      <c r="AB9" s="115">
        <f>K7-20</f>
        <v>105.79385415145222</v>
      </c>
      <c r="AC9" s="115">
        <f>K7-22</f>
        <v>103.79385415145222</v>
      </c>
      <c r="AD9" s="115">
        <f>K7-24</f>
        <v>101.79385415145222</v>
      </c>
      <c r="AE9" s="116">
        <f>IF(K7-26&gt;0,K7-26,0)</f>
        <v>99.793854151452223</v>
      </c>
      <c r="AF9" s="18"/>
      <c r="AG9" s="18"/>
      <c r="AH9" s="138"/>
      <c r="AI9" s="18"/>
      <c r="AJ9" s="18"/>
      <c r="AK9" s="18"/>
      <c r="AL9" s="19"/>
      <c r="AM9" s="5"/>
      <c r="AN9" s="121" t="s">
        <v>60</v>
      </c>
      <c r="AO9" s="141"/>
      <c r="AP9" s="129">
        <v>9</v>
      </c>
      <c r="AQ9" s="129">
        <f t="shared" si="0"/>
        <v>189</v>
      </c>
      <c r="AR9" s="129">
        <v>180</v>
      </c>
      <c r="AS9" s="129" t="s">
        <v>74</v>
      </c>
      <c r="AU9" s="129"/>
      <c r="AV9" s="129"/>
      <c r="AW9" s="129"/>
      <c r="AX9" s="129"/>
      <c r="AY9" s="129"/>
      <c r="AZ9" s="141"/>
      <c r="BA9" s="141"/>
    </row>
    <row r="10" spans="1:53" ht="12" customHeight="1">
      <c r="A10" s="1"/>
      <c r="B10" s="47"/>
      <c r="C10" s="20" t="s">
        <v>65</v>
      </c>
      <c r="D10" s="18"/>
      <c r="E10" s="18"/>
      <c r="F10" s="122">
        <v>0</v>
      </c>
      <c r="G10" s="49"/>
      <c r="H10" s="666"/>
      <c r="I10" s="16"/>
      <c r="J10" s="50">
        <f>((300*S9)/S5)+F11</f>
        <v>179.96698459280998</v>
      </c>
      <c r="K10" s="51">
        <f>(IF(AND(F4="Ouvrier",F5="Non"),(((S6^0.5)+(S9^0.6)+(S7^0.5)+25+F13)*0.2)+((S6^0.5)+(S9^0.6)+(S7^0.5)+25+F13),IF(AND(F4="OUVRIER",F5="OUI"),(((S6^0.5)+(S9^0.6)+(S7^0.5)+25+F13)*0.4)+((S6^0.5)+(S9^0.6)+(S7^0.5)+25+F13),(S6^0.5)+(S9^0.6)+(S7^0.5)+25+F13)))</f>
        <v>133.49580639087876</v>
      </c>
      <c r="L10" s="52">
        <f>(IF(AND(F4="Ouvrier",F5="Non"),(((S6^0.5)+(S9^0.6)+(S8^0.5)+10+F12)*0.2)+((S6^0.5)+(S9^0.6)+(S8^0.5)+10+F12),IF(AND(F4="OUVRIER",F5="OUI"),(((S6^0.5)+(S9^0.6)+(S8^0.5)+10+F12)*0.4)+((S6^0.5)+(S9^0.6)+(S8^0.5)+10+F12),(S6^0.5)+(S9^0.6)+(S8^0.5)+10+F12)))</f>
        <v>135.46238171695308</v>
      </c>
      <c r="M10" s="17"/>
      <c r="N10" s="132" t="s">
        <v>67</v>
      </c>
      <c r="O10" s="658">
        <f>IF(F7="Création",(AN23-AN24),(AN23-AN25))</f>
        <v>0</v>
      </c>
      <c r="P10" s="659"/>
      <c r="Q10" s="23"/>
      <c r="R10" s="54" t="s">
        <v>30</v>
      </c>
      <c r="S10" s="55">
        <f>IF(F7="Création",S25,S15)</f>
        <v>541</v>
      </c>
      <c r="T10" s="17"/>
      <c r="U10" s="56"/>
      <c r="V10" s="57"/>
      <c r="W10" s="119">
        <f>K10-14</f>
        <v>119.49580639087876</v>
      </c>
      <c r="X10" s="119">
        <f>K10-16</f>
        <v>117.49580639087876</v>
      </c>
      <c r="Y10" s="119">
        <f>K10-18</f>
        <v>115.49580639087876</v>
      </c>
      <c r="Z10" s="660">
        <f>K10-19</f>
        <v>114.49580639087876</v>
      </c>
      <c r="AA10" s="660"/>
      <c r="AB10" s="119">
        <f>K10-20</f>
        <v>113.49580639087876</v>
      </c>
      <c r="AC10" s="119">
        <f>K10-22</f>
        <v>111.49580639087876</v>
      </c>
      <c r="AD10" s="119">
        <f>K10-24</f>
        <v>109.49580639087876</v>
      </c>
      <c r="AE10" s="120">
        <f>IF(K10-26&gt;0,K10-26,0)</f>
        <v>107.49580639087876</v>
      </c>
      <c r="AF10" s="18"/>
      <c r="AG10" s="18"/>
      <c r="AH10" s="18"/>
      <c r="AI10" s="18"/>
      <c r="AJ10" s="18"/>
      <c r="AK10" s="18"/>
      <c r="AL10" s="19"/>
      <c r="AM10" s="5"/>
      <c r="AN10" s="121" t="s">
        <v>61</v>
      </c>
      <c r="AO10" s="141"/>
      <c r="AP10" s="129">
        <v>10</v>
      </c>
      <c r="AQ10" s="129">
        <f t="shared" si="0"/>
        <v>199</v>
      </c>
      <c r="AR10" s="129">
        <v>190</v>
      </c>
      <c r="AS10" s="129" t="s">
        <v>70</v>
      </c>
      <c r="AT10" s="129">
        <v>8</v>
      </c>
      <c r="AU10" s="129"/>
      <c r="AV10" s="129">
        <v>9</v>
      </c>
      <c r="AW10" s="129"/>
      <c r="AX10" s="129">
        <v>7</v>
      </c>
      <c r="AY10" s="129"/>
      <c r="AZ10" s="141"/>
      <c r="BA10" s="141"/>
    </row>
    <row r="11" spans="1:53" ht="12" customHeight="1" thickBot="1">
      <c r="A11" s="1"/>
      <c r="B11" s="13"/>
      <c r="C11" s="20" t="s">
        <v>25</v>
      </c>
      <c r="D11" s="48"/>
      <c r="E11" s="48"/>
      <c r="F11" s="122">
        <v>165</v>
      </c>
      <c r="G11" s="15"/>
      <c r="H11" s="666"/>
      <c r="I11" s="58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60"/>
      <c r="V11" s="61"/>
      <c r="W11" s="61"/>
      <c r="X11" s="61"/>
      <c r="Y11" s="61"/>
      <c r="Z11" s="62"/>
      <c r="AA11" s="62"/>
      <c r="AB11" s="62"/>
      <c r="AC11" s="62"/>
      <c r="AD11" s="62"/>
      <c r="AE11" s="62"/>
      <c r="AF11" s="62"/>
      <c r="AG11" s="62"/>
      <c r="AH11" s="62"/>
      <c r="AI11" s="138"/>
      <c r="AJ11" s="138"/>
      <c r="AK11" s="138"/>
      <c r="AL11" s="19"/>
      <c r="AM11" s="5"/>
      <c r="AN11" s="121" t="s">
        <v>53</v>
      </c>
      <c r="AO11" s="141"/>
      <c r="AP11" s="129">
        <v>11</v>
      </c>
      <c r="AQ11" s="129">
        <f t="shared" si="0"/>
        <v>209</v>
      </c>
      <c r="AR11" s="129">
        <v>200</v>
      </c>
      <c r="AS11" s="129" t="s">
        <v>72</v>
      </c>
      <c r="AT11" s="129">
        <v>14</v>
      </c>
      <c r="AU11" s="129"/>
      <c r="AV11" s="129">
        <v>15</v>
      </c>
      <c r="AW11" s="129"/>
      <c r="AX11" s="129">
        <v>12</v>
      </c>
      <c r="AY11" s="129"/>
      <c r="AZ11" s="141"/>
      <c r="BA11" s="141"/>
    </row>
    <row r="12" spans="1:53" ht="12" customHeight="1" thickBot="1">
      <c r="A12" s="1"/>
      <c r="B12" s="47"/>
      <c r="C12" s="20" t="s">
        <v>26</v>
      </c>
      <c r="D12" s="18"/>
      <c r="E12" s="43" t="s">
        <v>27</v>
      </c>
      <c r="F12" s="124">
        <v>0</v>
      </c>
      <c r="G12" s="49"/>
      <c r="H12" s="3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4"/>
      <c r="V12" s="5"/>
      <c r="W12" s="5"/>
      <c r="X12" s="5"/>
      <c r="Y12" s="5"/>
      <c r="Z12" s="63"/>
      <c r="AA12" s="649" t="s">
        <v>57</v>
      </c>
      <c r="AB12" s="649"/>
      <c r="AC12" s="649"/>
      <c r="AD12" s="649"/>
      <c r="AE12" s="649"/>
      <c r="AF12" s="649"/>
      <c r="AG12" s="649"/>
      <c r="AH12" s="649"/>
      <c r="AI12" s="649"/>
      <c r="AJ12" s="649"/>
      <c r="AK12" s="649"/>
      <c r="AL12" s="19"/>
      <c r="AM12" s="5"/>
      <c r="AO12" s="141"/>
      <c r="AP12" s="129">
        <v>12</v>
      </c>
      <c r="AQ12" s="129">
        <f t="shared" si="0"/>
        <v>219</v>
      </c>
      <c r="AR12" s="129">
        <v>210</v>
      </c>
      <c r="AS12" s="129" t="s">
        <v>75</v>
      </c>
      <c r="AU12" s="129"/>
      <c r="AV12" s="129"/>
      <c r="AW12" s="129"/>
      <c r="AX12" s="129"/>
      <c r="AY12" s="129"/>
      <c r="AZ12" s="141"/>
      <c r="BA12" s="141"/>
    </row>
    <row r="13" spans="1:53" ht="12" customHeight="1" thickBot="1">
      <c r="A13" s="1"/>
      <c r="B13" s="64"/>
      <c r="C13" s="108"/>
      <c r="D13" s="108"/>
      <c r="E13" s="130" t="s">
        <v>28</v>
      </c>
      <c r="F13" s="131">
        <v>0</v>
      </c>
      <c r="G13" s="65"/>
      <c r="H13" s="3"/>
      <c r="I13" s="9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66"/>
      <c r="V13" s="11"/>
      <c r="W13" s="11"/>
      <c r="X13" s="12"/>
      <c r="Y13" s="5"/>
      <c r="Z13" s="63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19"/>
      <c r="AM13" s="5"/>
      <c r="AO13" s="141"/>
      <c r="AP13" s="129">
        <v>13</v>
      </c>
      <c r="AQ13" s="129">
        <f t="shared" si="0"/>
        <v>229</v>
      </c>
      <c r="AR13" s="129">
        <v>220</v>
      </c>
      <c r="AS13" s="129" t="s">
        <v>70</v>
      </c>
      <c r="AT13" s="129">
        <v>3</v>
      </c>
      <c r="AU13" s="129"/>
      <c r="AV13" s="129">
        <v>4</v>
      </c>
      <c r="AW13" s="129"/>
      <c r="AX13" s="129">
        <v>2</v>
      </c>
      <c r="AY13" s="129"/>
      <c r="AZ13" s="141"/>
      <c r="BA13" s="141"/>
    </row>
    <row r="14" spans="1:53" ht="12" customHeight="1" thickBot="1">
      <c r="A14" s="1"/>
      <c r="B14" s="68"/>
      <c r="C14" s="68"/>
      <c r="D14" s="68"/>
      <c r="E14" s="68"/>
      <c r="F14" s="3"/>
      <c r="G14" s="3"/>
      <c r="H14" s="3"/>
      <c r="I14" s="16"/>
      <c r="J14" s="628" t="s">
        <v>31</v>
      </c>
      <c r="K14" s="628"/>
      <c r="L14" s="88" t="s">
        <v>32</v>
      </c>
      <c r="M14" s="631" t="s">
        <v>29</v>
      </c>
      <c r="N14" s="614"/>
      <c r="O14" s="632" t="s">
        <v>14</v>
      </c>
      <c r="P14" s="614"/>
      <c r="Q14" s="633" t="s">
        <v>16</v>
      </c>
      <c r="R14" s="634"/>
      <c r="S14" s="69" t="s">
        <v>30</v>
      </c>
      <c r="T14" s="635" t="s">
        <v>15</v>
      </c>
      <c r="U14" s="635"/>
      <c r="V14" s="636" t="s">
        <v>38</v>
      </c>
      <c r="W14" s="636"/>
      <c r="X14" s="19"/>
      <c r="Y14" s="5"/>
      <c r="Z14" s="63"/>
      <c r="AA14" s="67"/>
      <c r="AB14" s="650" t="s">
        <v>5</v>
      </c>
      <c r="AC14" s="651"/>
      <c r="AD14" s="645" t="s">
        <v>6</v>
      </c>
      <c r="AE14" s="646"/>
      <c r="AF14" s="62"/>
      <c r="AG14" s="67"/>
      <c r="AH14" s="650" t="s">
        <v>5</v>
      </c>
      <c r="AI14" s="651"/>
      <c r="AJ14" s="645" t="s">
        <v>6</v>
      </c>
      <c r="AK14" s="646"/>
      <c r="AL14" s="19"/>
      <c r="AM14" s="5"/>
      <c r="AO14" s="141"/>
      <c r="AP14" s="129">
        <v>14</v>
      </c>
      <c r="AQ14" s="129">
        <f t="shared" si="0"/>
        <v>239</v>
      </c>
      <c r="AR14" s="129">
        <v>230</v>
      </c>
      <c r="AS14" s="129" t="s">
        <v>72</v>
      </c>
      <c r="AT14" s="129">
        <v>4</v>
      </c>
      <c r="AU14" s="129"/>
      <c r="AV14" s="129">
        <v>5</v>
      </c>
      <c r="AW14" s="129"/>
      <c r="AX14" s="129">
        <v>3</v>
      </c>
      <c r="AY14" s="129"/>
      <c r="AZ14" s="141"/>
      <c r="BA14" s="141"/>
    </row>
    <row r="15" spans="1:53" ht="12" customHeight="1">
      <c r="A15" s="1"/>
      <c r="B15" s="72"/>
      <c r="C15" s="647" t="s">
        <v>39</v>
      </c>
      <c r="D15" s="647"/>
      <c r="E15" s="647"/>
      <c r="F15" s="647"/>
      <c r="G15" s="73"/>
      <c r="H15" s="2"/>
      <c r="I15" s="16"/>
      <c r="J15" s="628"/>
      <c r="K15" s="628"/>
      <c r="L15" s="91">
        <f>IF(F7="Estimation",IF(AND(F4="Soldat",F5="Non"),(V30+(M15*15)),IF(AND(F4="Soldat",F5="Oui"),(V30+(M15*20)),(V30+(M15*10)))),"")</f>
        <v>13630</v>
      </c>
      <c r="M15" s="637">
        <v>1204</v>
      </c>
      <c r="N15" s="648"/>
      <c r="O15" s="639">
        <v>591</v>
      </c>
      <c r="P15" s="648"/>
      <c r="Q15" s="640">
        <v>813</v>
      </c>
      <c r="R15" s="641"/>
      <c r="S15" s="114">
        <v>541</v>
      </c>
      <c r="T15" s="642">
        <v>141</v>
      </c>
      <c r="U15" s="642"/>
      <c r="V15" s="642">
        <v>680</v>
      </c>
      <c r="W15" s="642"/>
      <c r="X15" s="19"/>
      <c r="Y15" s="5"/>
      <c r="Z15" s="63"/>
      <c r="AA15" s="70" t="s">
        <v>82</v>
      </c>
      <c r="AB15" s="70"/>
      <c r="AC15" s="70"/>
      <c r="AD15" s="70"/>
      <c r="AE15" s="71"/>
      <c r="AF15" s="62"/>
      <c r="AG15" s="70" t="s">
        <v>83</v>
      </c>
      <c r="AH15" s="70"/>
      <c r="AI15" s="70"/>
      <c r="AJ15" s="70"/>
      <c r="AK15" s="71"/>
      <c r="AL15" s="19"/>
      <c r="AM15" s="5"/>
      <c r="AO15" s="141"/>
      <c r="AP15" s="129">
        <v>15</v>
      </c>
      <c r="AQ15" s="129">
        <f t="shared" si="0"/>
        <v>249</v>
      </c>
      <c r="AR15" s="129">
        <v>240</v>
      </c>
      <c r="AS15" s="129" t="s">
        <v>76</v>
      </c>
      <c r="AU15" s="129"/>
      <c r="AV15" s="129"/>
      <c r="AW15" s="129"/>
      <c r="AX15" s="129"/>
      <c r="AY15" s="129"/>
      <c r="AZ15" s="141"/>
      <c r="BA15" s="141"/>
    </row>
    <row r="16" spans="1:53" ht="12" customHeight="1" thickBot="1">
      <c r="A16" s="1"/>
      <c r="B16" s="75"/>
      <c r="C16" s="20"/>
      <c r="D16" s="20"/>
      <c r="E16" s="20"/>
      <c r="F16" s="76"/>
      <c r="G16" s="77"/>
      <c r="H16" s="2"/>
      <c r="I16" s="58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60"/>
      <c r="V16" s="61"/>
      <c r="W16" s="61"/>
      <c r="X16" s="78"/>
      <c r="Y16" s="5"/>
      <c r="Z16" s="63"/>
      <c r="AA16" s="40"/>
      <c r="AB16" s="609">
        <f>K7</f>
        <v>125.79385415145222</v>
      </c>
      <c r="AC16" s="610"/>
      <c r="AD16" s="611">
        <f>K10</f>
        <v>133.49580639087876</v>
      </c>
      <c r="AE16" s="612"/>
      <c r="AF16" s="62"/>
      <c r="AG16" s="40"/>
      <c r="AH16" s="609">
        <f>IF(M2="GRAND FORT",K7+4,IF(M2="MOYEN FORT",K7+3,K7+2))</f>
        <v>127.79385415145222</v>
      </c>
      <c r="AI16" s="610"/>
      <c r="AJ16" s="611">
        <f>IF(M2="GRAND FORT",K10+4,IF(M2="MOYEN FORT",K10+3,K10+2))</f>
        <v>135.49580639087876</v>
      </c>
      <c r="AK16" s="612"/>
      <c r="AL16" s="19"/>
      <c r="AM16" s="5"/>
      <c r="AO16" s="141"/>
      <c r="AP16" s="129">
        <v>16</v>
      </c>
      <c r="AQ16" s="129">
        <f t="shared" si="0"/>
        <v>259</v>
      </c>
      <c r="AR16" s="129">
        <v>250</v>
      </c>
      <c r="AS16" s="129" t="s">
        <v>70</v>
      </c>
      <c r="AT16" s="129">
        <v>-10</v>
      </c>
      <c r="AU16" s="129"/>
      <c r="AV16" s="129">
        <v>-10</v>
      </c>
      <c r="AW16" s="129"/>
      <c r="AX16" s="129">
        <v>-10</v>
      </c>
      <c r="AY16" s="129"/>
      <c r="AZ16" s="141"/>
      <c r="BA16" s="141"/>
    </row>
    <row r="17" spans="1:53" ht="12" customHeight="1" thickBot="1">
      <c r="A17" s="1"/>
      <c r="B17" s="75"/>
      <c r="C17" s="79" t="s">
        <v>34</v>
      </c>
      <c r="D17" s="112">
        <v>0</v>
      </c>
      <c r="E17" s="80" t="s">
        <v>29</v>
      </c>
      <c r="F17" s="112">
        <v>0</v>
      </c>
      <c r="G17" s="81"/>
      <c r="H17" s="1"/>
      <c r="I17" s="1"/>
      <c r="J17" s="1"/>
      <c r="K17" s="1"/>
      <c r="L17" s="1"/>
      <c r="M17" s="1"/>
      <c r="N17" s="1"/>
      <c r="O17" s="1"/>
      <c r="P17" s="1"/>
      <c r="Q17" s="1"/>
      <c r="R17" s="139"/>
      <c r="S17" s="1"/>
      <c r="T17" s="1"/>
      <c r="U17" s="5"/>
      <c r="V17" s="5"/>
      <c r="W17" s="5"/>
      <c r="X17" s="5"/>
      <c r="Y17" s="5"/>
      <c r="Z17" s="63"/>
      <c r="AA17" s="40"/>
      <c r="AB17" s="601">
        <f>L7</f>
        <v>127.76042947752654</v>
      </c>
      <c r="AC17" s="602"/>
      <c r="AD17" s="599">
        <f>L10</f>
        <v>135.46238171695308</v>
      </c>
      <c r="AE17" s="600"/>
      <c r="AF17" s="62"/>
      <c r="AG17" s="40"/>
      <c r="AH17" s="601">
        <f>IF(M2="GRAND FORT",L7+5,IF(M2="MOYEN FORT",L7+4,L7+3))</f>
        <v>130.76042947752654</v>
      </c>
      <c r="AI17" s="602"/>
      <c r="AJ17" s="599">
        <f>IF(M2="GRAND FORT",L10+5,IF(M2="MOYEN FORT",L10+4,L10+3))</f>
        <v>138.46238171695308</v>
      </c>
      <c r="AK17" s="600"/>
      <c r="AL17" s="19"/>
      <c r="AM17" s="5"/>
      <c r="AO17" s="141"/>
      <c r="AP17" s="129">
        <v>17</v>
      </c>
      <c r="AQ17" s="129">
        <f t="shared" si="0"/>
        <v>269</v>
      </c>
      <c r="AR17" s="129">
        <v>260</v>
      </c>
      <c r="AS17" s="129" t="s">
        <v>72</v>
      </c>
      <c r="AT17" s="129">
        <v>-10</v>
      </c>
      <c r="AU17" s="129"/>
      <c r="AV17" s="129">
        <v>-10</v>
      </c>
      <c r="AW17" s="129"/>
      <c r="AX17" s="129">
        <v>-10</v>
      </c>
      <c r="AY17" s="129"/>
      <c r="AZ17" s="141"/>
      <c r="BA17" s="141"/>
    </row>
    <row r="18" spans="1:53" ht="12" customHeight="1">
      <c r="A18" s="1"/>
      <c r="B18" s="75"/>
      <c r="C18" s="82"/>
      <c r="D18" s="167"/>
      <c r="E18" s="83"/>
      <c r="F18" s="125"/>
      <c r="G18" s="81"/>
      <c r="H18" s="1"/>
      <c r="I18" s="9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66"/>
      <c r="V18" s="11"/>
      <c r="W18" s="11"/>
      <c r="X18" s="12"/>
      <c r="Y18" s="5"/>
      <c r="Z18" s="63"/>
      <c r="AA18" s="70" t="s">
        <v>50</v>
      </c>
      <c r="AB18" s="135"/>
      <c r="AC18" s="135"/>
      <c r="AD18" s="135"/>
      <c r="AE18" s="28"/>
      <c r="AF18" s="62"/>
      <c r="AG18" s="70" t="s">
        <v>84</v>
      </c>
      <c r="AH18" s="135"/>
      <c r="AI18" s="135"/>
      <c r="AJ18" s="135"/>
      <c r="AK18" s="28"/>
      <c r="AL18" s="19"/>
      <c r="AM18" s="5"/>
      <c r="AO18" s="141"/>
      <c r="AP18" s="129">
        <v>18</v>
      </c>
      <c r="AQ18" s="129">
        <f t="shared" si="0"/>
        <v>279</v>
      </c>
      <c r="AR18" s="129">
        <v>270</v>
      </c>
      <c r="AS18" s="129" t="s">
        <v>77</v>
      </c>
      <c r="AU18" s="129"/>
      <c r="AV18" s="129"/>
      <c r="AW18" s="129"/>
      <c r="AX18" s="129"/>
      <c r="AY18" s="129"/>
      <c r="AZ18" s="141"/>
      <c r="BA18" s="141"/>
    </row>
    <row r="19" spans="1:53" ht="12" customHeight="1">
      <c r="A19" s="1"/>
      <c r="B19" s="75"/>
      <c r="C19" s="84" t="s">
        <v>37</v>
      </c>
      <c r="D19" s="168">
        <v>0</v>
      </c>
      <c r="E19" s="85" t="s">
        <v>35</v>
      </c>
      <c r="F19" s="126">
        <v>0</v>
      </c>
      <c r="G19" s="81"/>
      <c r="H19" s="1"/>
      <c r="I19" s="644" t="s">
        <v>41</v>
      </c>
      <c r="J19" s="628"/>
      <c r="K19" s="628"/>
      <c r="L19" s="628"/>
      <c r="M19" s="631" t="s">
        <v>29</v>
      </c>
      <c r="N19" s="614"/>
      <c r="O19" s="632" t="s">
        <v>14</v>
      </c>
      <c r="P19" s="614"/>
      <c r="Q19" s="633" t="s">
        <v>16</v>
      </c>
      <c r="R19" s="634"/>
      <c r="S19" s="69" t="s">
        <v>30</v>
      </c>
      <c r="T19" s="635" t="s">
        <v>15</v>
      </c>
      <c r="U19" s="635"/>
      <c r="V19" s="636" t="s">
        <v>38</v>
      </c>
      <c r="W19" s="636"/>
      <c r="X19" s="19"/>
      <c r="Y19" s="5"/>
      <c r="Z19" s="63"/>
      <c r="AA19" s="40"/>
      <c r="AB19" s="609">
        <f>IF(M2="GRAND FORT",AB22+21,IF(M2="MOYEN FORT",AB22+20,AB22+15))</f>
        <v>164.79385415145222</v>
      </c>
      <c r="AC19" s="610"/>
      <c r="AD19" s="611">
        <f>IF(M2="GRAND FORT",AD22+21,IF(M2="MOYEN FORT",AD22+20,AD22+15))</f>
        <v>172.49580639087876</v>
      </c>
      <c r="AE19" s="612"/>
      <c r="AF19" s="62"/>
      <c r="AG19" s="40"/>
      <c r="AH19" s="609">
        <f>IF(M2="GRAND FORT",K7+16,IF(M2="MOYEN FORT",K7+14,K7+9))</f>
        <v>134.79385415145222</v>
      </c>
      <c r="AI19" s="610"/>
      <c r="AJ19" s="611">
        <f>IF(M2="GRAND FORT",K10+16,IF(M2="MOYEN FORT",K10+14,K10+9))</f>
        <v>142.49580639087876</v>
      </c>
      <c r="AK19" s="612"/>
      <c r="AL19" s="19"/>
      <c r="AM19" s="5"/>
      <c r="AO19" s="141"/>
      <c r="AP19" s="129">
        <v>19</v>
      </c>
      <c r="AQ19" s="129">
        <f t="shared" si="0"/>
        <v>289</v>
      </c>
      <c r="AR19" s="129">
        <v>280</v>
      </c>
      <c r="AS19" s="129" t="s">
        <v>70</v>
      </c>
      <c r="AT19" s="129">
        <v>-5</v>
      </c>
      <c r="AU19" s="129"/>
      <c r="AV19" s="129">
        <v>-5</v>
      </c>
      <c r="AW19" s="129"/>
      <c r="AX19" s="129">
        <v>-5</v>
      </c>
      <c r="AY19" s="129"/>
      <c r="AZ19" s="141"/>
      <c r="BA19" s="141"/>
    </row>
    <row r="20" spans="1:53" ht="12" customHeight="1">
      <c r="A20" s="1"/>
      <c r="B20" s="75"/>
      <c r="C20" s="84"/>
      <c r="D20" s="169"/>
      <c r="E20" s="85" t="s">
        <v>30</v>
      </c>
      <c r="F20" s="126">
        <v>0</v>
      </c>
      <c r="G20" s="81"/>
      <c r="H20" s="1"/>
      <c r="I20" s="644"/>
      <c r="J20" s="628"/>
      <c r="K20" s="628"/>
      <c r="L20" s="628"/>
      <c r="M20" s="637">
        <v>1</v>
      </c>
      <c r="N20" s="638"/>
      <c r="O20" s="639">
        <v>1711</v>
      </c>
      <c r="P20" s="638"/>
      <c r="Q20" s="640">
        <v>0</v>
      </c>
      <c r="R20" s="641"/>
      <c r="S20" s="114">
        <v>0</v>
      </c>
      <c r="T20" s="642">
        <v>0</v>
      </c>
      <c r="U20" s="642"/>
      <c r="V20" s="643">
        <v>0</v>
      </c>
      <c r="W20" s="643"/>
      <c r="X20" s="19"/>
      <c r="Y20" s="5"/>
      <c r="Z20" s="63"/>
      <c r="AA20" s="40"/>
      <c r="AB20" s="601">
        <f>IF(M2="GRAND FORT",AB23+21,IF(M2="MOYEN FORT",AB23+20,AB23+15))</f>
        <v>160.76042947752654</v>
      </c>
      <c r="AC20" s="602"/>
      <c r="AD20" s="599">
        <f>IF(M2="GRAND FORT",AD23+21,IF(M2="MOYEN FORT",AD23+20,AD23+15))</f>
        <v>168.46238171695308</v>
      </c>
      <c r="AE20" s="600"/>
      <c r="AF20" s="62"/>
      <c r="AG20" s="40"/>
      <c r="AH20" s="601">
        <f>IF(M2="GRAND FORT",L7+8,IF(M2="MOYEN FORT",L7+6,L7+3))</f>
        <v>130.76042947752654</v>
      </c>
      <c r="AI20" s="602"/>
      <c r="AJ20" s="599">
        <f>IF(M2="GRAND FORT",L10+8,IF(M2="MOYEN FORT",L10+6,L10+3))</f>
        <v>138.46238171695308</v>
      </c>
      <c r="AK20" s="600"/>
      <c r="AL20" s="19"/>
      <c r="AM20" s="5"/>
      <c r="AN20" s="121" t="s">
        <v>21</v>
      </c>
      <c r="AO20" s="141"/>
      <c r="AP20" s="129">
        <v>20</v>
      </c>
      <c r="AQ20" s="129">
        <f t="shared" si="0"/>
        <v>299</v>
      </c>
      <c r="AR20" s="129">
        <v>290</v>
      </c>
      <c r="AS20" s="129" t="s">
        <v>72</v>
      </c>
      <c r="AT20" s="129">
        <v>-5</v>
      </c>
      <c r="AU20" s="129"/>
      <c r="AV20" s="129">
        <v>-5</v>
      </c>
      <c r="AW20" s="129"/>
      <c r="AX20" s="129">
        <v>-5</v>
      </c>
      <c r="AY20" s="129"/>
      <c r="AZ20" s="141"/>
      <c r="BA20" s="141"/>
    </row>
    <row r="21" spans="1:53" ht="12" customHeight="1" thickBot="1">
      <c r="A21" s="21"/>
      <c r="B21" s="75"/>
      <c r="C21" s="82"/>
      <c r="D21" s="167"/>
      <c r="E21" s="83"/>
      <c r="F21" s="125"/>
      <c r="G21" s="81"/>
      <c r="H21" s="21"/>
      <c r="I21" s="58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60"/>
      <c r="V21" s="61"/>
      <c r="W21" s="61"/>
      <c r="X21" s="78"/>
      <c r="Y21" s="5"/>
      <c r="Z21" s="63"/>
      <c r="AA21" s="70" t="s">
        <v>49</v>
      </c>
      <c r="AB21" s="135"/>
      <c r="AC21" s="135"/>
      <c r="AD21" s="135"/>
      <c r="AE21" s="28"/>
      <c r="AF21" s="62"/>
      <c r="AG21" s="70" t="s">
        <v>85</v>
      </c>
      <c r="AH21" s="135"/>
      <c r="AI21" s="135"/>
      <c r="AJ21" s="135"/>
      <c r="AK21" s="28"/>
      <c r="AL21" s="19"/>
      <c r="AM21" s="5"/>
      <c r="AN21" s="121" t="s">
        <v>64</v>
      </c>
      <c r="AO21" s="141"/>
      <c r="AP21" s="129">
        <v>21</v>
      </c>
      <c r="AQ21" s="129">
        <f t="shared" si="0"/>
        <v>309</v>
      </c>
      <c r="AR21" s="129">
        <v>300</v>
      </c>
      <c r="AU21" s="129"/>
      <c r="AV21" s="129"/>
      <c r="AW21" s="129"/>
      <c r="AX21" s="129"/>
      <c r="AY21" s="129"/>
      <c r="AZ21" s="141"/>
      <c r="BA21" s="141"/>
    </row>
    <row r="22" spans="1:53" ht="12" customHeight="1" thickBot="1">
      <c r="A22" s="21"/>
      <c r="B22" s="75"/>
      <c r="C22" s="86" t="s">
        <v>36</v>
      </c>
      <c r="D22" s="170">
        <v>0</v>
      </c>
      <c r="E22" s="87" t="s">
        <v>15</v>
      </c>
      <c r="F22" s="170">
        <v>0</v>
      </c>
      <c r="G22" s="8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5"/>
      <c r="V22" s="5"/>
      <c r="W22" s="5"/>
      <c r="X22" s="5"/>
      <c r="Y22" s="5"/>
      <c r="Z22" s="63"/>
      <c r="AA22" s="40"/>
      <c r="AB22" s="609">
        <f>IF(M2="GRAND FORT",K7+28,IF(M2="MOYEN FORT",K7+27,K7+24))</f>
        <v>149.79385415145222</v>
      </c>
      <c r="AC22" s="610"/>
      <c r="AD22" s="611">
        <f>IF(M2="GRAND FORT",K10+28,IF(M2="MOYEN FORT",K10+27,K10+24))</f>
        <v>157.49580639087876</v>
      </c>
      <c r="AE22" s="612"/>
      <c r="AF22" s="62"/>
      <c r="AG22" s="40"/>
      <c r="AH22" s="609">
        <f>K7+8</f>
        <v>133.79385415145222</v>
      </c>
      <c r="AI22" s="610"/>
      <c r="AJ22" s="611">
        <f>K10+8</f>
        <v>141.49580639087876</v>
      </c>
      <c r="AK22" s="612"/>
      <c r="AL22" s="19"/>
      <c r="AM22" s="5"/>
      <c r="AO22" s="141"/>
      <c r="AP22" s="129">
        <v>22</v>
      </c>
      <c r="AQ22" s="129">
        <f t="shared" si="0"/>
        <v>319</v>
      </c>
      <c r="AR22" s="129">
        <v>310</v>
      </c>
      <c r="AS22" s="129" t="s">
        <v>79</v>
      </c>
      <c r="AT22" s="129">
        <v>8</v>
      </c>
      <c r="AU22" s="129"/>
      <c r="AV22" s="129">
        <v>8</v>
      </c>
      <c r="AW22" s="129"/>
      <c r="AX22" s="129">
        <v>8</v>
      </c>
      <c r="AY22" s="129"/>
      <c r="AZ22" s="141"/>
      <c r="BA22" s="141"/>
    </row>
    <row r="23" spans="1:53" ht="12" customHeight="1">
      <c r="A23" s="21"/>
      <c r="B23" s="75"/>
      <c r="C23" s="86"/>
      <c r="D23" s="171"/>
      <c r="E23" s="87" t="s">
        <v>38</v>
      </c>
      <c r="F23" s="127">
        <v>0</v>
      </c>
      <c r="G23" s="81"/>
      <c r="H23" s="21"/>
      <c r="I23" s="9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66"/>
      <c r="V23" s="11"/>
      <c r="W23" s="11"/>
      <c r="X23" s="12"/>
      <c r="Y23" s="5"/>
      <c r="Z23" s="63"/>
      <c r="AA23" s="40"/>
      <c r="AB23" s="601">
        <f>IF(M2="GRAND FORT",L7+21,IF(M2="MOYEN FORT",L7+20,L7+18))</f>
        <v>145.76042947752654</v>
      </c>
      <c r="AC23" s="602"/>
      <c r="AD23" s="599">
        <f>IF(M2="GRAND FORT",L10+21,IF(M2="MOYEN FORT",L10+20,L10+18))</f>
        <v>153.46238171695308</v>
      </c>
      <c r="AE23" s="600"/>
      <c r="AF23" s="62"/>
      <c r="AG23" s="40"/>
      <c r="AH23" s="601">
        <f>L7+16</f>
        <v>143.76042947752654</v>
      </c>
      <c r="AI23" s="602"/>
      <c r="AJ23" s="599">
        <f>L10+16</f>
        <v>151.46238171695308</v>
      </c>
      <c r="AK23" s="600"/>
      <c r="AL23" s="19"/>
      <c r="AM23" s="5"/>
      <c r="AN23" s="133">
        <f>((S6^0.5)+(S10^0.6)+(S7^0.5)+F13)</f>
        <v>79.828211792876857</v>
      </c>
      <c r="AO23" s="141"/>
      <c r="AP23" s="129">
        <v>23</v>
      </c>
      <c r="AQ23" s="129">
        <f t="shared" si="0"/>
        <v>328</v>
      </c>
      <c r="AR23" s="129">
        <v>320</v>
      </c>
      <c r="AT23" s="129">
        <v>16</v>
      </c>
      <c r="AU23" s="129"/>
      <c r="AV23" s="129">
        <v>16</v>
      </c>
      <c r="AW23" s="129"/>
      <c r="AX23" s="129">
        <v>16</v>
      </c>
      <c r="AY23" s="129"/>
      <c r="AZ23" s="141"/>
      <c r="BA23" s="141"/>
    </row>
    <row r="24" spans="1:53" ht="12" customHeight="1">
      <c r="A24" s="21"/>
      <c r="B24" s="75"/>
      <c r="C24" s="82"/>
      <c r="D24" s="167"/>
      <c r="E24" s="83"/>
      <c r="F24" s="125"/>
      <c r="G24" s="81"/>
      <c r="H24" s="21"/>
      <c r="I24" s="16"/>
      <c r="J24" s="628" t="s">
        <v>33</v>
      </c>
      <c r="K24" s="629"/>
      <c r="L24" s="88" t="s">
        <v>32</v>
      </c>
      <c r="M24" s="631" t="s">
        <v>29</v>
      </c>
      <c r="N24" s="614"/>
      <c r="O24" s="632" t="s">
        <v>14</v>
      </c>
      <c r="P24" s="614"/>
      <c r="Q24" s="633" t="s">
        <v>16</v>
      </c>
      <c r="R24" s="634"/>
      <c r="S24" s="69" t="s">
        <v>30</v>
      </c>
      <c r="T24" s="635" t="s">
        <v>15</v>
      </c>
      <c r="U24" s="635"/>
      <c r="V24" s="636" t="s">
        <v>38</v>
      </c>
      <c r="W24" s="636"/>
      <c r="X24" s="19"/>
      <c r="Y24" s="5"/>
      <c r="Z24" s="63"/>
      <c r="AA24" s="70" t="s">
        <v>51</v>
      </c>
      <c r="AB24" s="135"/>
      <c r="AC24" s="135"/>
      <c r="AD24" s="135"/>
      <c r="AE24" s="28"/>
      <c r="AF24" s="62"/>
      <c r="AG24" s="70" t="s">
        <v>86</v>
      </c>
      <c r="AH24" s="135"/>
      <c r="AI24" s="135"/>
      <c r="AJ24" s="135"/>
      <c r="AK24" s="28"/>
      <c r="AL24" s="19"/>
      <c r="AM24" s="5"/>
      <c r="AN24" s="134">
        <f>(O25^0.5)+(S10^0.6)+(S7^0.5)+F13</f>
        <v>96.881955990483291</v>
      </c>
      <c r="AO24" s="141"/>
      <c r="AP24" s="129">
        <v>24</v>
      </c>
      <c r="AQ24" s="129">
        <f t="shared" si="0"/>
        <v>338</v>
      </c>
      <c r="AR24" s="129">
        <v>330</v>
      </c>
      <c r="AU24" s="129"/>
      <c r="AV24" s="129"/>
      <c r="AW24" s="129"/>
      <c r="AX24" s="129"/>
      <c r="AY24" s="129"/>
      <c r="AZ24" s="141"/>
      <c r="BA24" s="141"/>
    </row>
    <row r="25" spans="1:53" ht="12" customHeight="1">
      <c r="A25" s="21"/>
      <c r="B25" s="75"/>
      <c r="C25" s="89" t="s">
        <v>40</v>
      </c>
      <c r="D25" s="172">
        <v>0</v>
      </c>
      <c r="E25" s="90" t="s">
        <v>14</v>
      </c>
      <c r="F25" s="128">
        <v>0</v>
      </c>
      <c r="G25" s="81"/>
      <c r="H25" s="21"/>
      <c r="I25" s="16"/>
      <c r="J25" s="630"/>
      <c r="K25" s="629"/>
      <c r="L25" s="91" t="str">
        <f>IF(F7="Création",IF(AND(F4="Soldat",F5="Non"),(V30+(M25*15)),IF(AND(F4="Soldat",F5="Oui"),(V30+(M25*20)),(V30+(D17*10)+(F17*10)+(M20*10)))),"")</f>
        <v/>
      </c>
      <c r="M25" s="623">
        <f>M20+D17+F17</f>
        <v>1</v>
      </c>
      <c r="N25" s="604"/>
      <c r="O25" s="624">
        <f>D25+F25+O20</f>
        <v>1711</v>
      </c>
      <c r="P25" s="604"/>
      <c r="Q25" s="625">
        <f>D19+F19+Q20</f>
        <v>0</v>
      </c>
      <c r="R25" s="626"/>
      <c r="S25" s="74">
        <f>D19+F20+S20</f>
        <v>0</v>
      </c>
      <c r="T25" s="627">
        <f>D22+F22+T20</f>
        <v>0</v>
      </c>
      <c r="U25" s="627"/>
      <c r="V25" s="627">
        <f>D22+F23+V20</f>
        <v>0</v>
      </c>
      <c r="W25" s="627"/>
      <c r="X25" s="19"/>
      <c r="Y25" s="5"/>
      <c r="Z25" s="63"/>
      <c r="AA25" s="40"/>
      <c r="AB25" s="609">
        <f>IF(M2="GRAND FORT",K7+9,IF(M2="MOYEN FORT",K7+8,L7+7))</f>
        <v>134.76042947752654</v>
      </c>
      <c r="AC25" s="610"/>
      <c r="AD25" s="611">
        <f>IF(M2="GRAND FORT",K10+9,IF(M2="MOYEN FORT",K10+8,L7+7))</f>
        <v>134.76042947752654</v>
      </c>
      <c r="AE25" s="612"/>
      <c r="AF25" s="62"/>
      <c r="AG25" s="40"/>
      <c r="AH25" s="609">
        <f>K7+12</f>
        <v>137.79385415145222</v>
      </c>
      <c r="AI25" s="610"/>
      <c r="AJ25" s="611">
        <f>K10+12</f>
        <v>145.49580639087876</v>
      </c>
      <c r="AK25" s="612"/>
      <c r="AL25" s="19"/>
      <c r="AM25" s="5"/>
      <c r="AN25" s="133">
        <f>(O15^0.5)+(S10^0.6)+(S7^0.5)+F13</f>
        <v>79.828211792876857</v>
      </c>
      <c r="AO25" s="141"/>
      <c r="AP25" s="129">
        <v>25</v>
      </c>
      <c r="AQ25" s="129">
        <f t="shared" si="0"/>
        <v>348</v>
      </c>
      <c r="AR25" s="129">
        <v>340</v>
      </c>
      <c r="AS25" s="129" t="s">
        <v>80</v>
      </c>
      <c r="AT25" s="129">
        <v>14</v>
      </c>
      <c r="AU25" s="129"/>
      <c r="AV25" s="129">
        <v>16</v>
      </c>
      <c r="AW25" s="129"/>
      <c r="AX25" s="129">
        <v>9</v>
      </c>
      <c r="AY25" s="129"/>
      <c r="AZ25" s="141"/>
      <c r="BA25" s="141"/>
    </row>
    <row r="26" spans="1:53" ht="12" customHeight="1" thickBot="1">
      <c r="A26" s="21"/>
      <c r="B26" s="92"/>
      <c r="C26" s="93"/>
      <c r="D26" s="93"/>
      <c r="E26" s="93"/>
      <c r="F26" s="93"/>
      <c r="G26" s="94"/>
      <c r="H26" s="21"/>
      <c r="I26" s="58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60"/>
      <c r="V26" s="61"/>
      <c r="W26" s="61"/>
      <c r="X26" s="78"/>
      <c r="Y26" s="21"/>
      <c r="Z26" s="47"/>
      <c r="AA26" s="40"/>
      <c r="AB26" s="601">
        <f>IF(M2="GRAND FORT",L7+15,IF(M2="MOYEN FORT",L7+14,L7+12))</f>
        <v>139.76042947752654</v>
      </c>
      <c r="AC26" s="602"/>
      <c r="AD26" s="599">
        <f>IF(M2="GRAND FORT",L10+15,IF(M2="MOYEN FORT",L10+14,L7+12))</f>
        <v>139.76042947752654</v>
      </c>
      <c r="AE26" s="600"/>
      <c r="AF26" s="62"/>
      <c r="AG26" s="40"/>
      <c r="AH26" s="601">
        <f>L7+12</f>
        <v>139.76042947752654</v>
      </c>
      <c r="AI26" s="602"/>
      <c r="AJ26" s="599">
        <f>L10+12</f>
        <v>147.46238171695308</v>
      </c>
      <c r="AK26" s="600"/>
      <c r="AL26" s="49"/>
      <c r="AM26" s="21"/>
      <c r="AO26" s="141"/>
      <c r="AP26" s="129">
        <v>26</v>
      </c>
      <c r="AQ26" s="129">
        <f t="shared" si="0"/>
        <v>358</v>
      </c>
      <c r="AR26" s="129">
        <v>350</v>
      </c>
      <c r="AT26" s="129">
        <v>6</v>
      </c>
      <c r="AU26" s="129"/>
      <c r="AV26" s="129">
        <v>8</v>
      </c>
      <c r="AW26" s="129"/>
      <c r="AX26" s="129">
        <v>3</v>
      </c>
      <c r="AY26" s="129"/>
      <c r="AZ26" s="141"/>
      <c r="BA26" s="141"/>
    </row>
    <row r="27" spans="1:53" ht="12" customHeight="1" thickBo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63"/>
      <c r="AA27" s="70" t="s">
        <v>63</v>
      </c>
      <c r="AB27" s="135"/>
      <c r="AC27" s="135"/>
      <c r="AD27" s="135"/>
      <c r="AE27" s="28"/>
      <c r="AF27" s="48"/>
      <c r="AG27" s="70" t="s">
        <v>62</v>
      </c>
      <c r="AH27" s="135"/>
      <c r="AI27" s="135"/>
      <c r="AJ27" s="135"/>
      <c r="AK27" s="28"/>
      <c r="AL27" s="49"/>
      <c r="AM27" s="21"/>
      <c r="AO27" s="141"/>
      <c r="AP27" s="129">
        <v>27</v>
      </c>
      <c r="AQ27" s="129">
        <f t="shared" si="0"/>
        <v>368</v>
      </c>
      <c r="AR27" s="129">
        <v>360</v>
      </c>
      <c r="AS27" s="129" t="s">
        <v>81</v>
      </c>
      <c r="AT27" s="129">
        <v>12</v>
      </c>
      <c r="AU27" s="129"/>
      <c r="AV27" s="129">
        <v>12</v>
      </c>
      <c r="AW27" s="129"/>
      <c r="AX27" s="129">
        <v>12</v>
      </c>
      <c r="AY27" s="129"/>
      <c r="AZ27" s="141"/>
      <c r="BA27" s="141"/>
    </row>
    <row r="28" spans="1:53" ht="12" customHeight="1">
      <c r="A28" s="21"/>
      <c r="B28" s="95"/>
      <c r="C28" s="608" t="s">
        <v>42</v>
      </c>
      <c r="D28" s="608"/>
      <c r="E28" s="608"/>
      <c r="F28" s="608"/>
      <c r="G28" s="96"/>
      <c r="H28" s="21"/>
      <c r="I28" s="95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11"/>
      <c r="V28" s="11"/>
      <c r="W28" s="11"/>
      <c r="X28" s="12"/>
      <c r="Y28" s="21"/>
      <c r="Z28" s="63"/>
      <c r="AA28" s="40"/>
      <c r="AB28" s="609">
        <f>K7-5</f>
        <v>120.79385415145222</v>
      </c>
      <c r="AC28" s="610"/>
      <c r="AD28" s="611">
        <f>K10</f>
        <v>133.49580639087876</v>
      </c>
      <c r="AE28" s="612"/>
      <c r="AF28" s="62"/>
      <c r="AG28" s="40"/>
      <c r="AH28" s="609">
        <f>K7-10</f>
        <v>115.79385415145222</v>
      </c>
      <c r="AI28" s="610"/>
      <c r="AJ28" s="611">
        <f>K10</f>
        <v>133.49580639087876</v>
      </c>
      <c r="AK28" s="612"/>
      <c r="AL28" s="49"/>
      <c r="AM28" s="21"/>
      <c r="AO28" s="141"/>
      <c r="AP28" s="129">
        <v>28</v>
      </c>
      <c r="AQ28" s="129">
        <f t="shared" si="0"/>
        <v>378</v>
      </c>
      <c r="AR28" s="129">
        <v>370</v>
      </c>
      <c r="AT28" s="129">
        <v>12</v>
      </c>
      <c r="AU28" s="129"/>
      <c r="AV28" s="129">
        <v>12</v>
      </c>
      <c r="AW28" s="129"/>
      <c r="AX28" s="129">
        <v>12</v>
      </c>
      <c r="AY28" s="129"/>
      <c r="AZ28" s="141"/>
      <c r="BA28" s="141"/>
    </row>
    <row r="29" spans="1:53" ht="12" customHeight="1">
      <c r="A29" s="21"/>
      <c r="B29" s="47"/>
      <c r="C29" s="98"/>
      <c r="D29" s="98"/>
      <c r="E29" s="98"/>
      <c r="F29" s="98"/>
      <c r="G29" s="49"/>
      <c r="H29" s="21"/>
      <c r="I29" s="47"/>
      <c r="J29" s="613" t="s">
        <v>47</v>
      </c>
      <c r="K29" s="614"/>
      <c r="L29" s="99" t="s">
        <v>43</v>
      </c>
      <c r="M29" s="617" t="s">
        <v>44</v>
      </c>
      <c r="N29" s="618"/>
      <c r="O29" s="48"/>
      <c r="P29" s="48"/>
      <c r="Q29" s="613" t="s">
        <v>55</v>
      </c>
      <c r="R29" s="619"/>
      <c r="S29" s="619"/>
      <c r="T29" s="619"/>
      <c r="U29" s="620"/>
      <c r="V29" s="621" t="s">
        <v>48</v>
      </c>
      <c r="W29" s="622"/>
      <c r="X29" s="19"/>
      <c r="Y29" s="21"/>
      <c r="Z29" s="47"/>
      <c r="AA29" s="40"/>
      <c r="AB29" s="601">
        <f>L7-5</f>
        <v>122.76042947752654</v>
      </c>
      <c r="AC29" s="602"/>
      <c r="AD29" s="599">
        <f>L10</f>
        <v>135.46238171695308</v>
      </c>
      <c r="AE29" s="600"/>
      <c r="AF29" s="62"/>
      <c r="AG29" s="40"/>
      <c r="AH29" s="601">
        <f>L7-10</f>
        <v>117.76042947752654</v>
      </c>
      <c r="AI29" s="602"/>
      <c r="AJ29" s="599">
        <f>L10</f>
        <v>135.46238171695308</v>
      </c>
      <c r="AK29" s="600"/>
      <c r="AL29" s="49"/>
      <c r="AM29" s="21"/>
      <c r="AO29" s="141"/>
      <c r="AP29" s="129">
        <v>29</v>
      </c>
      <c r="AQ29" s="129">
        <f t="shared" si="0"/>
        <v>388</v>
      </c>
      <c r="AR29" s="129">
        <v>380</v>
      </c>
      <c r="AU29" s="129"/>
      <c r="AV29" s="129"/>
      <c r="AW29" s="129"/>
      <c r="AX29" s="129"/>
      <c r="AY29" s="129"/>
      <c r="AZ29" s="141"/>
      <c r="BA29" s="141"/>
    </row>
    <row r="30" spans="1:53" ht="12" customHeight="1">
      <c r="A30" s="21"/>
      <c r="B30" s="47"/>
      <c r="C30" s="100" t="s">
        <v>45</v>
      </c>
      <c r="D30" s="113">
        <v>0</v>
      </c>
      <c r="E30" s="100" t="s">
        <v>46</v>
      </c>
      <c r="F30" s="113">
        <v>0</v>
      </c>
      <c r="G30" s="49"/>
      <c r="H30" s="21"/>
      <c r="I30" s="47"/>
      <c r="J30" s="615"/>
      <c r="K30" s="616"/>
      <c r="L30" s="101">
        <f>D30-(D17+D19+D22+D25)</f>
        <v>0</v>
      </c>
      <c r="M30" s="603">
        <f>F30-(F17+F19+F20+F22+F23+F25)</f>
        <v>0</v>
      </c>
      <c r="N30" s="604"/>
      <c r="O30" s="48"/>
      <c r="P30" s="48"/>
      <c r="Q30" s="102"/>
      <c r="R30" s="103"/>
      <c r="S30" s="104">
        <f>S9-S10</f>
        <v>139</v>
      </c>
      <c r="T30" s="105"/>
      <c r="U30" s="106"/>
      <c r="V30" s="605">
        <f>VLOOKUP(F6,AP1:AR150,3,FALSE)</f>
        <v>1590</v>
      </c>
      <c r="W30" s="606"/>
      <c r="X30" s="19"/>
      <c r="Y30" s="21"/>
      <c r="Z30" s="63"/>
      <c r="AA30" s="48"/>
      <c r="AB30" s="607"/>
      <c r="AC30" s="607"/>
      <c r="AD30" s="607"/>
      <c r="AE30" s="607"/>
      <c r="AF30" s="62"/>
      <c r="AG30" s="48"/>
      <c r="AH30" s="137"/>
      <c r="AI30" s="137"/>
      <c r="AJ30" s="607"/>
      <c r="AK30" s="607"/>
      <c r="AL30" s="49"/>
      <c r="AM30" s="21"/>
      <c r="AO30" s="141"/>
      <c r="AP30" s="129">
        <v>30</v>
      </c>
      <c r="AQ30" s="129">
        <f t="shared" si="0"/>
        <v>398</v>
      </c>
      <c r="AR30" s="129">
        <v>390</v>
      </c>
      <c r="AU30" s="129"/>
      <c r="AV30" s="129"/>
      <c r="AW30" s="129"/>
      <c r="AX30" s="129"/>
      <c r="AY30" s="129"/>
      <c r="AZ30" s="141"/>
      <c r="BA30" s="141"/>
    </row>
    <row r="31" spans="1:53" ht="12" customHeight="1" thickBot="1">
      <c r="A31" s="21"/>
      <c r="B31" s="107"/>
      <c r="C31" s="108"/>
      <c r="D31" s="108"/>
      <c r="E31" s="108"/>
      <c r="F31" s="108"/>
      <c r="G31" s="109"/>
      <c r="H31" s="21"/>
      <c r="I31" s="107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61"/>
      <c r="V31" s="61"/>
      <c r="W31" s="61"/>
      <c r="X31" s="78"/>
      <c r="Y31" s="21"/>
      <c r="Z31" s="110"/>
      <c r="AA31" s="108"/>
      <c r="AB31" s="598"/>
      <c r="AC31" s="598"/>
      <c r="AD31" s="598"/>
      <c r="AE31" s="598"/>
      <c r="AF31" s="61"/>
      <c r="AG31" s="108"/>
      <c r="AH31" s="598"/>
      <c r="AI31" s="598"/>
      <c r="AJ31" s="598"/>
      <c r="AK31" s="598"/>
      <c r="AL31" s="109"/>
      <c r="AM31" s="21"/>
      <c r="AO31" s="141"/>
      <c r="AP31" s="129">
        <v>31</v>
      </c>
      <c r="AQ31" s="129">
        <f t="shared" si="0"/>
        <v>408</v>
      </c>
      <c r="AR31" s="129">
        <v>400</v>
      </c>
      <c r="AU31" s="129"/>
      <c r="AV31" s="129"/>
      <c r="AW31" s="129"/>
      <c r="AX31" s="129"/>
      <c r="AY31" s="129"/>
      <c r="AZ31" s="141"/>
      <c r="BA31" s="141"/>
    </row>
    <row r="32" spans="1:53" ht="12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O32" s="141"/>
      <c r="AP32" s="129">
        <v>32</v>
      </c>
      <c r="AQ32" s="129">
        <f t="shared" si="0"/>
        <v>418</v>
      </c>
      <c r="AR32" s="129">
        <v>410</v>
      </c>
      <c r="AY32" s="129"/>
      <c r="AZ32" s="129"/>
      <c r="BA32" s="129"/>
    </row>
    <row r="33" spans="1:47" ht="12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O33" s="141"/>
      <c r="AP33" s="129">
        <v>33</v>
      </c>
      <c r="AQ33" s="129">
        <f t="shared" si="0"/>
        <v>428</v>
      </c>
      <c r="AR33" s="129">
        <v>420</v>
      </c>
    </row>
    <row r="34" spans="1:47" ht="12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O34" s="141"/>
      <c r="AP34" s="129">
        <v>34</v>
      </c>
      <c r="AQ34" s="129">
        <f t="shared" si="0"/>
        <v>438</v>
      </c>
      <c r="AR34" s="129">
        <v>430</v>
      </c>
    </row>
    <row r="35" spans="1:47" ht="12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O35" s="141"/>
      <c r="AP35" s="129">
        <v>35</v>
      </c>
      <c r="AQ35" s="129">
        <f t="shared" si="0"/>
        <v>448</v>
      </c>
      <c r="AR35" s="129">
        <v>440</v>
      </c>
    </row>
    <row r="36" spans="1:47" s="21" customFormat="1" ht="12" customHeight="1"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121"/>
      <c r="AO36" s="141"/>
      <c r="AP36" s="129">
        <v>36</v>
      </c>
      <c r="AQ36" s="129">
        <f t="shared" si="0"/>
        <v>458</v>
      </c>
      <c r="AR36" s="129">
        <v>450</v>
      </c>
      <c r="AS36" s="129"/>
      <c r="AT36" s="129"/>
    </row>
    <row r="37" spans="1:47" s="21" customFormat="1" ht="12" customHeight="1"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121"/>
      <c r="AO37" s="141"/>
      <c r="AP37" s="129">
        <v>37</v>
      </c>
      <c r="AQ37" s="129">
        <f t="shared" si="0"/>
        <v>468</v>
      </c>
      <c r="AR37" s="129">
        <v>460</v>
      </c>
      <c r="AS37" s="129"/>
      <c r="AT37" s="129"/>
    </row>
    <row r="38" spans="1:47" s="21" customFormat="1" ht="12" customHeight="1"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121"/>
      <c r="AO38" s="141"/>
      <c r="AP38" s="129">
        <v>38</v>
      </c>
      <c r="AQ38" s="129">
        <f t="shared" si="0"/>
        <v>477</v>
      </c>
      <c r="AR38" s="129">
        <v>470</v>
      </c>
      <c r="AS38" s="129"/>
      <c r="AT38" s="129"/>
    </row>
    <row r="39" spans="1:47" s="21" customFormat="1"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121"/>
      <c r="AO39" s="129"/>
      <c r="AP39" s="129">
        <v>39</v>
      </c>
      <c r="AQ39" s="129">
        <f t="shared" si="0"/>
        <v>487</v>
      </c>
      <c r="AR39" s="129">
        <v>480</v>
      </c>
      <c r="AS39" s="129"/>
      <c r="AT39" s="129"/>
      <c r="AU39" s="129"/>
    </row>
    <row r="40" spans="1:47" s="21" customFormat="1"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121"/>
      <c r="AO40" s="129"/>
      <c r="AP40" s="129">
        <v>40</v>
      </c>
      <c r="AQ40" s="129">
        <f t="shared" si="0"/>
        <v>497</v>
      </c>
      <c r="AR40" s="129">
        <v>490</v>
      </c>
      <c r="AS40" s="129"/>
      <c r="AT40" s="129"/>
      <c r="AU40" s="129"/>
    </row>
    <row r="41" spans="1:47" s="21" customFormat="1"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121" t="s">
        <v>104</v>
      </c>
      <c r="AO41" s="129"/>
      <c r="AP41" s="129">
        <v>41</v>
      </c>
      <c r="AQ41" s="129">
        <f t="shared" si="0"/>
        <v>507</v>
      </c>
      <c r="AR41" s="129">
        <v>500</v>
      </c>
      <c r="AS41" s="129"/>
      <c r="AT41" s="129"/>
      <c r="AU41" s="129"/>
    </row>
    <row r="42" spans="1:47" s="21" customFormat="1"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121" t="s">
        <v>104</v>
      </c>
      <c r="AO42" s="129"/>
      <c r="AP42" s="129">
        <v>42</v>
      </c>
      <c r="AQ42" s="129">
        <f t="shared" si="0"/>
        <v>517</v>
      </c>
      <c r="AR42" s="129">
        <v>510</v>
      </c>
      <c r="AS42" s="129"/>
      <c r="AT42" s="129"/>
      <c r="AU42" s="129"/>
    </row>
    <row r="43" spans="1:47" s="21" customFormat="1"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121" t="s">
        <v>104</v>
      </c>
      <c r="AO43" s="129"/>
      <c r="AP43" s="129">
        <v>43</v>
      </c>
      <c r="AQ43" s="129">
        <f t="shared" si="0"/>
        <v>527</v>
      </c>
      <c r="AR43" s="129">
        <v>520</v>
      </c>
      <c r="AS43" s="129">
        <v>520</v>
      </c>
      <c r="AT43" s="129"/>
      <c r="AU43" s="129"/>
    </row>
    <row r="44" spans="1:47" s="21" customFormat="1"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121" t="s">
        <v>104</v>
      </c>
      <c r="AO44" s="129"/>
      <c r="AP44" s="129">
        <v>44</v>
      </c>
      <c r="AQ44" s="129">
        <f t="shared" si="0"/>
        <v>537</v>
      </c>
      <c r="AR44" s="129">
        <v>530</v>
      </c>
      <c r="AS44" s="129"/>
      <c r="AT44" s="129"/>
      <c r="AU44" s="129"/>
    </row>
    <row r="45" spans="1:47" s="21" customFormat="1"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121" t="s">
        <v>104</v>
      </c>
      <c r="AO45" s="129"/>
      <c r="AP45" s="129">
        <v>45</v>
      </c>
      <c r="AQ45" s="129">
        <f t="shared" si="0"/>
        <v>547</v>
      </c>
      <c r="AR45" s="129">
        <v>540</v>
      </c>
      <c r="AS45" s="129"/>
      <c r="AT45" s="129"/>
      <c r="AU45" s="129"/>
    </row>
    <row r="46" spans="1:47" s="21" customFormat="1"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121"/>
      <c r="AO46" s="129"/>
      <c r="AP46" s="129">
        <v>46</v>
      </c>
      <c r="AQ46" s="129">
        <f t="shared" si="0"/>
        <v>557</v>
      </c>
      <c r="AR46" s="129">
        <v>550</v>
      </c>
      <c r="AS46" s="129"/>
      <c r="AT46" s="129"/>
      <c r="AU46" s="129"/>
    </row>
    <row r="47" spans="1:47" s="21" customFormat="1"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121"/>
      <c r="AO47" s="129"/>
      <c r="AP47" s="129">
        <v>47</v>
      </c>
      <c r="AQ47" s="129">
        <f t="shared" si="0"/>
        <v>567</v>
      </c>
      <c r="AR47" s="129">
        <v>560</v>
      </c>
      <c r="AS47" s="129"/>
      <c r="AT47" s="129"/>
      <c r="AU47" s="129"/>
    </row>
    <row r="48" spans="1:47" s="21" customFormat="1"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121"/>
      <c r="AO48" s="129"/>
      <c r="AP48" s="129">
        <v>48</v>
      </c>
      <c r="AQ48" s="129">
        <f t="shared" si="0"/>
        <v>577</v>
      </c>
      <c r="AR48" s="129">
        <v>570</v>
      </c>
      <c r="AS48" s="129"/>
      <c r="AT48" s="129"/>
      <c r="AU48" s="129"/>
    </row>
    <row r="49" spans="21:47" s="21" customFormat="1"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121"/>
      <c r="AO49" s="129"/>
      <c r="AP49" s="129">
        <v>49</v>
      </c>
      <c r="AQ49" s="129">
        <f t="shared" si="0"/>
        <v>587</v>
      </c>
      <c r="AR49" s="129">
        <v>580</v>
      </c>
      <c r="AS49" s="129"/>
      <c r="AT49" s="129"/>
      <c r="AU49" s="129"/>
    </row>
    <row r="50" spans="21:47" s="21" customFormat="1"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121"/>
      <c r="AO50" s="129"/>
      <c r="AP50" s="129">
        <v>50</v>
      </c>
      <c r="AQ50" s="129">
        <f t="shared" si="0"/>
        <v>597</v>
      </c>
      <c r="AR50" s="129">
        <v>590</v>
      </c>
      <c r="AS50" s="129"/>
      <c r="AT50" s="129"/>
      <c r="AU50" s="129"/>
    </row>
    <row r="51" spans="21:47" s="21" customFormat="1"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121"/>
      <c r="AO51" s="141"/>
      <c r="AP51" s="129">
        <v>51</v>
      </c>
      <c r="AQ51" s="129">
        <f t="shared" si="0"/>
        <v>607</v>
      </c>
      <c r="AR51" s="129">
        <v>600</v>
      </c>
      <c r="AS51" s="129"/>
      <c r="AT51" s="129"/>
    </row>
    <row r="52" spans="21:47" s="21" customFormat="1"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121"/>
      <c r="AO52" s="141"/>
      <c r="AP52" s="129">
        <v>52</v>
      </c>
      <c r="AQ52" s="129">
        <f t="shared" si="0"/>
        <v>617</v>
      </c>
      <c r="AR52" s="129">
        <v>610</v>
      </c>
      <c r="AS52" s="129"/>
      <c r="AT52" s="129"/>
    </row>
    <row r="53" spans="21:47" s="21" customFormat="1"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121"/>
      <c r="AO53" s="141"/>
      <c r="AP53" s="129">
        <v>53</v>
      </c>
      <c r="AQ53" s="129">
        <f t="shared" si="0"/>
        <v>626</v>
      </c>
      <c r="AR53" s="129">
        <v>620</v>
      </c>
      <c r="AS53" s="129"/>
      <c r="AT53" s="129"/>
    </row>
    <row r="54" spans="21:47" s="21" customFormat="1"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121"/>
      <c r="AO54" s="141"/>
      <c r="AP54" s="129">
        <v>54</v>
      </c>
      <c r="AQ54" s="129">
        <f t="shared" si="0"/>
        <v>636</v>
      </c>
      <c r="AR54" s="129">
        <v>630</v>
      </c>
      <c r="AS54" s="129"/>
      <c r="AT54" s="129"/>
    </row>
    <row r="55" spans="21:47" s="21" customFormat="1"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121"/>
      <c r="AO55" s="141"/>
      <c r="AP55" s="129">
        <v>55</v>
      </c>
      <c r="AQ55" s="129">
        <f t="shared" si="0"/>
        <v>646</v>
      </c>
      <c r="AR55" s="129">
        <v>640</v>
      </c>
      <c r="AS55" s="129"/>
      <c r="AT55" s="129"/>
    </row>
    <row r="56" spans="21:47" s="21" customFormat="1"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121"/>
      <c r="AO56" s="141"/>
      <c r="AP56" s="129">
        <v>56</v>
      </c>
      <c r="AQ56" s="129">
        <f t="shared" si="0"/>
        <v>656</v>
      </c>
      <c r="AR56" s="129">
        <v>650</v>
      </c>
      <c r="AS56" s="129"/>
      <c r="AT56" s="129"/>
    </row>
    <row r="57" spans="21:47" s="21" customFormat="1"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121"/>
      <c r="AO57" s="141"/>
      <c r="AP57" s="129">
        <v>57</v>
      </c>
      <c r="AQ57" s="129">
        <f t="shared" si="0"/>
        <v>666</v>
      </c>
      <c r="AR57" s="129">
        <v>660</v>
      </c>
      <c r="AS57" s="129"/>
      <c r="AT57" s="129"/>
    </row>
    <row r="58" spans="21:47" s="21" customFormat="1"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121"/>
      <c r="AO58" s="141"/>
      <c r="AP58" s="129">
        <v>58</v>
      </c>
      <c r="AQ58" s="129">
        <f t="shared" si="0"/>
        <v>676</v>
      </c>
      <c r="AR58" s="129">
        <v>670</v>
      </c>
      <c r="AS58" s="129"/>
      <c r="AT58" s="129"/>
    </row>
    <row r="59" spans="21:47" s="21" customFormat="1"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121"/>
      <c r="AO59" s="141"/>
      <c r="AP59" s="129">
        <v>59</v>
      </c>
      <c r="AQ59" s="129">
        <f t="shared" si="0"/>
        <v>686</v>
      </c>
      <c r="AR59" s="129">
        <v>680</v>
      </c>
      <c r="AS59" s="129"/>
      <c r="AT59" s="129"/>
    </row>
    <row r="60" spans="21:47" s="21" customFormat="1"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121"/>
      <c r="AO60" s="141"/>
      <c r="AP60" s="129">
        <v>60</v>
      </c>
      <c r="AQ60" s="129">
        <f t="shared" si="0"/>
        <v>696</v>
      </c>
      <c r="AR60" s="129">
        <v>690</v>
      </c>
      <c r="AS60" s="129"/>
      <c r="AT60" s="129"/>
    </row>
    <row r="61" spans="21:47" s="21" customFormat="1"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121"/>
      <c r="AO61" s="141"/>
      <c r="AP61" s="129">
        <v>61</v>
      </c>
      <c r="AQ61" s="129">
        <f t="shared" si="0"/>
        <v>706</v>
      </c>
      <c r="AR61" s="129">
        <v>700</v>
      </c>
      <c r="AS61" s="129"/>
      <c r="AT61" s="129"/>
    </row>
    <row r="62" spans="21:47" s="21" customFormat="1"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121"/>
      <c r="AO62" s="141"/>
      <c r="AP62" s="129">
        <v>62</v>
      </c>
      <c r="AQ62" s="129">
        <f t="shared" si="0"/>
        <v>716</v>
      </c>
      <c r="AR62" s="129">
        <v>710</v>
      </c>
      <c r="AS62" s="129"/>
      <c r="AT62" s="129"/>
    </row>
    <row r="63" spans="21:47" s="21" customFormat="1"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121"/>
      <c r="AO63" s="141"/>
      <c r="AP63" s="129">
        <v>63</v>
      </c>
      <c r="AQ63" s="129">
        <f t="shared" si="0"/>
        <v>726</v>
      </c>
      <c r="AR63" s="129">
        <v>720</v>
      </c>
      <c r="AS63" s="129"/>
      <c r="AT63" s="129"/>
    </row>
    <row r="64" spans="21:47" s="21" customFormat="1"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121"/>
      <c r="AO64" s="141"/>
      <c r="AP64" s="129">
        <v>64</v>
      </c>
      <c r="AQ64" s="129">
        <f t="shared" si="0"/>
        <v>736</v>
      </c>
      <c r="AR64" s="129">
        <v>730</v>
      </c>
      <c r="AS64" s="129"/>
      <c r="AT64" s="129"/>
    </row>
    <row r="65" spans="21:46" s="21" customFormat="1"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121"/>
      <c r="AO65" s="141"/>
      <c r="AP65" s="129">
        <v>65</v>
      </c>
      <c r="AQ65" s="129">
        <f t="shared" si="0"/>
        <v>746</v>
      </c>
      <c r="AR65" s="129">
        <v>740</v>
      </c>
      <c r="AS65" s="129"/>
      <c r="AT65" s="129"/>
    </row>
    <row r="66" spans="21:46" s="21" customFormat="1"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121"/>
      <c r="AO66" s="141"/>
      <c r="AP66" s="129">
        <v>66</v>
      </c>
      <c r="AQ66" s="129">
        <f t="shared" si="0"/>
        <v>756</v>
      </c>
      <c r="AR66" s="129">
        <v>750</v>
      </c>
      <c r="AS66" s="129"/>
      <c r="AT66" s="129"/>
    </row>
    <row r="67" spans="21:46" s="21" customFormat="1"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121"/>
      <c r="AO67" s="141"/>
      <c r="AP67" s="129">
        <v>67</v>
      </c>
      <c r="AQ67" s="129">
        <f t="shared" ref="AQ67:AQ130" si="1">IF(AP67=1,110,ROUND(100+(AP67*9.93288590604026),0))</f>
        <v>766</v>
      </c>
      <c r="AR67" s="129">
        <v>760</v>
      </c>
      <c r="AS67" s="129"/>
      <c r="AT67" s="129"/>
    </row>
    <row r="68" spans="21:46" s="21" customFormat="1"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121"/>
      <c r="AO68" s="141"/>
      <c r="AP68" s="129">
        <v>68</v>
      </c>
      <c r="AQ68" s="129">
        <f t="shared" si="1"/>
        <v>775</v>
      </c>
      <c r="AR68" s="129">
        <v>770</v>
      </c>
      <c r="AS68" s="129"/>
      <c r="AT68" s="129"/>
    </row>
    <row r="69" spans="21:46" s="21" customFormat="1"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121"/>
      <c r="AO69" s="141"/>
      <c r="AP69" s="129">
        <v>69</v>
      </c>
      <c r="AQ69" s="129">
        <f t="shared" si="1"/>
        <v>785</v>
      </c>
      <c r="AR69" s="129">
        <v>780</v>
      </c>
      <c r="AS69" s="129"/>
      <c r="AT69" s="129"/>
    </row>
    <row r="70" spans="21:46" s="21" customFormat="1"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121"/>
      <c r="AO70" s="141"/>
      <c r="AP70" s="129">
        <v>70</v>
      </c>
      <c r="AQ70" s="129">
        <f t="shared" si="1"/>
        <v>795</v>
      </c>
      <c r="AR70" s="129">
        <v>790</v>
      </c>
      <c r="AS70" s="129"/>
      <c r="AT70" s="129"/>
    </row>
    <row r="71" spans="21:46" s="21" customFormat="1"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121"/>
      <c r="AO71" s="141"/>
      <c r="AP71" s="129">
        <v>71</v>
      </c>
      <c r="AQ71" s="129">
        <f t="shared" si="1"/>
        <v>805</v>
      </c>
      <c r="AR71" s="129">
        <v>800</v>
      </c>
      <c r="AS71" s="129"/>
      <c r="AT71" s="129"/>
    </row>
    <row r="72" spans="21:46" s="21" customFormat="1"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121"/>
      <c r="AO72" s="141"/>
      <c r="AP72" s="129">
        <v>72</v>
      </c>
      <c r="AQ72" s="129">
        <f t="shared" si="1"/>
        <v>815</v>
      </c>
      <c r="AR72" s="129">
        <v>810</v>
      </c>
      <c r="AS72" s="129"/>
      <c r="AT72" s="129"/>
    </row>
    <row r="73" spans="21:46" s="21" customFormat="1"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121"/>
      <c r="AO73" s="141"/>
      <c r="AP73" s="129">
        <v>73</v>
      </c>
      <c r="AQ73" s="129">
        <f t="shared" si="1"/>
        <v>825</v>
      </c>
      <c r="AR73" s="129">
        <v>820</v>
      </c>
      <c r="AS73" s="129"/>
      <c r="AT73" s="129"/>
    </row>
    <row r="74" spans="21:46" s="21" customFormat="1"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121"/>
      <c r="AO74" s="141"/>
      <c r="AP74" s="129">
        <v>74</v>
      </c>
      <c r="AQ74" s="129">
        <f t="shared" si="1"/>
        <v>835</v>
      </c>
      <c r="AR74" s="129">
        <v>830</v>
      </c>
      <c r="AS74" s="129"/>
      <c r="AT74" s="129"/>
    </row>
    <row r="75" spans="21:46" s="21" customFormat="1"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121"/>
      <c r="AO75" s="141"/>
      <c r="AP75" s="129">
        <v>75</v>
      </c>
      <c r="AQ75" s="129">
        <f t="shared" si="1"/>
        <v>845</v>
      </c>
      <c r="AR75" s="129">
        <v>840</v>
      </c>
      <c r="AS75" s="129"/>
      <c r="AT75" s="129"/>
    </row>
    <row r="76" spans="21:46" s="21" customFormat="1"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121"/>
      <c r="AO76" s="141"/>
      <c r="AP76" s="129">
        <v>76</v>
      </c>
      <c r="AQ76" s="129">
        <f t="shared" si="1"/>
        <v>855</v>
      </c>
      <c r="AR76" s="129">
        <v>850</v>
      </c>
      <c r="AS76" s="129"/>
      <c r="AT76" s="129"/>
    </row>
    <row r="77" spans="21:46" s="21" customFormat="1"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121"/>
      <c r="AO77" s="141"/>
      <c r="AP77" s="129">
        <v>77</v>
      </c>
      <c r="AQ77" s="129">
        <f t="shared" si="1"/>
        <v>865</v>
      </c>
      <c r="AR77" s="129">
        <v>860</v>
      </c>
      <c r="AS77" s="129"/>
      <c r="AT77" s="129"/>
    </row>
    <row r="78" spans="21:46" s="21" customFormat="1"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121"/>
      <c r="AO78" s="141"/>
      <c r="AP78" s="129">
        <v>78</v>
      </c>
      <c r="AQ78" s="129">
        <f t="shared" si="1"/>
        <v>875</v>
      </c>
      <c r="AR78" s="129">
        <v>870</v>
      </c>
      <c r="AS78" s="129"/>
      <c r="AT78" s="129"/>
    </row>
    <row r="79" spans="21:46" s="21" customFormat="1"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121"/>
      <c r="AO79" s="141"/>
      <c r="AP79" s="129">
        <v>79</v>
      </c>
      <c r="AQ79" s="129">
        <f t="shared" si="1"/>
        <v>885</v>
      </c>
      <c r="AR79" s="129">
        <v>880</v>
      </c>
      <c r="AS79" s="129"/>
      <c r="AT79" s="129"/>
    </row>
    <row r="80" spans="21:46" s="21" customFormat="1"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121"/>
      <c r="AO80" s="141"/>
      <c r="AP80" s="129">
        <v>80</v>
      </c>
      <c r="AQ80" s="129">
        <f t="shared" si="1"/>
        <v>895</v>
      </c>
      <c r="AR80" s="129">
        <v>890</v>
      </c>
      <c r="AS80" s="129"/>
      <c r="AT80" s="129"/>
    </row>
    <row r="81" spans="21:46" s="21" customFormat="1"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121"/>
      <c r="AO81" s="141"/>
      <c r="AP81" s="129">
        <v>81</v>
      </c>
      <c r="AQ81" s="129">
        <f t="shared" si="1"/>
        <v>905</v>
      </c>
      <c r="AR81" s="129">
        <v>900</v>
      </c>
      <c r="AS81" s="129"/>
      <c r="AT81" s="129"/>
    </row>
    <row r="82" spans="21:46" s="21" customFormat="1"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121"/>
      <c r="AO82" s="141"/>
      <c r="AP82" s="129">
        <v>82</v>
      </c>
      <c r="AQ82" s="129">
        <f t="shared" si="1"/>
        <v>914</v>
      </c>
      <c r="AR82" s="129">
        <v>910</v>
      </c>
      <c r="AS82" s="129"/>
      <c r="AT82" s="129"/>
    </row>
    <row r="83" spans="21:46" s="21" customFormat="1"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121"/>
      <c r="AO83" s="141"/>
      <c r="AP83" s="129">
        <v>83</v>
      </c>
      <c r="AQ83" s="129">
        <f t="shared" si="1"/>
        <v>924</v>
      </c>
      <c r="AR83" s="129">
        <v>920</v>
      </c>
      <c r="AS83" s="129"/>
      <c r="AT83" s="129"/>
    </row>
    <row r="84" spans="21:46" s="21" customFormat="1"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121"/>
      <c r="AO84" s="141"/>
      <c r="AP84" s="129">
        <v>84</v>
      </c>
      <c r="AQ84" s="129">
        <f t="shared" si="1"/>
        <v>934</v>
      </c>
      <c r="AR84" s="129">
        <v>930</v>
      </c>
      <c r="AS84" s="129"/>
      <c r="AT84" s="129"/>
    </row>
    <row r="85" spans="21:46" s="21" customFormat="1"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121"/>
      <c r="AO85" s="141"/>
      <c r="AP85" s="129">
        <v>85</v>
      </c>
      <c r="AQ85" s="129">
        <f t="shared" si="1"/>
        <v>944</v>
      </c>
      <c r="AR85" s="129">
        <v>940</v>
      </c>
      <c r="AS85" s="129"/>
      <c r="AT85" s="129"/>
    </row>
    <row r="86" spans="21:46" s="21" customFormat="1"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121"/>
      <c r="AO86" s="141"/>
      <c r="AP86" s="129">
        <v>86</v>
      </c>
      <c r="AQ86" s="129">
        <f t="shared" si="1"/>
        <v>954</v>
      </c>
      <c r="AR86" s="129">
        <v>950</v>
      </c>
      <c r="AS86" s="129"/>
      <c r="AT86" s="129"/>
    </row>
    <row r="87" spans="21:46" s="21" customFormat="1"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121"/>
      <c r="AO87" s="141"/>
      <c r="AP87" s="129">
        <v>87</v>
      </c>
      <c r="AQ87" s="129">
        <f t="shared" si="1"/>
        <v>964</v>
      </c>
      <c r="AR87" s="129">
        <v>960</v>
      </c>
      <c r="AS87" s="129"/>
      <c r="AT87" s="129"/>
    </row>
    <row r="88" spans="21:46" s="21" customFormat="1"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121"/>
      <c r="AO88" s="141"/>
      <c r="AP88" s="129">
        <v>88</v>
      </c>
      <c r="AQ88" s="129">
        <f t="shared" si="1"/>
        <v>974</v>
      </c>
      <c r="AR88" s="129">
        <v>970</v>
      </c>
      <c r="AS88" s="129"/>
      <c r="AT88" s="129"/>
    </row>
    <row r="89" spans="21:46" s="21" customFormat="1"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121"/>
      <c r="AO89" s="141"/>
      <c r="AP89" s="129">
        <v>89</v>
      </c>
      <c r="AQ89" s="129">
        <f t="shared" si="1"/>
        <v>984</v>
      </c>
      <c r="AR89" s="129">
        <v>980</v>
      </c>
      <c r="AS89" s="129"/>
      <c r="AT89" s="129"/>
    </row>
    <row r="90" spans="21:46" s="21" customFormat="1"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121"/>
      <c r="AO90" s="141"/>
      <c r="AP90" s="129">
        <v>90</v>
      </c>
      <c r="AQ90" s="129">
        <f t="shared" si="1"/>
        <v>994</v>
      </c>
      <c r="AR90" s="129">
        <v>990</v>
      </c>
      <c r="AS90" s="129"/>
      <c r="AT90" s="129"/>
    </row>
    <row r="91" spans="21:46" s="21" customFormat="1"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121"/>
      <c r="AO91" s="141"/>
      <c r="AP91" s="129">
        <v>91</v>
      </c>
      <c r="AQ91" s="129">
        <f t="shared" si="1"/>
        <v>1004</v>
      </c>
      <c r="AR91" s="129">
        <v>1000</v>
      </c>
      <c r="AS91" s="129"/>
      <c r="AT91" s="129"/>
    </row>
    <row r="92" spans="21:46" s="21" customFormat="1"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121"/>
      <c r="AO92" s="141"/>
      <c r="AP92" s="129">
        <v>92</v>
      </c>
      <c r="AQ92" s="129">
        <f t="shared" si="1"/>
        <v>1014</v>
      </c>
      <c r="AR92" s="129">
        <v>1010</v>
      </c>
      <c r="AS92" s="129"/>
      <c r="AT92" s="129"/>
    </row>
    <row r="93" spans="21:46" s="21" customFormat="1"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121"/>
      <c r="AO93" s="141"/>
      <c r="AP93" s="129">
        <v>93</v>
      </c>
      <c r="AQ93" s="129">
        <f t="shared" si="1"/>
        <v>1024</v>
      </c>
      <c r="AR93" s="129">
        <v>1020</v>
      </c>
      <c r="AS93" s="129"/>
      <c r="AT93" s="129"/>
    </row>
    <row r="94" spans="21:46" s="21" customFormat="1"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121"/>
      <c r="AO94" s="141"/>
      <c r="AP94" s="129">
        <v>94</v>
      </c>
      <c r="AQ94" s="129">
        <f t="shared" si="1"/>
        <v>1034</v>
      </c>
      <c r="AR94" s="129">
        <v>1030</v>
      </c>
      <c r="AS94" s="129"/>
      <c r="AT94" s="129"/>
    </row>
    <row r="95" spans="21:46" s="21" customFormat="1"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121"/>
      <c r="AO95" s="141"/>
      <c r="AP95" s="129">
        <v>95</v>
      </c>
      <c r="AQ95" s="129">
        <f t="shared" si="1"/>
        <v>1044</v>
      </c>
      <c r="AR95" s="129">
        <v>1040</v>
      </c>
      <c r="AS95" s="129"/>
      <c r="AT95" s="129"/>
    </row>
    <row r="96" spans="21:46" s="21" customFormat="1"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121"/>
      <c r="AO96" s="141"/>
      <c r="AP96" s="129">
        <v>96</v>
      </c>
      <c r="AQ96" s="129">
        <f t="shared" si="1"/>
        <v>1054</v>
      </c>
      <c r="AR96" s="129">
        <v>1050</v>
      </c>
      <c r="AS96" s="129"/>
      <c r="AT96" s="129"/>
    </row>
    <row r="97" spans="21:46" s="21" customFormat="1"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121"/>
      <c r="AO97" s="141"/>
      <c r="AP97" s="129">
        <v>97</v>
      </c>
      <c r="AQ97" s="129">
        <f t="shared" si="1"/>
        <v>1063</v>
      </c>
      <c r="AR97" s="129">
        <v>1060</v>
      </c>
      <c r="AS97" s="129"/>
      <c r="AT97" s="129"/>
    </row>
    <row r="98" spans="21:46" s="21" customFormat="1"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121"/>
      <c r="AO98" s="141"/>
      <c r="AP98" s="129">
        <v>98</v>
      </c>
      <c r="AQ98" s="129">
        <f>IF(AP98=1,110,ROUND(100+(AP98*9.93288590604026),0))</f>
        <v>1073</v>
      </c>
      <c r="AR98" s="129">
        <v>1070</v>
      </c>
      <c r="AS98" s="129"/>
      <c r="AT98" s="129"/>
    </row>
    <row r="99" spans="21:46" s="21" customFormat="1"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121"/>
      <c r="AO99" s="141"/>
      <c r="AP99" s="129">
        <v>99</v>
      </c>
      <c r="AQ99" s="129">
        <f t="shared" si="1"/>
        <v>1083</v>
      </c>
      <c r="AR99" s="129">
        <v>1080</v>
      </c>
      <c r="AS99" s="129"/>
      <c r="AT99" s="129"/>
    </row>
    <row r="100" spans="21:46" s="21" customFormat="1"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121"/>
      <c r="AO100" s="141"/>
      <c r="AP100" s="129">
        <v>100</v>
      </c>
      <c r="AQ100" s="129">
        <f t="shared" si="1"/>
        <v>1093</v>
      </c>
      <c r="AR100" s="129">
        <v>1090</v>
      </c>
      <c r="AS100" s="129"/>
      <c r="AT100" s="129"/>
    </row>
    <row r="101" spans="21:46" s="21" customFormat="1"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121"/>
      <c r="AO101" s="141"/>
      <c r="AP101" s="129">
        <v>101</v>
      </c>
      <c r="AQ101" s="129">
        <f t="shared" si="1"/>
        <v>1103</v>
      </c>
      <c r="AR101" s="129">
        <v>1100</v>
      </c>
      <c r="AS101" s="129"/>
      <c r="AT101" s="129"/>
    </row>
    <row r="102" spans="21:46" s="21" customFormat="1"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121"/>
      <c r="AO102" s="141"/>
      <c r="AP102" s="129">
        <v>102</v>
      </c>
      <c r="AQ102" s="129">
        <f t="shared" si="1"/>
        <v>1113</v>
      </c>
      <c r="AR102" s="129">
        <v>1110</v>
      </c>
      <c r="AS102" s="129"/>
      <c r="AT102" s="129"/>
    </row>
    <row r="103" spans="21:46" s="21" customFormat="1"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121"/>
      <c r="AO103" s="141"/>
      <c r="AP103" s="129">
        <v>103</v>
      </c>
      <c r="AQ103" s="129">
        <f t="shared" si="1"/>
        <v>1123</v>
      </c>
      <c r="AR103" s="129">
        <v>1120</v>
      </c>
      <c r="AS103" s="129"/>
      <c r="AT103" s="129"/>
    </row>
    <row r="104" spans="21:46" s="21" customFormat="1"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121"/>
      <c r="AO104" s="141"/>
      <c r="AP104" s="129">
        <v>104</v>
      </c>
      <c r="AQ104" s="129">
        <f t="shared" si="1"/>
        <v>1133</v>
      </c>
      <c r="AR104" s="129">
        <v>1130</v>
      </c>
      <c r="AS104" s="129"/>
      <c r="AT104" s="129"/>
    </row>
    <row r="105" spans="21:46" s="21" customFormat="1"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121"/>
      <c r="AO105" s="141"/>
      <c r="AP105" s="129">
        <v>105</v>
      </c>
      <c r="AQ105" s="129">
        <f t="shared" si="1"/>
        <v>1143</v>
      </c>
      <c r="AR105" s="129">
        <v>1140</v>
      </c>
      <c r="AS105" s="129"/>
      <c r="AT105" s="129"/>
    </row>
    <row r="106" spans="21:46" s="21" customFormat="1"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121"/>
      <c r="AO106" s="141"/>
      <c r="AP106" s="129">
        <v>106</v>
      </c>
      <c r="AQ106" s="129">
        <f t="shared" si="1"/>
        <v>1153</v>
      </c>
      <c r="AR106" s="129">
        <v>1150</v>
      </c>
      <c r="AS106" s="129"/>
      <c r="AT106" s="129"/>
    </row>
    <row r="107" spans="21:46" s="21" customFormat="1"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121"/>
      <c r="AO107" s="141"/>
      <c r="AP107" s="129">
        <v>107</v>
      </c>
      <c r="AQ107" s="129">
        <f t="shared" si="1"/>
        <v>1163</v>
      </c>
      <c r="AR107" s="129">
        <v>1160</v>
      </c>
      <c r="AS107" s="129"/>
      <c r="AT107" s="129"/>
    </row>
    <row r="108" spans="21:46" s="21" customFormat="1"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121"/>
      <c r="AO108" s="141"/>
      <c r="AP108" s="129">
        <v>108</v>
      </c>
      <c r="AQ108" s="129">
        <f t="shared" si="1"/>
        <v>1173</v>
      </c>
      <c r="AR108" s="129">
        <v>1170</v>
      </c>
      <c r="AS108" s="129"/>
      <c r="AT108" s="129"/>
    </row>
    <row r="109" spans="21:46" s="21" customFormat="1"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121"/>
      <c r="AO109" s="141"/>
      <c r="AP109" s="129">
        <v>109</v>
      </c>
      <c r="AQ109" s="129">
        <f t="shared" si="1"/>
        <v>1183</v>
      </c>
      <c r="AR109" s="129">
        <v>1180</v>
      </c>
      <c r="AS109" s="129"/>
      <c r="AT109" s="129"/>
    </row>
    <row r="110" spans="21:46" s="21" customFormat="1"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121"/>
      <c r="AO110" s="141"/>
      <c r="AP110" s="129">
        <v>110</v>
      </c>
      <c r="AQ110" s="129">
        <f t="shared" si="1"/>
        <v>1193</v>
      </c>
      <c r="AR110" s="129">
        <v>1190</v>
      </c>
      <c r="AS110" s="129"/>
      <c r="AT110" s="129"/>
    </row>
    <row r="111" spans="21:46" s="21" customFormat="1"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121"/>
      <c r="AO111" s="141"/>
      <c r="AP111" s="129">
        <v>111</v>
      </c>
      <c r="AQ111" s="129">
        <f t="shared" si="1"/>
        <v>1203</v>
      </c>
      <c r="AR111" s="129">
        <v>1200</v>
      </c>
      <c r="AS111" s="129"/>
      <c r="AT111" s="129"/>
    </row>
    <row r="112" spans="21:46" s="21" customFormat="1"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121"/>
      <c r="AO112" s="141"/>
      <c r="AP112" s="129">
        <v>112</v>
      </c>
      <c r="AQ112" s="129">
        <f t="shared" si="1"/>
        <v>1212</v>
      </c>
      <c r="AR112" s="129">
        <v>1210</v>
      </c>
      <c r="AS112" s="129"/>
      <c r="AT112" s="129"/>
    </row>
    <row r="113" spans="21:46" s="21" customFormat="1"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121"/>
      <c r="AO113" s="141"/>
      <c r="AP113" s="129">
        <v>113</v>
      </c>
      <c r="AQ113" s="129">
        <f t="shared" si="1"/>
        <v>1222</v>
      </c>
      <c r="AR113" s="129">
        <v>1220</v>
      </c>
      <c r="AS113" s="129"/>
      <c r="AT113" s="129"/>
    </row>
    <row r="114" spans="21:46" s="21" customFormat="1"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121"/>
      <c r="AO114" s="141"/>
      <c r="AP114" s="129">
        <v>114</v>
      </c>
      <c r="AQ114" s="129">
        <f t="shared" si="1"/>
        <v>1232</v>
      </c>
      <c r="AR114" s="129">
        <v>1230</v>
      </c>
      <c r="AS114" s="129"/>
      <c r="AT114" s="129"/>
    </row>
    <row r="115" spans="21:46" s="21" customFormat="1"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121"/>
      <c r="AO115" s="141"/>
      <c r="AP115" s="129">
        <v>115</v>
      </c>
      <c r="AQ115" s="129">
        <f t="shared" si="1"/>
        <v>1242</v>
      </c>
      <c r="AR115" s="129">
        <v>1240</v>
      </c>
      <c r="AS115" s="129"/>
      <c r="AT115" s="129"/>
    </row>
    <row r="116" spans="21:46" s="21" customFormat="1"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121"/>
      <c r="AO116" s="141"/>
      <c r="AP116" s="129">
        <v>116</v>
      </c>
      <c r="AQ116" s="129">
        <f t="shared" si="1"/>
        <v>1252</v>
      </c>
      <c r="AR116" s="129">
        <v>1250</v>
      </c>
      <c r="AS116" s="129"/>
      <c r="AT116" s="129"/>
    </row>
    <row r="117" spans="21:46" s="21" customFormat="1"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121"/>
      <c r="AO117" s="141"/>
      <c r="AP117" s="129">
        <v>117</v>
      </c>
      <c r="AQ117" s="129">
        <f t="shared" si="1"/>
        <v>1262</v>
      </c>
      <c r="AR117" s="129">
        <v>1260</v>
      </c>
      <c r="AS117" s="129"/>
      <c r="AT117" s="129"/>
    </row>
    <row r="118" spans="21:46" s="21" customFormat="1"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121"/>
      <c r="AO118" s="141"/>
      <c r="AP118" s="129">
        <v>118</v>
      </c>
      <c r="AQ118" s="129">
        <f t="shared" si="1"/>
        <v>1272</v>
      </c>
      <c r="AR118" s="129">
        <v>1270</v>
      </c>
      <c r="AS118" s="129"/>
      <c r="AT118" s="129"/>
    </row>
    <row r="119" spans="21:46" s="21" customFormat="1"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121"/>
      <c r="AO119" s="141"/>
      <c r="AP119" s="129">
        <v>119</v>
      </c>
      <c r="AQ119" s="129">
        <f t="shared" si="1"/>
        <v>1282</v>
      </c>
      <c r="AR119" s="129">
        <v>1280</v>
      </c>
      <c r="AS119" s="129"/>
      <c r="AT119" s="129"/>
    </row>
    <row r="120" spans="21:46" s="21" customFormat="1"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121"/>
      <c r="AO120" s="141"/>
      <c r="AP120" s="129">
        <v>120</v>
      </c>
      <c r="AQ120" s="129">
        <f t="shared" si="1"/>
        <v>1292</v>
      </c>
      <c r="AR120" s="129">
        <v>1290</v>
      </c>
      <c r="AS120" s="129"/>
      <c r="AT120" s="129"/>
    </row>
    <row r="121" spans="21:46" s="21" customFormat="1"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121"/>
      <c r="AO121" s="141"/>
      <c r="AP121" s="129">
        <v>121</v>
      </c>
      <c r="AQ121" s="129">
        <f t="shared" si="1"/>
        <v>1302</v>
      </c>
      <c r="AR121" s="129">
        <v>1300</v>
      </c>
      <c r="AS121" s="129"/>
      <c r="AT121" s="129"/>
    </row>
    <row r="122" spans="21:46" s="21" customFormat="1"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121"/>
      <c r="AO122" s="141"/>
      <c r="AP122" s="129">
        <v>122</v>
      </c>
      <c r="AQ122" s="129">
        <f t="shared" si="1"/>
        <v>1312</v>
      </c>
      <c r="AR122" s="129">
        <v>1310</v>
      </c>
      <c r="AS122" s="129"/>
      <c r="AT122" s="129"/>
    </row>
    <row r="123" spans="21:46" s="21" customFormat="1"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121"/>
      <c r="AO123" s="141"/>
      <c r="AP123" s="129">
        <v>123</v>
      </c>
      <c r="AQ123" s="129">
        <f t="shared" si="1"/>
        <v>1322</v>
      </c>
      <c r="AR123" s="129">
        <v>1320</v>
      </c>
      <c r="AS123" s="129"/>
      <c r="AT123" s="129"/>
    </row>
    <row r="124" spans="21:46" s="21" customFormat="1"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121"/>
      <c r="AO124" s="141"/>
      <c r="AP124" s="129">
        <v>124</v>
      </c>
      <c r="AQ124" s="129">
        <f t="shared" si="1"/>
        <v>1332</v>
      </c>
      <c r="AR124" s="129">
        <v>1330</v>
      </c>
      <c r="AS124" s="129"/>
      <c r="AT124" s="129"/>
    </row>
    <row r="125" spans="21:46" s="21" customFormat="1"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121"/>
      <c r="AO125" s="141"/>
      <c r="AP125" s="129">
        <v>125</v>
      </c>
      <c r="AQ125" s="129">
        <f t="shared" si="1"/>
        <v>1342</v>
      </c>
      <c r="AR125" s="129">
        <v>1340</v>
      </c>
      <c r="AS125" s="129"/>
      <c r="AT125" s="129"/>
    </row>
    <row r="126" spans="21:46" s="21" customFormat="1"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121"/>
      <c r="AO126" s="141"/>
      <c r="AP126" s="129">
        <v>126</v>
      </c>
      <c r="AQ126" s="129">
        <f t="shared" si="1"/>
        <v>1352</v>
      </c>
      <c r="AR126" s="129">
        <v>1350</v>
      </c>
      <c r="AS126" s="129"/>
      <c r="AT126" s="129"/>
    </row>
    <row r="127" spans="21:46" s="21" customFormat="1"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121"/>
      <c r="AO127" s="141"/>
      <c r="AP127" s="129">
        <v>127</v>
      </c>
      <c r="AQ127" s="129">
        <f t="shared" si="1"/>
        <v>1361</v>
      </c>
      <c r="AR127" s="129">
        <v>1360</v>
      </c>
      <c r="AS127" s="129"/>
      <c r="AT127" s="129"/>
    </row>
    <row r="128" spans="21:46" s="21" customFormat="1"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121"/>
      <c r="AO128" s="141"/>
      <c r="AP128" s="129">
        <v>128</v>
      </c>
      <c r="AQ128" s="129">
        <f t="shared" si="1"/>
        <v>1371</v>
      </c>
      <c r="AR128" s="129">
        <v>1370</v>
      </c>
      <c r="AS128" s="129"/>
      <c r="AT128" s="129"/>
    </row>
    <row r="129" spans="21:46" s="21" customFormat="1"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121"/>
      <c r="AO129" s="141"/>
      <c r="AP129" s="129">
        <v>129</v>
      </c>
      <c r="AQ129" s="129">
        <f t="shared" si="1"/>
        <v>1381</v>
      </c>
      <c r="AR129" s="129">
        <v>1380</v>
      </c>
      <c r="AS129" s="129"/>
      <c r="AT129" s="129"/>
    </row>
    <row r="130" spans="21:46" s="21" customFormat="1"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121"/>
      <c r="AO130" s="141"/>
      <c r="AP130" s="129">
        <v>130</v>
      </c>
      <c r="AQ130" s="129">
        <f t="shared" si="1"/>
        <v>1391</v>
      </c>
      <c r="AR130" s="129">
        <v>1390</v>
      </c>
      <c r="AS130" s="129"/>
      <c r="AT130" s="129"/>
    </row>
    <row r="131" spans="21:46" s="21" customFormat="1"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121"/>
      <c r="AO131" s="141"/>
      <c r="AP131" s="129">
        <v>131</v>
      </c>
      <c r="AQ131" s="129">
        <f t="shared" ref="AQ131:AQ150" si="2">IF(AP131=1,110,ROUND(100+(AP131*9.93288590604026),0))</f>
        <v>1401</v>
      </c>
      <c r="AR131" s="129">
        <v>1400</v>
      </c>
      <c r="AS131" s="129"/>
      <c r="AT131" s="129"/>
    </row>
    <row r="132" spans="21:46" s="21" customFormat="1"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121"/>
      <c r="AO132" s="141"/>
      <c r="AP132" s="129">
        <v>132</v>
      </c>
      <c r="AQ132" s="129">
        <f t="shared" si="2"/>
        <v>1411</v>
      </c>
      <c r="AR132" s="129">
        <v>1410</v>
      </c>
      <c r="AS132" s="129"/>
      <c r="AT132" s="129"/>
    </row>
    <row r="133" spans="21:46" s="21" customFormat="1"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121"/>
      <c r="AO133" s="141"/>
      <c r="AP133" s="129">
        <v>133</v>
      </c>
      <c r="AQ133" s="129">
        <f t="shared" si="2"/>
        <v>1421</v>
      </c>
      <c r="AR133" s="129">
        <v>1420</v>
      </c>
      <c r="AS133" s="129"/>
      <c r="AT133" s="129"/>
    </row>
    <row r="134" spans="21:46" s="21" customFormat="1"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121"/>
      <c r="AO134" s="141"/>
      <c r="AP134" s="129">
        <v>134</v>
      </c>
      <c r="AQ134" s="129">
        <f t="shared" si="2"/>
        <v>1431</v>
      </c>
      <c r="AR134" s="129">
        <v>1430</v>
      </c>
      <c r="AS134" s="129"/>
      <c r="AT134" s="129"/>
    </row>
    <row r="135" spans="21:46" s="21" customFormat="1"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121"/>
      <c r="AO135" s="141"/>
      <c r="AP135" s="129">
        <v>135</v>
      </c>
      <c r="AQ135" s="129">
        <f t="shared" si="2"/>
        <v>1441</v>
      </c>
      <c r="AR135" s="129">
        <v>1440</v>
      </c>
      <c r="AS135" s="129"/>
      <c r="AT135" s="129"/>
    </row>
    <row r="136" spans="21:46" s="21" customFormat="1"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121"/>
      <c r="AO136" s="141"/>
      <c r="AP136" s="129">
        <v>136</v>
      </c>
      <c r="AQ136" s="129">
        <f t="shared" si="2"/>
        <v>1451</v>
      </c>
      <c r="AR136" s="129">
        <v>1450</v>
      </c>
      <c r="AS136" s="129"/>
      <c r="AT136" s="129"/>
    </row>
    <row r="137" spans="21:46" s="21" customFormat="1"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121"/>
      <c r="AO137" s="141"/>
      <c r="AP137" s="129">
        <v>137</v>
      </c>
      <c r="AQ137" s="129">
        <f t="shared" si="2"/>
        <v>1461</v>
      </c>
      <c r="AR137" s="129">
        <v>1460</v>
      </c>
      <c r="AS137" s="129"/>
      <c r="AT137" s="129"/>
    </row>
    <row r="138" spans="21:46" s="21" customFormat="1"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121"/>
      <c r="AO138" s="141"/>
      <c r="AP138" s="129">
        <v>138</v>
      </c>
      <c r="AQ138" s="129">
        <f t="shared" si="2"/>
        <v>1471</v>
      </c>
      <c r="AR138" s="129">
        <v>1470</v>
      </c>
      <c r="AS138" s="129"/>
      <c r="AT138" s="129"/>
    </row>
    <row r="139" spans="21:46" s="21" customFormat="1"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121"/>
      <c r="AO139" s="141"/>
      <c r="AP139" s="129">
        <v>139</v>
      </c>
      <c r="AQ139" s="129">
        <f t="shared" si="2"/>
        <v>1481</v>
      </c>
      <c r="AR139" s="129">
        <v>1480</v>
      </c>
      <c r="AS139" s="129"/>
      <c r="AT139" s="129"/>
    </row>
    <row r="140" spans="21:46" s="21" customFormat="1"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121"/>
      <c r="AO140" s="141"/>
      <c r="AP140" s="129">
        <v>140</v>
      </c>
      <c r="AQ140" s="129">
        <f t="shared" si="2"/>
        <v>1491</v>
      </c>
      <c r="AR140" s="129">
        <v>1490</v>
      </c>
      <c r="AS140" s="129"/>
      <c r="AT140" s="129"/>
    </row>
    <row r="141" spans="21:46" s="21" customFormat="1"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121"/>
      <c r="AO141" s="141"/>
      <c r="AP141" s="129">
        <v>141</v>
      </c>
      <c r="AQ141" s="129">
        <f t="shared" si="2"/>
        <v>1501</v>
      </c>
      <c r="AR141" s="129">
        <v>1500</v>
      </c>
      <c r="AS141" s="129"/>
      <c r="AT141" s="129"/>
    </row>
    <row r="142" spans="21:46" s="21" customFormat="1"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121"/>
      <c r="AO142" s="141"/>
      <c r="AP142" s="129">
        <v>142</v>
      </c>
      <c r="AQ142" s="129">
        <f t="shared" si="2"/>
        <v>1510</v>
      </c>
      <c r="AR142" s="129">
        <v>1510</v>
      </c>
      <c r="AS142" s="129"/>
      <c r="AT142" s="129"/>
    </row>
    <row r="143" spans="21:46" s="21" customFormat="1"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121"/>
      <c r="AO143" s="141"/>
      <c r="AP143" s="129">
        <v>143</v>
      </c>
      <c r="AQ143" s="129">
        <f t="shared" si="2"/>
        <v>1520</v>
      </c>
      <c r="AR143" s="129">
        <v>1520</v>
      </c>
      <c r="AS143" s="129"/>
      <c r="AT143" s="129"/>
    </row>
    <row r="144" spans="21:46" s="21" customFormat="1"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121"/>
      <c r="AO144" s="141"/>
      <c r="AP144" s="129">
        <v>144</v>
      </c>
      <c r="AQ144" s="129">
        <f t="shared" si="2"/>
        <v>1530</v>
      </c>
      <c r="AR144" s="129">
        <v>1530</v>
      </c>
      <c r="AS144" s="129"/>
      <c r="AT144" s="129"/>
    </row>
    <row r="145" spans="21:46" s="21" customFormat="1"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121"/>
      <c r="AO145" s="141"/>
      <c r="AP145" s="129">
        <v>145</v>
      </c>
      <c r="AQ145" s="129">
        <f t="shared" si="2"/>
        <v>1540</v>
      </c>
      <c r="AR145" s="129">
        <v>1540</v>
      </c>
      <c r="AS145" s="129"/>
      <c r="AT145" s="129"/>
    </row>
    <row r="146" spans="21:46" s="21" customFormat="1"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121"/>
      <c r="AO146" s="141"/>
      <c r="AP146" s="129">
        <v>146</v>
      </c>
      <c r="AQ146" s="129">
        <f t="shared" si="2"/>
        <v>1550</v>
      </c>
      <c r="AR146" s="129">
        <v>1550</v>
      </c>
      <c r="AS146" s="129"/>
      <c r="AT146" s="129"/>
    </row>
    <row r="147" spans="21:46" s="21" customFormat="1"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121"/>
      <c r="AO147" s="141"/>
      <c r="AP147" s="129">
        <v>147</v>
      </c>
      <c r="AQ147" s="129">
        <f t="shared" si="2"/>
        <v>1560</v>
      </c>
      <c r="AR147" s="129">
        <v>1560</v>
      </c>
      <c r="AS147" s="129"/>
      <c r="AT147" s="129"/>
    </row>
    <row r="148" spans="21:46" s="21" customFormat="1"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121"/>
      <c r="AO148" s="141"/>
      <c r="AP148" s="129">
        <v>148</v>
      </c>
      <c r="AQ148" s="129">
        <f t="shared" si="2"/>
        <v>1570</v>
      </c>
      <c r="AR148" s="129">
        <v>1570</v>
      </c>
      <c r="AS148" s="129"/>
      <c r="AT148" s="129"/>
    </row>
    <row r="149" spans="21:46" s="21" customFormat="1"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121"/>
      <c r="AO149" s="141"/>
      <c r="AP149" s="129">
        <v>149</v>
      </c>
      <c r="AQ149" s="129">
        <f t="shared" si="2"/>
        <v>1580</v>
      </c>
      <c r="AR149" s="129">
        <v>1580</v>
      </c>
      <c r="AS149" s="129"/>
      <c r="AT149" s="129"/>
    </row>
    <row r="150" spans="21:46" s="21" customFormat="1"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121"/>
      <c r="AO150" s="141"/>
      <c r="AP150" s="129">
        <v>150</v>
      </c>
      <c r="AQ150" s="129">
        <f t="shared" si="2"/>
        <v>1590</v>
      </c>
      <c r="AR150" s="129">
        <v>1590</v>
      </c>
      <c r="AS150" s="129"/>
      <c r="AT150" s="129"/>
    </row>
    <row r="151" spans="21:46" s="21" customFormat="1"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121"/>
      <c r="AO151" s="141"/>
      <c r="AP151" s="129"/>
      <c r="AQ151" s="129"/>
      <c r="AR151" s="129"/>
      <c r="AS151" s="129"/>
      <c r="AT151" s="129"/>
    </row>
    <row r="152" spans="21:46" s="21" customFormat="1"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121"/>
      <c r="AO152" s="141"/>
      <c r="AP152" s="129"/>
      <c r="AQ152" s="129"/>
      <c r="AR152" s="129"/>
      <c r="AS152" s="129"/>
      <c r="AT152" s="129"/>
    </row>
    <row r="153" spans="21:46" s="21" customFormat="1"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121"/>
      <c r="AO153" s="141"/>
      <c r="AP153" s="129"/>
      <c r="AQ153" s="129"/>
      <c r="AR153" s="129"/>
      <c r="AS153" s="129"/>
      <c r="AT153" s="129"/>
    </row>
    <row r="154" spans="21:46" s="21" customFormat="1"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121"/>
      <c r="AO154" s="141"/>
      <c r="AP154" s="129"/>
      <c r="AQ154" s="129"/>
      <c r="AR154" s="129"/>
      <c r="AS154" s="129"/>
      <c r="AT154" s="129"/>
    </row>
    <row r="155" spans="21:46" s="21" customFormat="1"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121"/>
      <c r="AO155" s="141"/>
      <c r="AP155" s="129"/>
      <c r="AQ155" s="129"/>
      <c r="AR155" s="129"/>
      <c r="AS155" s="129"/>
      <c r="AT155" s="129"/>
    </row>
    <row r="156" spans="21:46" s="21" customFormat="1"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121"/>
      <c r="AO156" s="141"/>
      <c r="AP156" s="129"/>
      <c r="AQ156" s="129"/>
      <c r="AR156" s="129"/>
      <c r="AS156" s="129"/>
      <c r="AT156" s="129"/>
    </row>
    <row r="157" spans="21:46" s="21" customFormat="1"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121"/>
      <c r="AO157" s="141"/>
      <c r="AP157" s="129"/>
      <c r="AQ157" s="129"/>
      <c r="AR157" s="129"/>
      <c r="AS157" s="129"/>
      <c r="AT157" s="129"/>
    </row>
    <row r="158" spans="21:46" s="21" customFormat="1"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121"/>
      <c r="AO158" s="141"/>
      <c r="AP158" s="129"/>
      <c r="AQ158" s="129"/>
      <c r="AR158" s="129"/>
      <c r="AS158" s="129"/>
      <c r="AT158" s="129"/>
    </row>
    <row r="159" spans="21:46" s="21" customFormat="1"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121"/>
      <c r="AO159" s="141"/>
      <c r="AP159" s="129"/>
      <c r="AQ159" s="129"/>
      <c r="AR159" s="129"/>
      <c r="AS159" s="129"/>
      <c r="AT159" s="129"/>
    </row>
    <row r="160" spans="21:46" s="21" customFormat="1"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121"/>
      <c r="AO160" s="141"/>
      <c r="AP160" s="129"/>
      <c r="AQ160" s="129"/>
      <c r="AR160" s="129"/>
      <c r="AS160" s="129"/>
      <c r="AT160" s="129"/>
    </row>
    <row r="161" spans="21:46" s="21" customFormat="1"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121"/>
      <c r="AO161" s="141"/>
      <c r="AP161" s="129"/>
      <c r="AQ161" s="129"/>
      <c r="AR161" s="129"/>
      <c r="AS161" s="129"/>
      <c r="AT161" s="129"/>
    </row>
    <row r="162" spans="21:46" s="21" customFormat="1"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121"/>
      <c r="AO162" s="141"/>
      <c r="AP162" s="129"/>
      <c r="AQ162" s="129"/>
      <c r="AR162" s="129"/>
      <c r="AS162" s="129"/>
      <c r="AT162" s="129"/>
    </row>
    <row r="163" spans="21:46" s="21" customFormat="1"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121"/>
      <c r="AO163" s="141"/>
      <c r="AP163" s="129"/>
      <c r="AQ163" s="129"/>
      <c r="AR163" s="129"/>
      <c r="AS163" s="129"/>
      <c r="AT163" s="129"/>
    </row>
    <row r="164" spans="21:46" s="21" customFormat="1"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121"/>
      <c r="AO164" s="141"/>
      <c r="AP164" s="129"/>
      <c r="AQ164" s="129"/>
      <c r="AR164" s="129"/>
      <c r="AS164" s="129"/>
      <c r="AT164" s="129"/>
    </row>
    <row r="165" spans="21:46" s="21" customFormat="1"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121"/>
      <c r="AO165" s="141"/>
      <c r="AP165" s="129"/>
      <c r="AQ165" s="129"/>
      <c r="AR165" s="129"/>
      <c r="AS165" s="129"/>
      <c r="AT165" s="129"/>
    </row>
    <row r="166" spans="21:46" s="21" customFormat="1"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121"/>
      <c r="AO166" s="141"/>
      <c r="AP166" s="129"/>
      <c r="AQ166" s="129"/>
      <c r="AR166" s="129"/>
      <c r="AS166" s="129"/>
      <c r="AT166" s="129"/>
    </row>
    <row r="167" spans="21:46" s="21" customFormat="1"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121"/>
      <c r="AO167" s="141"/>
      <c r="AP167" s="129"/>
      <c r="AQ167" s="129"/>
      <c r="AR167" s="129"/>
      <c r="AS167" s="129"/>
      <c r="AT167" s="129"/>
    </row>
    <row r="168" spans="21:46" s="21" customFormat="1"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121"/>
      <c r="AO168" s="141"/>
      <c r="AP168" s="129"/>
      <c r="AQ168" s="129"/>
      <c r="AR168" s="129"/>
      <c r="AS168" s="129"/>
      <c r="AT168" s="129"/>
    </row>
    <row r="169" spans="21:46" s="21" customFormat="1"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121"/>
      <c r="AO169" s="141"/>
      <c r="AP169" s="129"/>
      <c r="AQ169" s="129"/>
      <c r="AR169" s="129"/>
      <c r="AS169" s="129"/>
      <c r="AT169" s="129"/>
    </row>
    <row r="170" spans="21:46" s="21" customFormat="1"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121"/>
      <c r="AO170" s="141"/>
      <c r="AP170" s="129"/>
      <c r="AQ170" s="129"/>
      <c r="AR170" s="129"/>
      <c r="AS170" s="129"/>
      <c r="AT170" s="129"/>
    </row>
    <row r="171" spans="21:46" s="21" customFormat="1"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121"/>
      <c r="AO171" s="141"/>
      <c r="AP171" s="129"/>
      <c r="AQ171" s="129"/>
      <c r="AR171" s="129"/>
      <c r="AS171" s="129"/>
      <c r="AT171" s="129"/>
    </row>
    <row r="172" spans="21:46" s="21" customFormat="1"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121"/>
      <c r="AO172" s="141"/>
      <c r="AP172" s="129"/>
      <c r="AQ172" s="129"/>
      <c r="AR172" s="129"/>
      <c r="AS172" s="129"/>
      <c r="AT172" s="129"/>
    </row>
    <row r="173" spans="21:46" s="21" customFormat="1"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121"/>
      <c r="AO173" s="141"/>
      <c r="AP173" s="129"/>
      <c r="AQ173" s="129"/>
      <c r="AR173" s="129"/>
      <c r="AS173" s="129"/>
      <c r="AT173" s="129"/>
    </row>
    <row r="174" spans="21:46" s="21" customFormat="1"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121"/>
      <c r="AO174" s="141"/>
      <c r="AP174" s="129"/>
      <c r="AQ174" s="129"/>
      <c r="AR174" s="129"/>
      <c r="AS174" s="129"/>
      <c r="AT174" s="129"/>
    </row>
    <row r="175" spans="21:46" s="21" customFormat="1"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121"/>
      <c r="AO175" s="141"/>
      <c r="AP175" s="129"/>
      <c r="AQ175" s="129"/>
      <c r="AR175" s="129"/>
      <c r="AS175" s="129"/>
      <c r="AT175" s="129"/>
    </row>
    <row r="176" spans="21:46" s="21" customFormat="1"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121"/>
      <c r="AO176" s="141"/>
      <c r="AP176" s="129"/>
      <c r="AQ176" s="129"/>
      <c r="AR176" s="129"/>
      <c r="AS176" s="129"/>
      <c r="AT176" s="129"/>
    </row>
    <row r="177" spans="21:46" s="21" customFormat="1"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121"/>
      <c r="AO177" s="141"/>
      <c r="AP177" s="129"/>
      <c r="AQ177" s="129"/>
      <c r="AR177" s="129"/>
      <c r="AS177" s="129"/>
      <c r="AT177" s="129"/>
    </row>
    <row r="178" spans="21:46" s="21" customFormat="1"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121"/>
      <c r="AO178" s="141"/>
      <c r="AP178" s="129"/>
      <c r="AQ178" s="129"/>
      <c r="AR178" s="129"/>
      <c r="AS178" s="129"/>
      <c r="AT178" s="129"/>
    </row>
    <row r="179" spans="21:46" s="21" customFormat="1"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121"/>
      <c r="AO179" s="141"/>
      <c r="AP179" s="129"/>
      <c r="AQ179" s="129"/>
      <c r="AR179" s="129"/>
      <c r="AS179" s="129"/>
      <c r="AT179" s="129"/>
    </row>
    <row r="180" spans="21:46" s="21" customFormat="1"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121"/>
      <c r="AO180" s="141"/>
      <c r="AP180" s="129"/>
      <c r="AQ180" s="129"/>
      <c r="AR180" s="129"/>
      <c r="AS180" s="129"/>
      <c r="AT180" s="129"/>
    </row>
    <row r="181" spans="21:46" s="21" customFormat="1"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121"/>
      <c r="AO181" s="141"/>
      <c r="AP181" s="129"/>
      <c r="AQ181" s="129"/>
      <c r="AR181" s="129"/>
      <c r="AS181" s="129"/>
      <c r="AT181" s="129"/>
    </row>
    <row r="182" spans="21:46" s="21" customFormat="1"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121"/>
      <c r="AO182" s="141"/>
      <c r="AP182" s="129"/>
      <c r="AQ182" s="129"/>
      <c r="AR182" s="129"/>
      <c r="AS182" s="129"/>
      <c r="AT182" s="129"/>
    </row>
    <row r="183" spans="21:46" s="21" customFormat="1"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121"/>
      <c r="AO183" s="141"/>
      <c r="AP183" s="129"/>
      <c r="AQ183" s="129"/>
      <c r="AR183" s="129"/>
      <c r="AS183" s="129"/>
      <c r="AT183" s="129"/>
    </row>
    <row r="184" spans="21:46" s="21" customFormat="1"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121"/>
      <c r="AO184" s="141"/>
      <c r="AP184" s="129"/>
      <c r="AQ184" s="129"/>
      <c r="AR184" s="129"/>
      <c r="AS184" s="129"/>
      <c r="AT184" s="129"/>
    </row>
    <row r="185" spans="21:46" s="21" customFormat="1"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121"/>
      <c r="AO185" s="141"/>
      <c r="AP185" s="129"/>
      <c r="AQ185" s="129"/>
      <c r="AR185" s="129"/>
      <c r="AS185" s="129"/>
      <c r="AT185" s="129"/>
    </row>
    <row r="186" spans="21:46" s="21" customFormat="1"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121"/>
      <c r="AO186" s="141"/>
      <c r="AP186" s="129"/>
      <c r="AQ186" s="129"/>
      <c r="AR186" s="129"/>
      <c r="AS186" s="129"/>
      <c r="AT186" s="129"/>
    </row>
    <row r="187" spans="21:46" s="21" customFormat="1"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121"/>
      <c r="AO187" s="141"/>
      <c r="AP187" s="129"/>
      <c r="AQ187" s="129"/>
      <c r="AR187" s="129"/>
      <c r="AS187" s="129"/>
      <c r="AT187" s="129"/>
    </row>
    <row r="188" spans="21:46" s="21" customFormat="1"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121"/>
      <c r="AO188" s="141"/>
      <c r="AP188" s="129"/>
      <c r="AQ188" s="129"/>
      <c r="AR188" s="129"/>
      <c r="AS188" s="129"/>
      <c r="AT188" s="129"/>
    </row>
    <row r="189" spans="21:46" s="21" customFormat="1"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121"/>
      <c r="AO189" s="141"/>
      <c r="AP189" s="129"/>
      <c r="AQ189" s="129"/>
      <c r="AR189" s="129"/>
      <c r="AS189" s="129"/>
      <c r="AT189" s="129"/>
    </row>
    <row r="190" spans="21:46" s="21" customFormat="1"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121"/>
      <c r="AO190" s="141"/>
      <c r="AP190" s="129"/>
      <c r="AQ190" s="129"/>
      <c r="AR190" s="129"/>
      <c r="AS190" s="129"/>
      <c r="AT190" s="129"/>
    </row>
    <row r="191" spans="21:46" s="21" customFormat="1"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121"/>
      <c r="AO191" s="141"/>
      <c r="AP191" s="129"/>
      <c r="AQ191" s="129"/>
      <c r="AR191" s="129"/>
      <c r="AS191" s="129"/>
      <c r="AT191" s="129"/>
    </row>
    <row r="192" spans="21:46" s="21" customFormat="1"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121"/>
      <c r="AO192" s="141"/>
      <c r="AP192" s="129"/>
      <c r="AQ192" s="129"/>
      <c r="AR192" s="129"/>
      <c r="AS192" s="129"/>
      <c r="AT192" s="129"/>
    </row>
    <row r="193" spans="21:46" s="21" customFormat="1"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121"/>
      <c r="AO193" s="141"/>
      <c r="AP193" s="129"/>
      <c r="AQ193" s="129"/>
      <c r="AR193" s="129"/>
      <c r="AS193" s="129"/>
      <c r="AT193" s="129"/>
    </row>
    <row r="194" spans="21:46" s="21" customFormat="1"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121"/>
      <c r="AO194" s="141"/>
      <c r="AP194" s="129"/>
      <c r="AQ194" s="129"/>
      <c r="AR194" s="129"/>
      <c r="AS194" s="129"/>
      <c r="AT194" s="129"/>
    </row>
    <row r="195" spans="21:46" s="21" customFormat="1"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121"/>
      <c r="AO195" s="141"/>
      <c r="AP195" s="129"/>
      <c r="AQ195" s="129"/>
      <c r="AR195" s="129"/>
      <c r="AS195" s="129"/>
      <c r="AT195" s="129"/>
    </row>
    <row r="196" spans="21:46" s="21" customFormat="1"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121"/>
      <c r="AO196" s="141"/>
      <c r="AP196" s="129"/>
      <c r="AQ196" s="129"/>
      <c r="AR196" s="129"/>
      <c r="AS196" s="129"/>
      <c r="AT196" s="129"/>
    </row>
    <row r="197" spans="21:46" s="21" customFormat="1"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121"/>
      <c r="AO197" s="141"/>
      <c r="AP197" s="129"/>
      <c r="AQ197" s="129"/>
      <c r="AR197" s="129"/>
      <c r="AS197" s="129"/>
      <c r="AT197" s="129"/>
    </row>
    <row r="198" spans="21:46" s="21" customFormat="1"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121"/>
      <c r="AO198" s="129"/>
      <c r="AP198" s="129"/>
      <c r="AQ198" s="129"/>
      <c r="AR198" s="129"/>
      <c r="AS198" s="129"/>
      <c r="AT198" s="129"/>
    </row>
    <row r="199" spans="21:46" s="21" customFormat="1"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121"/>
      <c r="AO199" s="129"/>
      <c r="AP199" s="129"/>
      <c r="AQ199" s="129"/>
      <c r="AR199" s="129"/>
      <c r="AS199" s="129"/>
      <c r="AT199" s="129"/>
    </row>
    <row r="200" spans="21:46" s="21" customFormat="1"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121"/>
      <c r="AO200" s="129"/>
      <c r="AP200" s="129"/>
      <c r="AQ200" s="129"/>
      <c r="AR200" s="129"/>
      <c r="AS200" s="129"/>
      <c r="AT200" s="129"/>
    </row>
    <row r="201" spans="21:46" s="21" customFormat="1"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121"/>
      <c r="AO201" s="129"/>
      <c r="AP201" s="129"/>
      <c r="AQ201" s="129"/>
      <c r="AR201" s="129"/>
      <c r="AS201" s="129"/>
      <c r="AT201" s="129"/>
    </row>
    <row r="202" spans="21:46" s="21" customFormat="1"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121"/>
      <c r="AO202" s="129"/>
      <c r="AP202" s="129"/>
      <c r="AQ202" s="129"/>
      <c r="AR202" s="129"/>
      <c r="AS202" s="129"/>
      <c r="AT202" s="129"/>
    </row>
    <row r="203" spans="21:46" s="21" customFormat="1"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121"/>
      <c r="AO203" s="129"/>
      <c r="AP203" s="129"/>
      <c r="AQ203" s="129"/>
      <c r="AR203" s="129"/>
      <c r="AS203" s="129"/>
      <c r="AT203" s="129"/>
    </row>
    <row r="204" spans="21:46" s="21" customFormat="1"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121"/>
      <c r="AO204" s="129"/>
      <c r="AP204" s="129"/>
      <c r="AQ204" s="129"/>
      <c r="AR204" s="129"/>
      <c r="AS204" s="129"/>
      <c r="AT204" s="129"/>
    </row>
    <row r="205" spans="21:46" s="21" customFormat="1"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121"/>
      <c r="AO205" s="129"/>
      <c r="AP205" s="129"/>
      <c r="AQ205" s="129"/>
      <c r="AR205" s="129"/>
      <c r="AS205" s="129"/>
      <c r="AT205" s="129"/>
    </row>
    <row r="206" spans="21:46" s="21" customFormat="1"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121"/>
      <c r="AO206" s="129"/>
      <c r="AP206" s="129"/>
      <c r="AQ206" s="129"/>
      <c r="AR206" s="129"/>
      <c r="AS206" s="129"/>
      <c r="AT206" s="129"/>
    </row>
    <row r="207" spans="21:46" s="21" customFormat="1"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121"/>
      <c r="AO207" s="129"/>
      <c r="AP207" s="129"/>
      <c r="AQ207" s="129"/>
      <c r="AR207" s="129"/>
      <c r="AS207" s="129"/>
      <c r="AT207" s="129"/>
    </row>
    <row r="208" spans="21:46" s="21" customFormat="1"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121"/>
      <c r="AO208" s="129"/>
      <c r="AP208" s="129"/>
      <c r="AQ208" s="129"/>
      <c r="AR208" s="129"/>
      <c r="AS208" s="129"/>
      <c r="AT208" s="129"/>
    </row>
    <row r="209" spans="21:46" s="21" customFormat="1"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121"/>
      <c r="AO209" s="129"/>
      <c r="AP209" s="129"/>
      <c r="AQ209" s="129"/>
      <c r="AR209" s="129"/>
      <c r="AS209" s="129"/>
      <c r="AT209" s="129"/>
    </row>
    <row r="210" spans="21:46" s="21" customFormat="1"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121"/>
      <c r="AO210" s="129"/>
      <c r="AP210" s="129"/>
      <c r="AQ210" s="129"/>
      <c r="AR210" s="129"/>
      <c r="AS210" s="129"/>
      <c r="AT210" s="129"/>
    </row>
    <row r="211" spans="21:46" s="21" customFormat="1"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121"/>
      <c r="AO211" s="129"/>
      <c r="AP211" s="129"/>
      <c r="AQ211" s="129"/>
      <c r="AR211" s="129"/>
      <c r="AS211" s="129"/>
      <c r="AT211" s="129"/>
    </row>
    <row r="212" spans="21:46" s="21" customFormat="1"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121"/>
      <c r="AO212" s="129"/>
      <c r="AP212" s="129"/>
      <c r="AQ212" s="129"/>
      <c r="AR212" s="129"/>
      <c r="AS212" s="129"/>
      <c r="AT212" s="129"/>
    </row>
    <row r="213" spans="21:46" s="21" customFormat="1"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121"/>
      <c r="AO213" s="129"/>
      <c r="AP213" s="129"/>
      <c r="AQ213" s="129"/>
      <c r="AR213" s="129"/>
      <c r="AS213" s="129"/>
      <c r="AT213" s="129"/>
    </row>
    <row r="214" spans="21:46" s="21" customFormat="1"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121"/>
      <c r="AO214" s="129"/>
      <c r="AP214" s="129"/>
      <c r="AQ214" s="129"/>
      <c r="AR214" s="129"/>
      <c r="AS214" s="129"/>
      <c r="AT214" s="129"/>
    </row>
    <row r="215" spans="21:46" s="21" customFormat="1"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121"/>
      <c r="AO215" s="129"/>
      <c r="AP215" s="129"/>
      <c r="AQ215" s="129"/>
      <c r="AR215" s="129"/>
      <c r="AS215" s="129"/>
      <c r="AT215" s="129"/>
    </row>
    <row r="216" spans="21:46" s="21" customFormat="1"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121"/>
      <c r="AO216" s="129"/>
      <c r="AP216" s="129"/>
      <c r="AQ216" s="129"/>
      <c r="AR216" s="129"/>
      <c r="AS216" s="129"/>
      <c r="AT216" s="129"/>
    </row>
    <row r="217" spans="21:46" s="21" customFormat="1"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121"/>
      <c r="AO217" s="129"/>
      <c r="AP217" s="129"/>
      <c r="AQ217" s="129"/>
      <c r="AR217" s="129"/>
      <c r="AS217" s="129"/>
      <c r="AT217" s="129"/>
    </row>
    <row r="218" spans="21:46" s="21" customFormat="1"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121"/>
      <c r="AO218" s="129"/>
      <c r="AP218" s="129"/>
      <c r="AQ218" s="129"/>
      <c r="AR218" s="129"/>
      <c r="AS218" s="129"/>
      <c r="AT218" s="129"/>
    </row>
    <row r="219" spans="21:46" s="21" customFormat="1"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121"/>
      <c r="AO219" s="129"/>
      <c r="AP219" s="129"/>
      <c r="AQ219" s="129"/>
      <c r="AR219" s="129"/>
      <c r="AS219" s="129"/>
      <c r="AT219" s="129"/>
    </row>
    <row r="220" spans="21:46" s="21" customFormat="1"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121"/>
      <c r="AO220" s="129"/>
      <c r="AP220" s="129"/>
      <c r="AQ220" s="129"/>
      <c r="AR220" s="129"/>
      <c r="AS220" s="129"/>
      <c r="AT220" s="129"/>
    </row>
    <row r="221" spans="21:46" s="21" customFormat="1"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121"/>
      <c r="AO221" s="129"/>
      <c r="AP221" s="129"/>
      <c r="AQ221" s="129"/>
      <c r="AR221" s="129"/>
      <c r="AS221" s="129"/>
      <c r="AT221" s="129"/>
    </row>
    <row r="222" spans="21:46" s="21" customFormat="1"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121"/>
      <c r="AO222" s="129"/>
      <c r="AP222" s="129"/>
      <c r="AQ222" s="129"/>
      <c r="AR222" s="129"/>
      <c r="AS222" s="129"/>
      <c r="AT222" s="129"/>
    </row>
    <row r="223" spans="21:46" s="21" customFormat="1"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121"/>
      <c r="AO223" s="129"/>
      <c r="AP223" s="129"/>
      <c r="AQ223" s="129"/>
      <c r="AR223" s="129"/>
      <c r="AS223" s="129"/>
      <c r="AT223" s="129"/>
    </row>
    <row r="224" spans="21:46" s="21" customFormat="1"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121"/>
      <c r="AO224" s="129"/>
      <c r="AP224" s="129"/>
      <c r="AQ224" s="129"/>
      <c r="AR224" s="129"/>
      <c r="AS224" s="129"/>
      <c r="AT224" s="129"/>
    </row>
    <row r="225" spans="21:46" s="21" customFormat="1"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121"/>
      <c r="AO225" s="129"/>
      <c r="AP225" s="129"/>
      <c r="AQ225" s="129"/>
      <c r="AR225" s="129"/>
      <c r="AS225" s="129"/>
      <c r="AT225" s="129"/>
    </row>
    <row r="226" spans="21:46" s="21" customFormat="1"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121"/>
      <c r="AO226" s="129"/>
      <c r="AP226" s="129"/>
      <c r="AQ226" s="129"/>
      <c r="AR226" s="129"/>
      <c r="AS226" s="129"/>
      <c r="AT226" s="129"/>
    </row>
    <row r="227" spans="21:46" s="21" customFormat="1"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121"/>
      <c r="AO227" s="129"/>
      <c r="AP227" s="129"/>
      <c r="AQ227" s="129"/>
      <c r="AR227" s="129"/>
      <c r="AS227" s="129"/>
      <c r="AT227" s="129"/>
    </row>
    <row r="228" spans="21:46" s="21" customFormat="1"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121"/>
      <c r="AO228" s="129"/>
      <c r="AP228" s="129"/>
      <c r="AQ228" s="129"/>
      <c r="AR228" s="129"/>
      <c r="AS228" s="129"/>
      <c r="AT228" s="129"/>
    </row>
    <row r="229" spans="21:46" s="21" customFormat="1"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121"/>
      <c r="AO229" s="129"/>
      <c r="AP229" s="129"/>
      <c r="AQ229" s="129"/>
      <c r="AR229" s="129"/>
      <c r="AS229" s="129"/>
      <c r="AT229" s="129"/>
    </row>
    <row r="230" spans="21:46" s="21" customFormat="1"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121"/>
      <c r="AO230" s="129"/>
      <c r="AP230" s="129"/>
      <c r="AQ230" s="129"/>
      <c r="AR230" s="129"/>
      <c r="AS230" s="129"/>
      <c r="AT230" s="129"/>
    </row>
    <row r="231" spans="21:46" s="21" customFormat="1"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121"/>
      <c r="AO231" s="129"/>
      <c r="AP231" s="129"/>
      <c r="AQ231" s="129"/>
      <c r="AR231" s="129"/>
      <c r="AS231" s="129"/>
      <c r="AT231" s="129"/>
    </row>
    <row r="232" spans="21:46" s="21" customFormat="1"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121"/>
      <c r="AO232" s="129"/>
      <c r="AP232" s="129"/>
      <c r="AQ232" s="129"/>
      <c r="AR232" s="129"/>
      <c r="AS232" s="129"/>
      <c r="AT232" s="129"/>
    </row>
    <row r="233" spans="21:46" s="21" customFormat="1"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121"/>
      <c r="AO233" s="129"/>
      <c r="AP233" s="129"/>
      <c r="AQ233" s="129"/>
      <c r="AR233" s="129"/>
      <c r="AS233" s="129"/>
      <c r="AT233" s="129"/>
    </row>
    <row r="234" spans="21:46" s="21" customFormat="1"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121"/>
      <c r="AO234" s="129"/>
      <c r="AP234" s="129"/>
      <c r="AQ234" s="129"/>
      <c r="AR234" s="129"/>
      <c r="AS234" s="129"/>
      <c r="AT234" s="129"/>
    </row>
    <row r="235" spans="21:46" s="21" customFormat="1"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121"/>
      <c r="AO235" s="129"/>
      <c r="AP235" s="129"/>
      <c r="AQ235" s="129"/>
      <c r="AR235" s="129"/>
      <c r="AS235" s="129"/>
      <c r="AT235" s="129"/>
    </row>
    <row r="236" spans="21:46" s="21" customFormat="1"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121"/>
      <c r="AO236" s="129"/>
      <c r="AP236" s="129"/>
      <c r="AQ236" s="129"/>
      <c r="AR236" s="129"/>
      <c r="AS236" s="129"/>
      <c r="AT236" s="129"/>
    </row>
    <row r="237" spans="21:46" s="21" customFormat="1"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121"/>
      <c r="AO237" s="129"/>
      <c r="AP237" s="129"/>
      <c r="AQ237" s="129"/>
      <c r="AR237" s="129"/>
      <c r="AS237" s="129"/>
      <c r="AT237" s="129"/>
    </row>
    <row r="238" spans="21:46" s="21" customFormat="1"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121"/>
      <c r="AO238" s="129"/>
      <c r="AP238" s="129"/>
      <c r="AQ238" s="129"/>
      <c r="AR238" s="129"/>
      <c r="AS238" s="129"/>
      <c r="AT238" s="129"/>
    </row>
    <row r="239" spans="21:46" s="21" customFormat="1"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121"/>
      <c r="AO239" s="129"/>
      <c r="AP239" s="129"/>
      <c r="AQ239" s="129"/>
      <c r="AR239" s="129"/>
      <c r="AS239" s="129"/>
      <c r="AT239" s="129"/>
    </row>
    <row r="240" spans="21:46" s="21" customFormat="1"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121"/>
      <c r="AO240" s="129"/>
      <c r="AP240" s="129"/>
      <c r="AQ240" s="129"/>
      <c r="AR240" s="129"/>
      <c r="AS240" s="129"/>
      <c r="AT240" s="129"/>
    </row>
    <row r="241" spans="21:46" s="21" customFormat="1"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121"/>
      <c r="AO241" s="129"/>
      <c r="AP241" s="129"/>
      <c r="AQ241" s="129"/>
      <c r="AR241" s="129"/>
      <c r="AS241" s="129"/>
      <c r="AT241" s="129"/>
    </row>
    <row r="242" spans="21:46" s="21" customFormat="1"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121"/>
      <c r="AO242" s="129"/>
      <c r="AP242" s="129"/>
      <c r="AQ242" s="129"/>
      <c r="AR242" s="129"/>
      <c r="AS242" s="129"/>
      <c r="AT242" s="129"/>
    </row>
    <row r="243" spans="21:46" s="21" customFormat="1"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121"/>
      <c r="AO243" s="129"/>
      <c r="AP243" s="129"/>
      <c r="AQ243" s="129"/>
      <c r="AR243" s="129"/>
      <c r="AS243" s="129"/>
      <c r="AT243" s="129"/>
    </row>
    <row r="244" spans="21:46" s="21" customFormat="1"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121"/>
      <c r="AO244" s="129"/>
      <c r="AP244" s="129"/>
      <c r="AQ244" s="129"/>
      <c r="AR244" s="129"/>
      <c r="AS244" s="129"/>
      <c r="AT244" s="129"/>
    </row>
    <row r="245" spans="21:46" s="21" customFormat="1"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121"/>
      <c r="AO245" s="129"/>
      <c r="AP245" s="129"/>
      <c r="AQ245" s="129"/>
      <c r="AR245" s="129"/>
      <c r="AS245" s="129"/>
      <c r="AT245" s="129"/>
    </row>
    <row r="246" spans="21:46" s="21" customFormat="1"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121"/>
      <c r="AO246" s="129"/>
      <c r="AP246" s="129"/>
      <c r="AQ246" s="129"/>
      <c r="AR246" s="129"/>
      <c r="AS246" s="129"/>
      <c r="AT246" s="129"/>
    </row>
    <row r="247" spans="21:46" s="21" customFormat="1"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121"/>
      <c r="AO247" s="129"/>
      <c r="AP247" s="129"/>
      <c r="AQ247" s="129"/>
      <c r="AR247" s="129"/>
      <c r="AS247" s="129"/>
      <c r="AT247" s="129"/>
    </row>
    <row r="248" spans="21:46" s="21" customFormat="1"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121"/>
      <c r="AO248" s="129"/>
      <c r="AP248" s="129"/>
      <c r="AQ248" s="129"/>
      <c r="AR248" s="129"/>
      <c r="AS248" s="129"/>
      <c r="AT248" s="129"/>
    </row>
    <row r="249" spans="21:46" s="21" customFormat="1"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121"/>
      <c r="AO249" s="129"/>
      <c r="AP249" s="129"/>
      <c r="AQ249" s="129"/>
      <c r="AR249" s="129"/>
      <c r="AS249" s="129"/>
      <c r="AT249" s="129"/>
    </row>
    <row r="250" spans="21:46" s="21" customFormat="1"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121"/>
      <c r="AO250" s="129"/>
      <c r="AP250" s="129"/>
      <c r="AQ250" s="129"/>
      <c r="AR250" s="129"/>
      <c r="AS250" s="129"/>
      <c r="AT250" s="129"/>
    </row>
    <row r="251" spans="21:46" s="21" customFormat="1"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121"/>
      <c r="AO251" s="129"/>
      <c r="AP251" s="129"/>
      <c r="AQ251" s="129"/>
      <c r="AR251" s="129"/>
      <c r="AS251" s="129"/>
      <c r="AT251" s="129"/>
    </row>
    <row r="252" spans="21:46" s="21" customFormat="1"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121"/>
      <c r="AO252" s="129"/>
      <c r="AP252" s="129"/>
      <c r="AQ252" s="129"/>
      <c r="AR252" s="129"/>
      <c r="AS252" s="129"/>
      <c r="AT252" s="129"/>
    </row>
    <row r="253" spans="21:46" s="21" customFormat="1"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121"/>
      <c r="AO253" s="129"/>
      <c r="AP253" s="129"/>
      <c r="AQ253" s="129"/>
      <c r="AR253" s="129"/>
      <c r="AS253" s="129"/>
      <c r="AT253" s="129"/>
    </row>
    <row r="254" spans="21:46" s="21" customFormat="1"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121"/>
      <c r="AO254" s="129"/>
      <c r="AP254" s="129"/>
      <c r="AQ254" s="129"/>
      <c r="AR254" s="129"/>
      <c r="AS254" s="129"/>
      <c r="AT254" s="129"/>
    </row>
    <row r="255" spans="21:46" s="21" customFormat="1"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121"/>
      <c r="AO255" s="129"/>
      <c r="AP255" s="129"/>
      <c r="AQ255" s="129"/>
      <c r="AR255" s="129"/>
      <c r="AS255" s="129"/>
      <c r="AT255" s="129"/>
    </row>
    <row r="256" spans="21:46" s="21" customFormat="1"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121"/>
      <c r="AO256" s="129"/>
      <c r="AP256" s="129"/>
      <c r="AQ256" s="129"/>
      <c r="AR256" s="129"/>
      <c r="AS256" s="129"/>
      <c r="AT256" s="129"/>
    </row>
    <row r="257" spans="21:46" s="21" customFormat="1"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121"/>
      <c r="AO257" s="129"/>
      <c r="AP257" s="129"/>
      <c r="AQ257" s="129"/>
      <c r="AR257" s="129"/>
      <c r="AS257" s="129"/>
      <c r="AT257" s="129"/>
    </row>
    <row r="258" spans="21:46" s="21" customFormat="1"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121"/>
      <c r="AO258" s="129"/>
      <c r="AP258" s="129"/>
      <c r="AQ258" s="129"/>
      <c r="AR258" s="129"/>
      <c r="AS258" s="129"/>
      <c r="AT258" s="129"/>
    </row>
    <row r="259" spans="21:46" s="21" customFormat="1"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121"/>
      <c r="AO259" s="129"/>
      <c r="AP259" s="129"/>
      <c r="AQ259" s="129"/>
      <c r="AR259" s="129"/>
      <c r="AS259" s="129"/>
      <c r="AT259" s="129"/>
    </row>
    <row r="260" spans="21:46" s="21" customFormat="1"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121"/>
      <c r="AO260" s="129"/>
      <c r="AP260" s="129"/>
      <c r="AQ260" s="129"/>
      <c r="AR260" s="129"/>
      <c r="AS260" s="129"/>
      <c r="AT260" s="129"/>
    </row>
    <row r="261" spans="21:46" s="21" customFormat="1"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121"/>
      <c r="AO261" s="129"/>
      <c r="AP261" s="129"/>
      <c r="AQ261" s="129"/>
      <c r="AR261" s="129"/>
      <c r="AS261" s="129"/>
      <c r="AT261" s="129"/>
    </row>
    <row r="262" spans="21:46" s="21" customFormat="1"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121"/>
      <c r="AO262" s="129"/>
      <c r="AP262" s="129"/>
      <c r="AQ262" s="129"/>
      <c r="AR262" s="129"/>
      <c r="AS262" s="129"/>
      <c r="AT262" s="129"/>
    </row>
    <row r="263" spans="21:46" s="21" customFormat="1"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121"/>
      <c r="AO263" s="129"/>
      <c r="AP263" s="129"/>
      <c r="AQ263" s="129"/>
      <c r="AR263" s="129"/>
      <c r="AS263" s="129"/>
      <c r="AT263" s="129"/>
    </row>
    <row r="264" spans="21:46" s="21" customFormat="1"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121"/>
      <c r="AO264" s="129"/>
      <c r="AP264" s="129"/>
      <c r="AQ264" s="129"/>
      <c r="AR264" s="129"/>
      <c r="AS264" s="129"/>
      <c r="AT264" s="129"/>
    </row>
    <row r="265" spans="21:46" s="21" customFormat="1"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121"/>
      <c r="AO265" s="129"/>
      <c r="AP265" s="129"/>
      <c r="AQ265" s="129"/>
      <c r="AR265" s="129"/>
      <c r="AS265" s="129"/>
      <c r="AT265" s="129"/>
    </row>
    <row r="266" spans="21:46" s="21" customFormat="1"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121"/>
      <c r="AO266" s="129"/>
      <c r="AP266" s="129"/>
      <c r="AQ266" s="129"/>
      <c r="AR266" s="129"/>
      <c r="AS266" s="129"/>
      <c r="AT266" s="129"/>
    </row>
    <row r="267" spans="21:46" s="21" customFormat="1"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121"/>
      <c r="AO267" s="129"/>
      <c r="AP267" s="129"/>
      <c r="AQ267" s="129"/>
      <c r="AR267" s="129"/>
      <c r="AS267" s="129"/>
      <c r="AT267" s="129"/>
    </row>
    <row r="268" spans="21:46" s="21" customFormat="1"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121"/>
      <c r="AO268" s="129"/>
      <c r="AP268" s="129"/>
      <c r="AQ268" s="129"/>
      <c r="AR268" s="129"/>
      <c r="AS268" s="129"/>
      <c r="AT268" s="129"/>
    </row>
    <row r="269" spans="21:46" s="21" customFormat="1"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121"/>
      <c r="AO269" s="129"/>
      <c r="AP269" s="129"/>
      <c r="AQ269" s="129"/>
      <c r="AR269" s="129"/>
      <c r="AS269" s="129"/>
      <c r="AT269" s="129"/>
    </row>
    <row r="270" spans="21:46" s="21" customFormat="1"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121"/>
      <c r="AO270" s="129"/>
      <c r="AP270" s="129"/>
      <c r="AQ270" s="129"/>
      <c r="AR270" s="129"/>
      <c r="AS270" s="129"/>
      <c r="AT270" s="129"/>
    </row>
    <row r="271" spans="21:46" s="21" customFormat="1"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121"/>
      <c r="AO271" s="129"/>
      <c r="AP271" s="129"/>
      <c r="AQ271" s="129"/>
      <c r="AR271" s="129"/>
      <c r="AS271" s="129"/>
      <c r="AT271" s="129"/>
    </row>
    <row r="272" spans="21:46" s="21" customFormat="1"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121"/>
      <c r="AO272" s="129"/>
      <c r="AP272" s="129"/>
      <c r="AQ272" s="129"/>
      <c r="AR272" s="129"/>
      <c r="AS272" s="129"/>
      <c r="AT272" s="129"/>
    </row>
    <row r="273" spans="21:46" s="21" customFormat="1"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121"/>
      <c r="AO273" s="129"/>
      <c r="AP273" s="129"/>
      <c r="AQ273" s="129"/>
      <c r="AR273" s="129"/>
      <c r="AS273" s="129"/>
      <c r="AT273" s="129"/>
    </row>
    <row r="274" spans="21:46" s="21" customFormat="1"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121"/>
      <c r="AO274" s="129"/>
      <c r="AP274" s="129"/>
      <c r="AQ274" s="129"/>
      <c r="AR274" s="129"/>
      <c r="AS274" s="129"/>
      <c r="AT274" s="129"/>
    </row>
    <row r="275" spans="21:46" s="21" customFormat="1"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121"/>
      <c r="AO275" s="129"/>
      <c r="AP275" s="129"/>
      <c r="AQ275" s="129"/>
      <c r="AR275" s="129"/>
      <c r="AS275" s="129"/>
      <c r="AT275" s="129"/>
    </row>
    <row r="276" spans="21:46" s="21" customFormat="1"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121"/>
      <c r="AO276" s="129"/>
      <c r="AP276" s="129"/>
      <c r="AQ276" s="129"/>
      <c r="AR276" s="129"/>
      <c r="AS276" s="129"/>
      <c r="AT276" s="129"/>
    </row>
    <row r="277" spans="21:46" s="21" customFormat="1"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121"/>
      <c r="AO277" s="129"/>
      <c r="AP277" s="129"/>
      <c r="AQ277" s="129"/>
      <c r="AR277" s="129"/>
      <c r="AS277" s="129"/>
      <c r="AT277" s="129"/>
    </row>
    <row r="278" spans="21:46" s="21" customFormat="1"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121"/>
      <c r="AO278" s="129"/>
      <c r="AP278" s="129"/>
      <c r="AQ278" s="129"/>
      <c r="AR278" s="129"/>
      <c r="AS278" s="129"/>
      <c r="AT278" s="129"/>
    </row>
    <row r="279" spans="21:46" s="21" customFormat="1"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121"/>
      <c r="AO279" s="129"/>
      <c r="AP279" s="129"/>
      <c r="AQ279" s="129"/>
      <c r="AR279" s="129"/>
      <c r="AS279" s="129"/>
      <c r="AT279" s="129"/>
    </row>
    <row r="280" spans="21:46" s="21" customFormat="1"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121"/>
      <c r="AO280" s="129"/>
      <c r="AP280" s="129"/>
      <c r="AQ280" s="129"/>
      <c r="AR280" s="129"/>
      <c r="AS280" s="129"/>
      <c r="AT280" s="129"/>
    </row>
    <row r="281" spans="21:46" s="21" customFormat="1"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121"/>
      <c r="AO281" s="129"/>
      <c r="AP281" s="129"/>
      <c r="AQ281" s="129"/>
      <c r="AR281" s="129"/>
      <c r="AS281" s="129"/>
      <c r="AT281" s="129"/>
    </row>
    <row r="282" spans="21:46" s="21" customFormat="1"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121"/>
      <c r="AO282" s="129"/>
      <c r="AP282" s="129"/>
      <c r="AQ282" s="129"/>
      <c r="AR282" s="129"/>
      <c r="AS282" s="129"/>
      <c r="AT282" s="129"/>
    </row>
    <row r="283" spans="21:46" s="21" customFormat="1"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121"/>
      <c r="AO283" s="129"/>
      <c r="AP283" s="129"/>
      <c r="AQ283" s="129"/>
      <c r="AR283" s="129"/>
      <c r="AS283" s="129"/>
      <c r="AT283" s="129"/>
    </row>
    <row r="284" spans="21:46" s="21" customFormat="1"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121"/>
      <c r="AO284" s="129"/>
      <c r="AP284" s="129"/>
      <c r="AQ284" s="129"/>
      <c r="AR284" s="129"/>
      <c r="AS284" s="129"/>
      <c r="AT284" s="129"/>
    </row>
    <row r="285" spans="21:46" s="21" customFormat="1"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121"/>
      <c r="AO285" s="129"/>
      <c r="AP285" s="129"/>
      <c r="AQ285" s="129"/>
      <c r="AR285" s="129"/>
      <c r="AS285" s="129"/>
      <c r="AT285" s="129"/>
    </row>
    <row r="286" spans="21:46" s="21" customFormat="1"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121"/>
      <c r="AO286" s="129"/>
      <c r="AP286" s="129"/>
      <c r="AQ286" s="129"/>
      <c r="AR286" s="129"/>
      <c r="AS286" s="129"/>
      <c r="AT286" s="129"/>
    </row>
    <row r="287" spans="21:46" s="21" customFormat="1"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121"/>
      <c r="AO287" s="129"/>
      <c r="AP287" s="129"/>
      <c r="AQ287" s="129"/>
      <c r="AR287" s="129"/>
      <c r="AS287" s="129"/>
      <c r="AT287" s="129"/>
    </row>
    <row r="288" spans="21:46" s="21" customFormat="1"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121"/>
      <c r="AO288" s="129"/>
      <c r="AP288" s="129"/>
      <c r="AQ288" s="129"/>
      <c r="AR288" s="129"/>
      <c r="AS288" s="129"/>
      <c r="AT288" s="129"/>
    </row>
    <row r="289" spans="21:46" s="21" customFormat="1"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121"/>
      <c r="AO289" s="129"/>
      <c r="AP289" s="129"/>
      <c r="AQ289" s="129"/>
      <c r="AR289" s="129"/>
      <c r="AS289" s="129"/>
      <c r="AT289" s="129"/>
    </row>
    <row r="290" spans="21:46" s="21" customFormat="1"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121"/>
      <c r="AO290" s="129"/>
      <c r="AP290" s="129"/>
      <c r="AQ290" s="129"/>
      <c r="AR290" s="129"/>
      <c r="AS290" s="129"/>
      <c r="AT290" s="129"/>
    </row>
    <row r="291" spans="21:46" s="21" customFormat="1"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121"/>
      <c r="AO291" s="129"/>
      <c r="AP291" s="129"/>
      <c r="AQ291" s="129"/>
      <c r="AR291" s="129"/>
      <c r="AS291" s="129"/>
      <c r="AT291" s="129"/>
    </row>
    <row r="292" spans="21:46" s="21" customFormat="1"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121"/>
      <c r="AO292" s="129"/>
      <c r="AP292" s="129"/>
      <c r="AQ292" s="129"/>
      <c r="AR292" s="129"/>
      <c r="AS292" s="129"/>
      <c r="AT292" s="129"/>
    </row>
    <row r="293" spans="21:46" s="21" customFormat="1"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121"/>
      <c r="AO293" s="129"/>
      <c r="AP293" s="129"/>
      <c r="AQ293" s="129"/>
      <c r="AR293" s="129"/>
      <c r="AS293" s="129"/>
      <c r="AT293" s="129"/>
    </row>
    <row r="294" spans="21:46" s="21" customFormat="1"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121"/>
      <c r="AO294" s="129"/>
      <c r="AP294" s="129"/>
      <c r="AQ294" s="129"/>
      <c r="AR294" s="129"/>
      <c r="AS294" s="129"/>
      <c r="AT294" s="129"/>
    </row>
    <row r="295" spans="21:46" s="21" customFormat="1"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121"/>
      <c r="AO295" s="129"/>
      <c r="AP295" s="129"/>
      <c r="AQ295" s="129"/>
      <c r="AR295" s="129"/>
      <c r="AS295" s="129"/>
      <c r="AT295" s="129"/>
    </row>
    <row r="296" spans="21:46" s="21" customFormat="1"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121"/>
      <c r="AO296" s="129"/>
      <c r="AP296" s="129"/>
      <c r="AQ296" s="129"/>
      <c r="AR296" s="129"/>
      <c r="AS296" s="129"/>
      <c r="AT296" s="129"/>
    </row>
    <row r="297" spans="21:46" s="21" customFormat="1"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121"/>
      <c r="AO297" s="129"/>
      <c r="AP297" s="129"/>
      <c r="AQ297" s="129"/>
      <c r="AR297" s="129"/>
      <c r="AS297" s="129"/>
      <c r="AT297" s="129"/>
    </row>
    <row r="298" spans="21:46" s="21" customFormat="1"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121"/>
      <c r="AO298" s="129"/>
      <c r="AP298" s="129"/>
      <c r="AQ298" s="129"/>
      <c r="AR298" s="129"/>
      <c r="AS298" s="129"/>
      <c r="AT298" s="129"/>
    </row>
    <row r="299" spans="21:46" s="21" customFormat="1"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121"/>
      <c r="AO299" s="129"/>
      <c r="AP299" s="129"/>
      <c r="AQ299" s="129"/>
      <c r="AR299" s="129"/>
      <c r="AS299" s="129"/>
      <c r="AT299" s="129"/>
    </row>
    <row r="300" spans="21:46" s="21" customFormat="1"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121"/>
      <c r="AO300" s="129"/>
      <c r="AP300" s="129"/>
      <c r="AQ300" s="129"/>
      <c r="AR300" s="129"/>
      <c r="AS300" s="129"/>
      <c r="AT300" s="129"/>
    </row>
    <row r="301" spans="21:46" s="21" customFormat="1"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121"/>
      <c r="AO301" s="129"/>
      <c r="AP301" s="129"/>
      <c r="AQ301" s="129"/>
      <c r="AR301" s="129"/>
      <c r="AS301" s="129"/>
      <c r="AT301" s="129"/>
    </row>
    <row r="302" spans="21:46" s="21" customFormat="1"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121"/>
      <c r="AO302" s="129"/>
      <c r="AP302" s="129"/>
      <c r="AQ302" s="129"/>
      <c r="AR302" s="129"/>
      <c r="AS302" s="129"/>
      <c r="AT302" s="129"/>
    </row>
    <row r="303" spans="21:46" s="21" customFormat="1"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121"/>
      <c r="AO303" s="129"/>
      <c r="AP303" s="129"/>
      <c r="AQ303" s="129"/>
      <c r="AR303" s="129"/>
      <c r="AS303" s="129"/>
      <c r="AT303" s="129"/>
    </row>
    <row r="304" spans="21:46" s="21" customFormat="1"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121"/>
      <c r="AO304" s="129"/>
      <c r="AP304" s="129"/>
      <c r="AQ304" s="129"/>
      <c r="AR304" s="129"/>
      <c r="AS304" s="129"/>
      <c r="AT304" s="129"/>
    </row>
    <row r="305" spans="21:46" s="21" customFormat="1"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121"/>
      <c r="AO305" s="129"/>
      <c r="AP305" s="129"/>
      <c r="AQ305" s="129"/>
      <c r="AR305" s="129"/>
      <c r="AS305" s="129"/>
      <c r="AT305" s="129"/>
    </row>
    <row r="306" spans="21:46" s="21" customFormat="1"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121"/>
      <c r="AO306" s="129"/>
      <c r="AP306" s="129"/>
      <c r="AQ306" s="129"/>
      <c r="AR306" s="129"/>
      <c r="AS306" s="129"/>
      <c r="AT306" s="129"/>
    </row>
    <row r="307" spans="21:46" s="21" customFormat="1"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121"/>
      <c r="AO307" s="129"/>
      <c r="AP307" s="129"/>
      <c r="AQ307" s="129"/>
      <c r="AR307" s="129"/>
      <c r="AS307" s="129"/>
      <c r="AT307" s="129"/>
    </row>
    <row r="308" spans="21:46" s="21" customFormat="1"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121"/>
      <c r="AO308" s="129"/>
      <c r="AP308" s="129"/>
      <c r="AQ308" s="129"/>
      <c r="AR308" s="129"/>
      <c r="AS308" s="129"/>
      <c r="AT308" s="129"/>
    </row>
    <row r="309" spans="21:46" s="21" customFormat="1"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121"/>
      <c r="AO309" s="129"/>
      <c r="AP309" s="129"/>
      <c r="AQ309" s="129"/>
      <c r="AR309" s="129"/>
      <c r="AS309" s="129"/>
      <c r="AT309" s="129"/>
    </row>
    <row r="310" spans="21:46" s="21" customFormat="1"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121"/>
      <c r="AO310" s="129"/>
      <c r="AP310" s="129"/>
      <c r="AQ310" s="129"/>
      <c r="AR310" s="129"/>
      <c r="AS310" s="129"/>
      <c r="AT310" s="129"/>
    </row>
    <row r="311" spans="21:46" s="21" customFormat="1"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121"/>
      <c r="AO311" s="129"/>
      <c r="AP311" s="129"/>
      <c r="AQ311" s="129"/>
      <c r="AR311" s="129"/>
      <c r="AS311" s="129"/>
      <c r="AT311" s="129"/>
    </row>
    <row r="312" spans="21:46" s="21" customFormat="1"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121"/>
      <c r="AO312" s="129"/>
      <c r="AP312" s="129"/>
      <c r="AQ312" s="129"/>
      <c r="AR312" s="129"/>
      <c r="AS312" s="129"/>
      <c r="AT312" s="129"/>
    </row>
    <row r="313" spans="21:46" s="21" customFormat="1"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121"/>
      <c r="AO313" s="129"/>
      <c r="AP313" s="129"/>
      <c r="AQ313" s="129"/>
      <c r="AR313" s="129"/>
      <c r="AS313" s="129"/>
      <c r="AT313" s="129"/>
    </row>
    <row r="314" spans="21:46" s="21" customFormat="1"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121"/>
      <c r="AO314" s="129"/>
      <c r="AP314" s="129"/>
      <c r="AQ314" s="129"/>
      <c r="AR314" s="129"/>
      <c r="AS314" s="129"/>
      <c r="AT314" s="129"/>
    </row>
    <row r="315" spans="21:46" s="21" customFormat="1"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121"/>
      <c r="AO315" s="129"/>
      <c r="AP315" s="129"/>
      <c r="AQ315" s="129"/>
      <c r="AR315" s="129"/>
      <c r="AS315" s="129"/>
      <c r="AT315" s="129"/>
    </row>
    <row r="316" spans="21:46" s="21" customFormat="1"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121"/>
      <c r="AO316" s="129"/>
      <c r="AP316" s="129"/>
      <c r="AQ316" s="129"/>
      <c r="AR316" s="129"/>
      <c r="AS316" s="129"/>
      <c r="AT316" s="129"/>
    </row>
    <row r="317" spans="21:46" s="21" customFormat="1"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121"/>
      <c r="AO317" s="129"/>
      <c r="AP317" s="129"/>
      <c r="AQ317" s="129"/>
      <c r="AR317" s="129"/>
      <c r="AS317" s="129"/>
      <c r="AT317" s="129"/>
    </row>
    <row r="318" spans="21:46" s="21" customFormat="1"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121"/>
      <c r="AO318" s="129"/>
      <c r="AP318" s="129"/>
      <c r="AQ318" s="129"/>
      <c r="AR318" s="129"/>
      <c r="AS318" s="129"/>
      <c r="AT318" s="129"/>
    </row>
    <row r="319" spans="21:46" s="21" customFormat="1"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121"/>
      <c r="AO319" s="129"/>
      <c r="AP319" s="129"/>
      <c r="AQ319" s="129"/>
      <c r="AR319" s="129"/>
      <c r="AS319" s="129"/>
      <c r="AT319" s="129"/>
    </row>
    <row r="320" spans="21:46" s="21" customFormat="1"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121"/>
      <c r="AO320" s="129"/>
      <c r="AP320" s="129"/>
      <c r="AQ320" s="129"/>
      <c r="AR320" s="129"/>
      <c r="AS320" s="129"/>
      <c r="AT320" s="129"/>
    </row>
    <row r="321" spans="21:46" s="21" customFormat="1"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121"/>
      <c r="AO321" s="129"/>
      <c r="AP321" s="129"/>
      <c r="AQ321" s="129"/>
      <c r="AR321" s="129"/>
      <c r="AS321" s="129"/>
      <c r="AT321" s="129"/>
    </row>
    <row r="322" spans="21:46" s="21" customFormat="1"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121"/>
      <c r="AO322" s="129"/>
      <c r="AP322" s="129"/>
      <c r="AQ322" s="129"/>
      <c r="AR322" s="129"/>
      <c r="AS322" s="129"/>
      <c r="AT322" s="129"/>
    </row>
    <row r="323" spans="21:46" s="21" customFormat="1"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121"/>
      <c r="AO323" s="129"/>
      <c r="AP323" s="129"/>
      <c r="AQ323" s="129"/>
      <c r="AR323" s="129"/>
      <c r="AS323" s="129"/>
      <c r="AT323" s="129"/>
    </row>
    <row r="324" spans="21:46" s="21" customFormat="1"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121"/>
      <c r="AO324" s="129"/>
      <c r="AP324" s="129"/>
      <c r="AQ324" s="129"/>
      <c r="AR324" s="129"/>
      <c r="AS324" s="129"/>
      <c r="AT324" s="129"/>
    </row>
    <row r="325" spans="21:46" s="21" customFormat="1"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121"/>
      <c r="AO325" s="129"/>
      <c r="AP325" s="129"/>
      <c r="AQ325" s="129"/>
      <c r="AR325" s="129"/>
      <c r="AS325" s="129"/>
      <c r="AT325" s="129"/>
    </row>
    <row r="326" spans="21:46" s="21" customFormat="1"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121"/>
      <c r="AO326" s="129"/>
      <c r="AP326" s="129"/>
      <c r="AQ326" s="129"/>
      <c r="AR326" s="129"/>
      <c r="AS326" s="129"/>
      <c r="AT326" s="129"/>
    </row>
    <row r="327" spans="21:46" s="21" customFormat="1"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121"/>
      <c r="AO327" s="129"/>
      <c r="AP327" s="129"/>
      <c r="AQ327" s="129"/>
      <c r="AR327" s="129"/>
      <c r="AS327" s="129"/>
      <c r="AT327" s="129"/>
    </row>
    <row r="328" spans="21:46" s="21" customFormat="1"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121"/>
      <c r="AO328" s="129"/>
      <c r="AP328" s="129"/>
      <c r="AQ328" s="129"/>
      <c r="AR328" s="129"/>
      <c r="AS328" s="129"/>
      <c r="AT328" s="129"/>
    </row>
    <row r="329" spans="21:46" s="21" customFormat="1"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121"/>
      <c r="AO329" s="129"/>
      <c r="AP329" s="129"/>
      <c r="AQ329" s="129"/>
      <c r="AR329" s="129"/>
      <c r="AS329" s="129"/>
      <c r="AT329" s="129"/>
    </row>
    <row r="330" spans="21:46" s="21" customFormat="1"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121"/>
      <c r="AO330" s="129"/>
      <c r="AP330" s="129"/>
      <c r="AQ330" s="129"/>
      <c r="AR330" s="129"/>
      <c r="AS330" s="129"/>
      <c r="AT330" s="129"/>
    </row>
    <row r="331" spans="21:46" s="21" customFormat="1"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121"/>
      <c r="AO331" s="129"/>
      <c r="AP331" s="129"/>
      <c r="AQ331" s="129"/>
      <c r="AR331" s="129"/>
      <c r="AS331" s="129"/>
      <c r="AT331" s="129"/>
    </row>
    <row r="332" spans="21:46" s="21" customFormat="1"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121"/>
      <c r="AO332" s="129"/>
      <c r="AP332" s="129"/>
      <c r="AQ332" s="129"/>
      <c r="AR332" s="129"/>
      <c r="AS332" s="129"/>
      <c r="AT332" s="129"/>
    </row>
    <row r="333" spans="21:46" s="21" customFormat="1"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121"/>
      <c r="AO333" s="129"/>
      <c r="AP333" s="129"/>
      <c r="AQ333" s="129"/>
      <c r="AR333" s="129"/>
      <c r="AS333" s="129"/>
      <c r="AT333" s="129"/>
    </row>
    <row r="334" spans="21:46" s="21" customFormat="1"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121"/>
      <c r="AO334" s="129"/>
      <c r="AP334" s="129"/>
      <c r="AQ334" s="129"/>
      <c r="AR334" s="129"/>
      <c r="AS334" s="129"/>
      <c r="AT334" s="129"/>
    </row>
    <row r="335" spans="21:46" s="21" customFormat="1"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121"/>
      <c r="AO335" s="129"/>
      <c r="AP335" s="129"/>
      <c r="AQ335" s="129"/>
      <c r="AR335" s="129"/>
      <c r="AS335" s="129"/>
      <c r="AT335" s="129"/>
    </row>
    <row r="336" spans="21:46" s="21" customFormat="1"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121"/>
      <c r="AO336" s="129"/>
      <c r="AP336" s="129"/>
      <c r="AQ336" s="129"/>
      <c r="AR336" s="129"/>
      <c r="AS336" s="129"/>
      <c r="AT336" s="129"/>
    </row>
    <row r="337" spans="21:46" s="21" customFormat="1"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121"/>
      <c r="AO337" s="129"/>
      <c r="AP337" s="129"/>
      <c r="AQ337" s="129"/>
      <c r="AR337" s="129"/>
      <c r="AS337" s="129"/>
      <c r="AT337" s="129"/>
    </row>
    <row r="338" spans="21:46" s="21" customFormat="1"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121"/>
      <c r="AO338" s="129"/>
      <c r="AP338" s="129"/>
      <c r="AQ338" s="129"/>
      <c r="AR338" s="129"/>
      <c r="AS338" s="129"/>
      <c r="AT338" s="129"/>
    </row>
    <row r="339" spans="21:46" s="21" customFormat="1"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121"/>
      <c r="AO339" s="129"/>
      <c r="AP339" s="129"/>
      <c r="AQ339" s="129"/>
      <c r="AR339" s="129"/>
      <c r="AS339" s="129"/>
      <c r="AT339" s="129"/>
    </row>
    <row r="340" spans="21:46" s="21" customFormat="1"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121"/>
      <c r="AO340" s="129"/>
      <c r="AP340" s="129"/>
      <c r="AQ340" s="129"/>
      <c r="AR340" s="129"/>
      <c r="AS340" s="129"/>
      <c r="AT340" s="129"/>
    </row>
    <row r="341" spans="21:46" s="21" customFormat="1"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121"/>
      <c r="AO341" s="129"/>
      <c r="AP341" s="129"/>
      <c r="AQ341" s="129"/>
      <c r="AR341" s="129"/>
      <c r="AS341" s="129"/>
      <c r="AT341" s="129"/>
    </row>
    <row r="342" spans="21:46" s="21" customFormat="1"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121"/>
      <c r="AO342" s="129"/>
      <c r="AP342" s="129"/>
      <c r="AQ342" s="129"/>
      <c r="AR342" s="129"/>
      <c r="AS342" s="129"/>
      <c r="AT342" s="129"/>
    </row>
    <row r="343" spans="21:46" s="21" customFormat="1"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121"/>
      <c r="AO343" s="129"/>
      <c r="AP343" s="129"/>
      <c r="AQ343" s="129"/>
      <c r="AR343" s="129"/>
      <c r="AS343" s="129"/>
      <c r="AT343" s="129"/>
    </row>
    <row r="344" spans="21:46" s="21" customFormat="1"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121"/>
      <c r="AO344" s="129"/>
      <c r="AP344" s="129"/>
      <c r="AQ344" s="129"/>
      <c r="AR344" s="129"/>
      <c r="AS344" s="129"/>
      <c r="AT344" s="129"/>
    </row>
    <row r="345" spans="21:46" s="21" customFormat="1"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121"/>
      <c r="AO345" s="129"/>
      <c r="AP345" s="129"/>
      <c r="AQ345" s="129"/>
      <c r="AR345" s="129"/>
      <c r="AS345" s="129"/>
      <c r="AT345" s="129"/>
    </row>
    <row r="346" spans="21:46" s="21" customFormat="1"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121"/>
      <c r="AO346" s="129"/>
      <c r="AP346" s="129"/>
      <c r="AQ346" s="129"/>
      <c r="AR346" s="129"/>
      <c r="AS346" s="129"/>
      <c r="AT346" s="129"/>
    </row>
    <row r="347" spans="21:46" s="21" customFormat="1"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121"/>
      <c r="AO347" s="129"/>
      <c r="AP347" s="129"/>
      <c r="AQ347" s="129"/>
      <c r="AR347" s="129"/>
      <c r="AS347" s="129"/>
      <c r="AT347" s="129"/>
    </row>
    <row r="348" spans="21:46" s="21" customFormat="1"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121"/>
      <c r="AO348" s="129"/>
      <c r="AP348" s="129"/>
      <c r="AQ348" s="129"/>
      <c r="AR348" s="129"/>
      <c r="AS348" s="129"/>
      <c r="AT348" s="129"/>
    </row>
    <row r="349" spans="21:46" s="21" customFormat="1"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121"/>
      <c r="AO349" s="129"/>
      <c r="AP349" s="129"/>
      <c r="AQ349" s="129"/>
      <c r="AR349" s="129"/>
      <c r="AS349" s="129"/>
      <c r="AT349" s="129"/>
    </row>
    <row r="350" spans="21:46" s="21" customFormat="1"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121"/>
      <c r="AO350" s="129"/>
      <c r="AP350" s="129"/>
      <c r="AQ350" s="129"/>
      <c r="AR350" s="129"/>
      <c r="AS350" s="129"/>
      <c r="AT350" s="129"/>
    </row>
    <row r="351" spans="21:46" s="21" customFormat="1"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121"/>
      <c r="AO351" s="129"/>
      <c r="AP351" s="129"/>
      <c r="AQ351" s="129"/>
      <c r="AR351" s="129"/>
      <c r="AS351" s="129"/>
      <c r="AT351" s="129"/>
    </row>
    <row r="352" spans="21:46" s="21" customFormat="1"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121"/>
      <c r="AO352" s="129"/>
      <c r="AP352" s="129"/>
      <c r="AQ352" s="129"/>
      <c r="AR352" s="129"/>
      <c r="AS352" s="129"/>
      <c r="AT352" s="129"/>
    </row>
    <row r="353" spans="21:46" s="21" customFormat="1"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121"/>
      <c r="AO353" s="129"/>
      <c r="AP353" s="129"/>
      <c r="AQ353" s="129"/>
      <c r="AR353" s="129"/>
      <c r="AS353" s="129"/>
      <c r="AT353" s="129"/>
    </row>
    <row r="354" spans="21:46" s="21" customFormat="1"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121"/>
      <c r="AO354" s="129"/>
      <c r="AP354" s="129"/>
      <c r="AQ354" s="129"/>
      <c r="AR354" s="129"/>
      <c r="AS354" s="129"/>
      <c r="AT354" s="129"/>
    </row>
    <row r="355" spans="21:46" s="21" customFormat="1"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121"/>
      <c r="AO355" s="129"/>
      <c r="AP355" s="129"/>
      <c r="AQ355" s="129"/>
      <c r="AR355" s="129"/>
      <c r="AS355" s="129"/>
      <c r="AT355" s="129"/>
    </row>
    <row r="356" spans="21:46" s="21" customFormat="1"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121"/>
      <c r="AO356" s="129"/>
      <c r="AP356" s="129"/>
      <c r="AQ356" s="129"/>
      <c r="AR356" s="129"/>
      <c r="AS356" s="129"/>
      <c r="AT356" s="129"/>
    </row>
    <row r="357" spans="21:46" s="21" customFormat="1"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121"/>
      <c r="AO357" s="129"/>
      <c r="AP357" s="129"/>
      <c r="AQ357" s="129"/>
      <c r="AR357" s="129"/>
      <c r="AS357" s="129"/>
      <c r="AT357" s="129"/>
    </row>
    <row r="358" spans="21:46" s="21" customFormat="1"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121"/>
      <c r="AO358" s="129"/>
      <c r="AP358" s="129"/>
      <c r="AQ358" s="129"/>
      <c r="AR358" s="129"/>
      <c r="AS358" s="129"/>
      <c r="AT358" s="129"/>
    </row>
    <row r="359" spans="21:46" s="21" customFormat="1"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121"/>
      <c r="AO359" s="129"/>
      <c r="AP359" s="129"/>
      <c r="AQ359" s="129"/>
      <c r="AR359" s="129"/>
      <c r="AS359" s="129"/>
      <c r="AT359" s="129"/>
    </row>
    <row r="360" spans="21:46" s="21" customFormat="1"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121"/>
      <c r="AO360" s="129"/>
      <c r="AP360" s="129"/>
      <c r="AQ360" s="129"/>
      <c r="AR360" s="129"/>
      <c r="AS360" s="129"/>
      <c r="AT360" s="129"/>
    </row>
    <row r="361" spans="21:46" s="21" customFormat="1"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121"/>
      <c r="AO361" s="129"/>
      <c r="AP361" s="129"/>
      <c r="AQ361" s="129"/>
      <c r="AR361" s="129"/>
      <c r="AS361" s="129"/>
      <c r="AT361" s="129"/>
    </row>
    <row r="362" spans="21:46" s="21" customFormat="1"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121"/>
      <c r="AO362" s="129"/>
      <c r="AP362" s="129"/>
      <c r="AQ362" s="129"/>
      <c r="AR362" s="129"/>
      <c r="AS362" s="129"/>
      <c r="AT362" s="129"/>
    </row>
    <row r="363" spans="21:46" s="21" customFormat="1"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121"/>
      <c r="AO363" s="129"/>
      <c r="AP363" s="129"/>
      <c r="AQ363" s="129"/>
      <c r="AR363" s="129"/>
      <c r="AS363" s="129"/>
      <c r="AT363" s="129"/>
    </row>
    <row r="364" spans="21:46" s="21" customFormat="1"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121"/>
      <c r="AO364" s="129"/>
      <c r="AP364" s="129"/>
      <c r="AQ364" s="129"/>
      <c r="AR364" s="129"/>
      <c r="AS364" s="129"/>
      <c r="AT364" s="129"/>
    </row>
    <row r="365" spans="21:46" s="21" customFormat="1"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121"/>
      <c r="AO365" s="129"/>
      <c r="AP365" s="129"/>
      <c r="AQ365" s="129"/>
      <c r="AR365" s="129"/>
      <c r="AS365" s="129"/>
      <c r="AT365" s="129"/>
    </row>
    <row r="366" spans="21:46" s="21" customFormat="1"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121"/>
      <c r="AO366" s="129"/>
      <c r="AP366" s="129"/>
      <c r="AQ366" s="129"/>
      <c r="AR366" s="129"/>
      <c r="AS366" s="129"/>
      <c r="AT366" s="129"/>
    </row>
    <row r="367" spans="21:46" s="21" customFormat="1"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121"/>
      <c r="AO367" s="129"/>
      <c r="AP367" s="129"/>
      <c r="AQ367" s="129"/>
      <c r="AR367" s="129"/>
      <c r="AS367" s="129"/>
      <c r="AT367" s="129"/>
    </row>
    <row r="368" spans="21:46" s="21" customFormat="1"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121"/>
      <c r="AO368" s="129"/>
      <c r="AP368" s="129"/>
      <c r="AQ368" s="129"/>
      <c r="AR368" s="129"/>
      <c r="AS368" s="129"/>
      <c r="AT368" s="129"/>
    </row>
    <row r="369" spans="21:46" s="21" customFormat="1"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121"/>
      <c r="AO369" s="129"/>
      <c r="AP369" s="129"/>
      <c r="AQ369" s="129"/>
      <c r="AR369" s="129"/>
      <c r="AS369" s="129"/>
      <c r="AT369" s="129"/>
    </row>
    <row r="370" spans="21:46" s="21" customFormat="1"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121"/>
      <c r="AO370" s="129"/>
      <c r="AP370" s="129"/>
      <c r="AQ370" s="129"/>
      <c r="AR370" s="129"/>
      <c r="AS370" s="129"/>
      <c r="AT370" s="129"/>
    </row>
    <row r="371" spans="21:46" s="21" customFormat="1"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121"/>
      <c r="AO371" s="129"/>
      <c r="AP371" s="129"/>
      <c r="AQ371" s="129"/>
      <c r="AR371" s="129"/>
      <c r="AS371" s="129"/>
      <c r="AT371" s="129"/>
    </row>
    <row r="372" spans="21:46" s="21" customFormat="1"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121"/>
      <c r="AO372" s="129"/>
      <c r="AP372" s="129"/>
      <c r="AQ372" s="129"/>
      <c r="AR372" s="129"/>
      <c r="AS372" s="129"/>
      <c r="AT372" s="129"/>
    </row>
    <row r="373" spans="21:46" s="21" customFormat="1"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121"/>
      <c r="AO373" s="129"/>
      <c r="AP373" s="129"/>
      <c r="AQ373" s="129"/>
      <c r="AR373" s="129"/>
      <c r="AS373" s="129"/>
      <c r="AT373" s="129"/>
    </row>
    <row r="374" spans="21:46" s="21" customFormat="1"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121"/>
      <c r="AO374" s="129"/>
      <c r="AP374" s="129"/>
      <c r="AQ374" s="129"/>
      <c r="AR374" s="129"/>
      <c r="AS374" s="129"/>
      <c r="AT374" s="129"/>
    </row>
    <row r="375" spans="21:46" s="21" customFormat="1"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121"/>
      <c r="AO375" s="129"/>
      <c r="AP375" s="129"/>
      <c r="AQ375" s="129"/>
      <c r="AR375" s="129"/>
      <c r="AS375" s="129"/>
      <c r="AT375" s="129"/>
    </row>
    <row r="376" spans="21:46" s="21" customFormat="1"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121"/>
      <c r="AO376" s="129"/>
      <c r="AP376" s="129"/>
      <c r="AQ376" s="129"/>
      <c r="AR376" s="129"/>
      <c r="AS376" s="129"/>
      <c r="AT376" s="129"/>
    </row>
    <row r="377" spans="21:46" s="21" customFormat="1"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121"/>
      <c r="AO377" s="129"/>
      <c r="AP377" s="129"/>
      <c r="AQ377" s="129"/>
      <c r="AR377" s="129"/>
      <c r="AS377" s="129"/>
      <c r="AT377" s="129"/>
    </row>
    <row r="378" spans="21:46" s="21" customFormat="1"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121"/>
      <c r="AO378" s="129"/>
      <c r="AP378" s="129"/>
      <c r="AQ378" s="129"/>
      <c r="AR378" s="129"/>
      <c r="AS378" s="129"/>
      <c r="AT378" s="129"/>
    </row>
    <row r="379" spans="21:46" s="21" customFormat="1"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121"/>
      <c r="AO379" s="129"/>
      <c r="AP379" s="129"/>
      <c r="AQ379" s="129"/>
      <c r="AR379" s="129"/>
      <c r="AS379" s="129"/>
      <c r="AT379" s="129"/>
    </row>
    <row r="380" spans="21:46" s="21" customFormat="1"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121"/>
      <c r="AO380" s="129"/>
      <c r="AP380" s="129"/>
      <c r="AQ380" s="129"/>
      <c r="AR380" s="129"/>
      <c r="AS380" s="129"/>
      <c r="AT380" s="129"/>
    </row>
    <row r="381" spans="21:46" s="21" customFormat="1"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121"/>
      <c r="AO381" s="129"/>
      <c r="AP381" s="129"/>
      <c r="AQ381" s="129"/>
      <c r="AR381" s="129"/>
      <c r="AS381" s="129"/>
      <c r="AT381" s="129"/>
    </row>
    <row r="382" spans="21:46" s="21" customFormat="1"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121"/>
      <c r="AO382" s="129"/>
      <c r="AP382" s="129"/>
      <c r="AQ382" s="129"/>
      <c r="AR382" s="129"/>
      <c r="AS382" s="129"/>
      <c r="AT382" s="129"/>
    </row>
    <row r="383" spans="21:46" s="21" customFormat="1"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121"/>
      <c r="AO383" s="129"/>
      <c r="AP383" s="129"/>
      <c r="AQ383" s="129"/>
      <c r="AR383" s="129"/>
      <c r="AS383" s="129"/>
      <c r="AT383" s="129"/>
    </row>
    <row r="384" spans="21:46" s="21" customFormat="1"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121"/>
      <c r="AO384" s="129"/>
      <c r="AP384" s="129"/>
      <c r="AQ384" s="129"/>
      <c r="AR384" s="129"/>
      <c r="AS384" s="129"/>
      <c r="AT384" s="129"/>
    </row>
    <row r="385" spans="21:46" s="21" customFormat="1"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121"/>
      <c r="AO385" s="129"/>
      <c r="AP385" s="129"/>
      <c r="AQ385" s="129"/>
      <c r="AR385" s="129"/>
      <c r="AS385" s="129"/>
      <c r="AT385" s="129"/>
    </row>
    <row r="386" spans="21:46" s="21" customFormat="1"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121"/>
      <c r="AO386" s="129"/>
      <c r="AP386" s="129"/>
      <c r="AQ386" s="129"/>
      <c r="AR386" s="129"/>
      <c r="AS386" s="129"/>
      <c r="AT386" s="129"/>
    </row>
    <row r="387" spans="21:46" s="21" customFormat="1"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121"/>
      <c r="AO387" s="129"/>
      <c r="AP387" s="129"/>
      <c r="AQ387" s="129"/>
      <c r="AR387" s="129"/>
      <c r="AS387" s="129"/>
      <c r="AT387" s="129"/>
    </row>
    <row r="388" spans="21:46" s="21" customFormat="1"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121"/>
      <c r="AO388" s="129"/>
      <c r="AP388" s="129"/>
      <c r="AQ388" s="129"/>
      <c r="AR388" s="129"/>
      <c r="AS388" s="129"/>
      <c r="AT388" s="129"/>
    </row>
    <row r="389" spans="21:46" s="21" customFormat="1"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121"/>
      <c r="AO389" s="129"/>
      <c r="AP389" s="129"/>
      <c r="AQ389" s="129"/>
      <c r="AR389" s="129"/>
      <c r="AS389" s="129"/>
      <c r="AT389" s="129"/>
    </row>
    <row r="390" spans="21:46" s="21" customFormat="1"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121"/>
      <c r="AO390" s="129"/>
      <c r="AP390" s="129"/>
      <c r="AQ390" s="129"/>
      <c r="AR390" s="129"/>
      <c r="AS390" s="129"/>
      <c r="AT390" s="129"/>
    </row>
    <row r="391" spans="21:46" s="21" customFormat="1"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121"/>
      <c r="AO391" s="129"/>
      <c r="AP391" s="129"/>
      <c r="AQ391" s="129"/>
      <c r="AR391" s="129"/>
      <c r="AS391" s="129"/>
      <c r="AT391" s="129"/>
    </row>
    <row r="392" spans="21:46" s="21" customFormat="1"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121"/>
      <c r="AO392" s="129"/>
      <c r="AP392" s="129"/>
      <c r="AQ392" s="129"/>
      <c r="AR392" s="129"/>
      <c r="AS392" s="129"/>
      <c r="AT392" s="129"/>
    </row>
    <row r="393" spans="21:46" s="21" customFormat="1"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121"/>
      <c r="AO393" s="129"/>
      <c r="AP393" s="129"/>
      <c r="AQ393" s="129"/>
      <c r="AR393" s="129"/>
      <c r="AS393" s="129"/>
      <c r="AT393" s="129"/>
    </row>
    <row r="394" spans="21:46" s="21" customFormat="1"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121"/>
      <c r="AO394" s="129"/>
      <c r="AP394" s="129"/>
      <c r="AQ394" s="129"/>
      <c r="AR394" s="129"/>
      <c r="AS394" s="129"/>
      <c r="AT394" s="129"/>
    </row>
    <row r="395" spans="21:46" s="21" customFormat="1"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121"/>
      <c r="AO395" s="129"/>
      <c r="AP395" s="129"/>
      <c r="AQ395" s="129"/>
      <c r="AR395" s="129"/>
      <c r="AS395" s="129"/>
      <c r="AT395" s="129"/>
    </row>
    <row r="396" spans="21:46" s="21" customFormat="1"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121"/>
      <c r="AO396" s="129"/>
      <c r="AP396" s="129"/>
      <c r="AQ396" s="129"/>
      <c r="AR396" s="129"/>
      <c r="AS396" s="129"/>
      <c r="AT396" s="129"/>
    </row>
    <row r="397" spans="21:46" s="21" customFormat="1"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121"/>
      <c r="AO397" s="129"/>
      <c r="AP397" s="129"/>
      <c r="AQ397" s="129"/>
      <c r="AR397" s="129"/>
      <c r="AS397" s="129"/>
      <c r="AT397" s="129"/>
    </row>
    <row r="398" spans="21:46" s="21" customFormat="1"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121"/>
      <c r="AO398" s="129"/>
      <c r="AP398" s="129"/>
      <c r="AQ398" s="129"/>
      <c r="AR398" s="129"/>
      <c r="AS398" s="129"/>
      <c r="AT398" s="129"/>
    </row>
    <row r="399" spans="21:46" s="21" customFormat="1"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121"/>
      <c r="AO399" s="129"/>
      <c r="AP399" s="129"/>
      <c r="AQ399" s="129"/>
      <c r="AR399" s="129"/>
      <c r="AS399" s="129"/>
      <c r="AT399" s="129"/>
    </row>
    <row r="400" spans="21:46" s="21" customFormat="1"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121"/>
      <c r="AO400" s="129"/>
      <c r="AP400" s="129"/>
      <c r="AQ400" s="129"/>
      <c r="AR400" s="129"/>
      <c r="AS400" s="129"/>
      <c r="AT400" s="129"/>
    </row>
    <row r="401" spans="21:46" s="21" customFormat="1"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121"/>
      <c r="AO401" s="129"/>
      <c r="AP401" s="129"/>
      <c r="AQ401" s="129"/>
      <c r="AR401" s="129"/>
      <c r="AS401" s="129"/>
      <c r="AT401" s="129"/>
    </row>
    <row r="402" spans="21:46" s="21" customFormat="1"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121"/>
      <c r="AO402" s="129"/>
      <c r="AP402" s="129"/>
      <c r="AQ402" s="129"/>
      <c r="AR402" s="129"/>
      <c r="AS402" s="129"/>
      <c r="AT402" s="129"/>
    </row>
    <row r="403" spans="21:46" s="21" customFormat="1"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121"/>
      <c r="AO403" s="129"/>
      <c r="AP403" s="129"/>
      <c r="AQ403" s="129"/>
      <c r="AR403" s="129"/>
      <c r="AS403" s="129"/>
      <c r="AT403" s="129"/>
    </row>
    <row r="404" spans="21:46" s="21" customFormat="1"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121"/>
      <c r="AO404" s="129"/>
      <c r="AP404" s="129"/>
      <c r="AQ404" s="129"/>
      <c r="AR404" s="129"/>
      <c r="AS404" s="129"/>
      <c r="AT404" s="129"/>
    </row>
    <row r="405" spans="21:46" s="21" customFormat="1"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121"/>
      <c r="AO405" s="129"/>
      <c r="AP405" s="129"/>
      <c r="AQ405" s="129"/>
      <c r="AR405" s="129"/>
      <c r="AS405" s="129"/>
      <c r="AT405" s="129"/>
    </row>
    <row r="406" spans="21:46" s="21" customFormat="1"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121"/>
      <c r="AO406" s="129"/>
      <c r="AP406" s="129"/>
      <c r="AQ406" s="129"/>
      <c r="AR406" s="129"/>
      <c r="AS406" s="129"/>
      <c r="AT406" s="129"/>
    </row>
    <row r="407" spans="21:46" s="21" customFormat="1"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121"/>
      <c r="AO407" s="129"/>
      <c r="AP407" s="129"/>
      <c r="AQ407" s="129"/>
      <c r="AR407" s="129"/>
      <c r="AS407" s="129"/>
      <c r="AT407" s="129"/>
    </row>
    <row r="408" spans="21:46" s="21" customFormat="1"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121"/>
      <c r="AO408" s="129"/>
      <c r="AP408" s="129"/>
      <c r="AQ408" s="129"/>
      <c r="AR408" s="129"/>
      <c r="AS408" s="129"/>
      <c r="AT408" s="129"/>
    </row>
    <row r="409" spans="21:46" s="21" customFormat="1"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121"/>
      <c r="AO409" s="129"/>
      <c r="AP409" s="129"/>
      <c r="AQ409" s="129"/>
      <c r="AR409" s="129"/>
      <c r="AS409" s="129"/>
      <c r="AT409" s="129"/>
    </row>
    <row r="410" spans="21:46" s="21" customFormat="1"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121"/>
      <c r="AO410" s="129"/>
      <c r="AP410" s="129"/>
      <c r="AQ410" s="129"/>
      <c r="AR410" s="129"/>
      <c r="AS410" s="129"/>
      <c r="AT410" s="129"/>
    </row>
    <row r="411" spans="21:46" s="21" customFormat="1"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121"/>
      <c r="AO411" s="129"/>
      <c r="AP411" s="129"/>
      <c r="AQ411" s="129"/>
      <c r="AR411" s="129"/>
      <c r="AS411" s="129"/>
      <c r="AT411" s="129"/>
    </row>
    <row r="412" spans="21:46" s="21" customFormat="1"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121"/>
      <c r="AO412" s="129"/>
      <c r="AP412" s="129"/>
      <c r="AQ412" s="129"/>
      <c r="AR412" s="129"/>
      <c r="AS412" s="129"/>
      <c r="AT412" s="129"/>
    </row>
    <row r="413" spans="21:46" s="21" customFormat="1"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121"/>
      <c r="AO413" s="129"/>
      <c r="AP413" s="129"/>
      <c r="AQ413" s="129"/>
      <c r="AR413" s="129"/>
      <c r="AS413" s="129"/>
      <c r="AT413" s="129"/>
    </row>
    <row r="414" spans="21:46" s="21" customFormat="1"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121"/>
      <c r="AO414" s="129"/>
      <c r="AP414" s="129"/>
      <c r="AQ414" s="129"/>
      <c r="AR414" s="129"/>
      <c r="AS414" s="129"/>
      <c r="AT414" s="129"/>
    </row>
    <row r="415" spans="21:46" s="21" customFormat="1"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121"/>
      <c r="AO415" s="129"/>
      <c r="AP415" s="129"/>
      <c r="AQ415" s="129"/>
      <c r="AR415" s="129"/>
      <c r="AS415" s="129"/>
      <c r="AT415" s="129"/>
    </row>
    <row r="416" spans="21:46" s="21" customFormat="1"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121"/>
      <c r="AO416" s="129"/>
      <c r="AP416" s="129"/>
      <c r="AQ416" s="129"/>
      <c r="AR416" s="129"/>
      <c r="AS416" s="129"/>
      <c r="AT416" s="129"/>
    </row>
    <row r="417" spans="21:46" s="21" customFormat="1"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121"/>
      <c r="AO417" s="129"/>
      <c r="AP417" s="129"/>
      <c r="AQ417" s="129"/>
      <c r="AR417" s="129"/>
      <c r="AS417" s="129"/>
      <c r="AT417" s="129"/>
    </row>
    <row r="418" spans="21:46" s="21" customFormat="1"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121"/>
      <c r="AO418" s="129"/>
      <c r="AP418" s="129"/>
      <c r="AQ418" s="129"/>
      <c r="AR418" s="129"/>
      <c r="AS418" s="129"/>
      <c r="AT418" s="129"/>
    </row>
    <row r="419" spans="21:46" s="21" customFormat="1"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121"/>
      <c r="AO419" s="129"/>
      <c r="AP419" s="129"/>
      <c r="AQ419" s="129"/>
      <c r="AR419" s="129"/>
      <c r="AS419" s="129"/>
      <c r="AT419" s="129"/>
    </row>
    <row r="420" spans="21:46" s="21" customFormat="1"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121"/>
      <c r="AO420" s="129"/>
      <c r="AP420" s="129"/>
      <c r="AQ420" s="129"/>
      <c r="AR420" s="129"/>
      <c r="AS420" s="129"/>
      <c r="AT420" s="129"/>
    </row>
    <row r="421" spans="21:46" s="21" customFormat="1"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121"/>
      <c r="AO421" s="129"/>
      <c r="AP421" s="129"/>
      <c r="AQ421" s="129"/>
      <c r="AR421" s="129"/>
      <c r="AS421" s="129"/>
      <c r="AT421" s="129"/>
    </row>
    <row r="422" spans="21:46" s="21" customFormat="1"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121"/>
      <c r="AO422" s="129"/>
      <c r="AP422" s="129"/>
      <c r="AQ422" s="129"/>
      <c r="AR422" s="129"/>
      <c r="AS422" s="129"/>
      <c r="AT422" s="129"/>
    </row>
    <row r="423" spans="21:46" s="21" customFormat="1"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121"/>
      <c r="AO423" s="129"/>
      <c r="AP423" s="129"/>
      <c r="AQ423" s="129"/>
      <c r="AR423" s="129"/>
      <c r="AS423" s="129"/>
      <c r="AT423" s="129"/>
    </row>
    <row r="424" spans="21:46" s="21" customFormat="1"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121"/>
      <c r="AO424" s="129"/>
      <c r="AP424" s="129"/>
      <c r="AQ424" s="129"/>
      <c r="AR424" s="129"/>
      <c r="AS424" s="129"/>
      <c r="AT424" s="129"/>
    </row>
    <row r="425" spans="21:46" s="21" customFormat="1"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121"/>
      <c r="AO425" s="129"/>
      <c r="AP425" s="129"/>
      <c r="AQ425" s="129"/>
      <c r="AR425" s="129"/>
      <c r="AS425" s="129"/>
      <c r="AT425" s="129"/>
    </row>
    <row r="426" spans="21:46" s="21" customFormat="1"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121"/>
      <c r="AO426" s="129"/>
      <c r="AP426" s="129"/>
      <c r="AQ426" s="129"/>
      <c r="AR426" s="129"/>
      <c r="AS426" s="129"/>
      <c r="AT426" s="129"/>
    </row>
    <row r="427" spans="21:46" s="21" customFormat="1"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121"/>
      <c r="AO427" s="129"/>
      <c r="AP427" s="129"/>
      <c r="AQ427" s="129"/>
      <c r="AR427" s="129"/>
      <c r="AS427" s="129"/>
      <c r="AT427" s="129"/>
    </row>
    <row r="428" spans="21:46" s="21" customFormat="1"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121"/>
      <c r="AO428" s="129"/>
      <c r="AP428" s="129"/>
      <c r="AQ428" s="129"/>
      <c r="AR428" s="129"/>
      <c r="AS428" s="129"/>
      <c r="AT428" s="129"/>
    </row>
    <row r="429" spans="21:46" s="21" customFormat="1"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121"/>
      <c r="AO429" s="129"/>
      <c r="AP429" s="129"/>
      <c r="AQ429" s="129"/>
      <c r="AR429" s="129"/>
      <c r="AS429" s="129"/>
      <c r="AT429" s="129"/>
    </row>
    <row r="430" spans="21:46" s="21" customFormat="1"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121"/>
      <c r="AO430" s="129"/>
      <c r="AP430" s="129"/>
      <c r="AQ430" s="129"/>
      <c r="AR430" s="129"/>
      <c r="AS430" s="129"/>
      <c r="AT430" s="129"/>
    </row>
    <row r="431" spans="21:46" s="21" customFormat="1"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121"/>
      <c r="AO431" s="129"/>
      <c r="AP431" s="129"/>
      <c r="AQ431" s="129"/>
      <c r="AR431" s="129"/>
      <c r="AS431" s="129"/>
      <c r="AT431" s="129"/>
    </row>
    <row r="432" spans="21:46" s="21" customFormat="1"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121"/>
      <c r="AO432" s="129"/>
      <c r="AP432" s="129"/>
      <c r="AQ432" s="129"/>
      <c r="AR432" s="129"/>
      <c r="AS432" s="129"/>
      <c r="AT432" s="129"/>
    </row>
    <row r="433" spans="21:46" s="21" customFormat="1"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121"/>
      <c r="AO433" s="129"/>
      <c r="AP433" s="129"/>
      <c r="AQ433" s="129"/>
      <c r="AR433" s="129"/>
      <c r="AS433" s="129"/>
      <c r="AT433" s="129"/>
    </row>
    <row r="434" spans="21:46" s="21" customFormat="1"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121"/>
      <c r="AO434" s="129"/>
      <c r="AP434" s="129"/>
      <c r="AQ434" s="129"/>
      <c r="AR434" s="129"/>
      <c r="AS434" s="129"/>
      <c r="AT434" s="129"/>
    </row>
    <row r="435" spans="21:46" s="21" customFormat="1"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121"/>
      <c r="AO435" s="129"/>
      <c r="AP435" s="129"/>
      <c r="AQ435" s="129"/>
      <c r="AR435" s="129"/>
      <c r="AS435" s="129"/>
      <c r="AT435" s="129"/>
    </row>
    <row r="436" spans="21:46" s="21" customFormat="1"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121"/>
      <c r="AO436" s="129"/>
      <c r="AP436" s="129"/>
      <c r="AQ436" s="129"/>
      <c r="AR436" s="129"/>
      <c r="AS436" s="129"/>
      <c r="AT436" s="129"/>
    </row>
    <row r="437" spans="21:46" s="21" customFormat="1"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121"/>
      <c r="AO437" s="129"/>
      <c r="AP437" s="129"/>
      <c r="AQ437" s="129"/>
      <c r="AR437" s="129"/>
      <c r="AS437" s="129"/>
      <c r="AT437" s="129"/>
    </row>
    <row r="438" spans="21:46" s="21" customFormat="1"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121"/>
      <c r="AO438" s="129"/>
      <c r="AP438" s="129"/>
      <c r="AQ438" s="129"/>
      <c r="AR438" s="129"/>
      <c r="AS438" s="129"/>
      <c r="AT438" s="129"/>
    </row>
    <row r="439" spans="21:46" s="21" customFormat="1"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121"/>
      <c r="AO439" s="129"/>
      <c r="AP439" s="129"/>
      <c r="AQ439" s="129"/>
      <c r="AR439" s="129"/>
      <c r="AS439" s="129"/>
      <c r="AT439" s="129"/>
    </row>
    <row r="440" spans="21:46" s="21" customFormat="1"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121"/>
      <c r="AO440" s="129"/>
      <c r="AP440" s="129"/>
      <c r="AQ440" s="129"/>
      <c r="AR440" s="129"/>
      <c r="AS440" s="129"/>
      <c r="AT440" s="129"/>
    </row>
    <row r="441" spans="21:46" s="21" customFormat="1"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121"/>
      <c r="AO441" s="129"/>
      <c r="AP441" s="129"/>
      <c r="AQ441" s="129"/>
      <c r="AR441" s="129"/>
      <c r="AS441" s="129"/>
      <c r="AT441" s="129"/>
    </row>
    <row r="442" spans="21:46" s="21" customFormat="1"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121"/>
      <c r="AO442" s="129"/>
      <c r="AP442" s="129"/>
      <c r="AQ442" s="129"/>
      <c r="AR442" s="129"/>
      <c r="AS442" s="129"/>
      <c r="AT442" s="129"/>
    </row>
    <row r="443" spans="21:46" s="21" customFormat="1"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121"/>
      <c r="AO443" s="129"/>
      <c r="AP443" s="129"/>
      <c r="AQ443" s="129"/>
      <c r="AR443" s="129"/>
      <c r="AS443" s="129"/>
      <c r="AT443" s="129"/>
    </row>
    <row r="444" spans="21:46" s="21" customFormat="1"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121"/>
      <c r="AO444" s="129"/>
      <c r="AP444" s="129"/>
      <c r="AQ444" s="129"/>
      <c r="AR444" s="129"/>
      <c r="AS444" s="129"/>
      <c r="AT444" s="129"/>
    </row>
    <row r="445" spans="21:46" s="21" customFormat="1"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121"/>
      <c r="AO445" s="129"/>
      <c r="AP445" s="129"/>
      <c r="AQ445" s="129"/>
      <c r="AR445" s="129"/>
      <c r="AS445" s="129"/>
      <c r="AT445" s="129"/>
    </row>
    <row r="446" spans="21:46" s="21" customFormat="1"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121"/>
      <c r="AO446" s="129"/>
      <c r="AP446" s="129"/>
      <c r="AQ446" s="129"/>
      <c r="AR446" s="129"/>
      <c r="AS446" s="129"/>
      <c r="AT446" s="129"/>
    </row>
    <row r="447" spans="21:46" s="21" customFormat="1"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121"/>
      <c r="AO447" s="129"/>
      <c r="AP447" s="129"/>
      <c r="AQ447" s="129"/>
      <c r="AR447" s="129"/>
      <c r="AS447" s="129"/>
      <c r="AT447" s="129"/>
    </row>
    <row r="448" spans="21:46" s="21" customFormat="1"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121"/>
      <c r="AO448" s="129"/>
      <c r="AP448" s="129"/>
      <c r="AQ448" s="129"/>
      <c r="AR448" s="129"/>
      <c r="AS448" s="129"/>
      <c r="AT448" s="129"/>
    </row>
    <row r="449" spans="21:46" s="21" customFormat="1"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121"/>
      <c r="AO449" s="129"/>
      <c r="AP449" s="129"/>
      <c r="AQ449" s="129"/>
      <c r="AR449" s="129"/>
      <c r="AS449" s="129"/>
      <c r="AT449" s="129"/>
    </row>
    <row r="450" spans="21:46" s="21" customFormat="1"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121"/>
      <c r="AO450" s="129"/>
      <c r="AP450" s="129"/>
      <c r="AQ450" s="129"/>
      <c r="AR450" s="129"/>
      <c r="AS450" s="129"/>
      <c r="AT450" s="129"/>
    </row>
    <row r="451" spans="21:46" s="21" customFormat="1"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121"/>
      <c r="AO451" s="129"/>
      <c r="AP451" s="129"/>
      <c r="AQ451" s="129"/>
      <c r="AR451" s="129"/>
      <c r="AS451" s="129"/>
      <c r="AT451" s="129"/>
    </row>
    <row r="452" spans="21:46" s="21" customFormat="1"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121"/>
      <c r="AO452" s="129"/>
      <c r="AP452" s="129"/>
      <c r="AQ452" s="129"/>
      <c r="AR452" s="129"/>
      <c r="AS452" s="129"/>
      <c r="AT452" s="129"/>
    </row>
    <row r="453" spans="21:46" s="21" customFormat="1"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121"/>
      <c r="AO453" s="129"/>
      <c r="AP453" s="129"/>
      <c r="AQ453" s="129"/>
      <c r="AR453" s="129"/>
      <c r="AS453" s="129"/>
      <c r="AT453" s="129"/>
    </row>
    <row r="454" spans="21:46" s="21" customFormat="1"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121"/>
      <c r="AO454" s="129"/>
      <c r="AP454" s="129"/>
      <c r="AQ454" s="129"/>
      <c r="AR454" s="129"/>
      <c r="AS454" s="129"/>
      <c r="AT454" s="129"/>
    </row>
    <row r="455" spans="21:46" s="21" customFormat="1"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121"/>
      <c r="AO455" s="129"/>
      <c r="AP455" s="129"/>
      <c r="AQ455" s="129"/>
      <c r="AR455" s="129"/>
      <c r="AS455" s="129"/>
      <c r="AT455" s="129"/>
    </row>
    <row r="456" spans="21:46" s="21" customFormat="1"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121"/>
      <c r="AO456" s="129"/>
      <c r="AP456" s="129"/>
      <c r="AQ456" s="129"/>
      <c r="AR456" s="129"/>
      <c r="AS456" s="129"/>
      <c r="AT456" s="129"/>
    </row>
    <row r="457" spans="21:46" s="21" customFormat="1"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121"/>
      <c r="AO457" s="129"/>
      <c r="AP457" s="129"/>
      <c r="AQ457" s="129"/>
      <c r="AR457" s="129"/>
      <c r="AS457" s="129"/>
      <c r="AT457" s="129"/>
    </row>
    <row r="458" spans="21:46" s="21" customFormat="1"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121"/>
      <c r="AO458" s="129"/>
      <c r="AP458" s="129"/>
      <c r="AQ458" s="129"/>
      <c r="AR458" s="129"/>
      <c r="AS458" s="129"/>
      <c r="AT458" s="129"/>
    </row>
    <row r="459" spans="21:46" s="21" customFormat="1"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121"/>
      <c r="AO459" s="129"/>
      <c r="AP459" s="129"/>
      <c r="AQ459" s="129"/>
      <c r="AR459" s="129"/>
      <c r="AS459" s="129"/>
      <c r="AT459" s="129"/>
    </row>
    <row r="460" spans="21:46" s="21" customFormat="1"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121"/>
      <c r="AO460" s="129"/>
      <c r="AP460" s="129"/>
      <c r="AQ460" s="129"/>
      <c r="AR460" s="129"/>
      <c r="AS460" s="129"/>
      <c r="AT460" s="129"/>
    </row>
    <row r="461" spans="21:46" s="21" customFormat="1"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121"/>
      <c r="AO461" s="129"/>
      <c r="AP461" s="129"/>
      <c r="AQ461" s="129"/>
      <c r="AR461" s="129"/>
      <c r="AS461" s="129"/>
      <c r="AT461" s="129"/>
    </row>
    <row r="462" spans="21:46" s="21" customFormat="1"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121"/>
      <c r="AO462" s="129"/>
      <c r="AP462" s="129"/>
      <c r="AQ462" s="129"/>
      <c r="AR462" s="129"/>
      <c r="AS462" s="129"/>
      <c r="AT462" s="129"/>
    </row>
    <row r="463" spans="21:46" s="21" customFormat="1"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121"/>
      <c r="AO463" s="129"/>
      <c r="AP463" s="129"/>
      <c r="AQ463" s="129"/>
      <c r="AR463" s="129"/>
      <c r="AS463" s="129"/>
      <c r="AT463" s="129"/>
    </row>
    <row r="464" spans="21:46" s="21" customFormat="1"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121"/>
      <c r="AO464" s="129"/>
      <c r="AP464" s="129"/>
      <c r="AQ464" s="129"/>
      <c r="AR464" s="129"/>
      <c r="AS464" s="129"/>
      <c r="AT464" s="129"/>
    </row>
    <row r="465" spans="21:46" s="21" customFormat="1"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121"/>
      <c r="AO465" s="129"/>
      <c r="AP465" s="129"/>
      <c r="AQ465" s="129"/>
      <c r="AR465" s="129"/>
      <c r="AS465" s="129"/>
      <c r="AT465" s="129"/>
    </row>
    <row r="466" spans="21:46" s="21" customFormat="1"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121"/>
      <c r="AO466" s="129"/>
      <c r="AP466" s="129"/>
      <c r="AQ466" s="129"/>
      <c r="AR466" s="129"/>
      <c r="AS466" s="129"/>
      <c r="AT466" s="129"/>
    </row>
    <row r="467" spans="21:46" s="21" customFormat="1"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121"/>
      <c r="AO467" s="129"/>
      <c r="AP467" s="129"/>
      <c r="AQ467" s="129"/>
      <c r="AR467" s="129"/>
      <c r="AS467" s="129"/>
      <c r="AT467" s="129"/>
    </row>
    <row r="468" spans="21:46" s="21" customFormat="1"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121"/>
      <c r="AO468" s="129"/>
      <c r="AP468" s="129"/>
      <c r="AQ468" s="129"/>
      <c r="AR468" s="129"/>
      <c r="AS468" s="129"/>
      <c r="AT468" s="129"/>
    </row>
    <row r="469" spans="21:46" s="21" customFormat="1"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121"/>
      <c r="AO469" s="129"/>
      <c r="AP469" s="129"/>
      <c r="AQ469" s="129"/>
      <c r="AR469" s="129"/>
      <c r="AS469" s="129"/>
      <c r="AT469" s="129"/>
    </row>
    <row r="470" spans="21:46" s="21" customFormat="1"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121"/>
      <c r="AO470" s="129"/>
      <c r="AP470" s="129"/>
      <c r="AQ470" s="129"/>
      <c r="AR470" s="129"/>
      <c r="AS470" s="129"/>
      <c r="AT470" s="129"/>
    </row>
    <row r="471" spans="21:46" s="21" customFormat="1"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121"/>
      <c r="AO471" s="129"/>
      <c r="AP471" s="129"/>
      <c r="AQ471" s="129"/>
      <c r="AR471" s="129"/>
      <c r="AS471" s="129"/>
      <c r="AT471" s="129"/>
    </row>
    <row r="472" spans="21:46" s="21" customFormat="1"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121"/>
      <c r="AO472" s="129"/>
      <c r="AP472" s="129"/>
      <c r="AQ472" s="129"/>
      <c r="AR472" s="129"/>
      <c r="AS472" s="129"/>
      <c r="AT472" s="129"/>
    </row>
    <row r="473" spans="21:46" s="21" customFormat="1"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121"/>
      <c r="AO473" s="129"/>
      <c r="AP473" s="129"/>
      <c r="AQ473" s="129"/>
      <c r="AR473" s="129"/>
      <c r="AS473" s="129"/>
      <c r="AT473" s="129"/>
    </row>
    <row r="474" spans="21:46" s="21" customFormat="1"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121"/>
      <c r="AO474" s="129"/>
      <c r="AP474" s="129"/>
      <c r="AQ474" s="129"/>
      <c r="AR474" s="129"/>
      <c r="AS474" s="129"/>
      <c r="AT474" s="129"/>
    </row>
    <row r="475" spans="21:46" s="21" customFormat="1"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121"/>
      <c r="AO475" s="129"/>
      <c r="AP475" s="129"/>
      <c r="AQ475" s="129"/>
      <c r="AR475" s="129"/>
      <c r="AS475" s="129"/>
      <c r="AT475" s="129"/>
    </row>
    <row r="476" spans="21:46" s="21" customFormat="1"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121"/>
      <c r="AO476" s="129"/>
      <c r="AP476" s="129"/>
      <c r="AQ476" s="129"/>
      <c r="AR476" s="129"/>
      <c r="AS476" s="129"/>
      <c r="AT476" s="129"/>
    </row>
    <row r="477" spans="21:46" s="21" customFormat="1"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121"/>
      <c r="AO477" s="129"/>
      <c r="AP477" s="129"/>
      <c r="AQ477" s="129"/>
      <c r="AR477" s="129"/>
      <c r="AS477" s="129"/>
      <c r="AT477" s="129"/>
    </row>
    <row r="478" spans="21:46" s="21" customFormat="1"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121"/>
      <c r="AO478" s="129"/>
      <c r="AP478" s="129"/>
      <c r="AQ478" s="129"/>
      <c r="AR478" s="129"/>
      <c r="AS478" s="129"/>
      <c r="AT478" s="129"/>
    </row>
    <row r="479" spans="21:46" s="21" customFormat="1"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121"/>
      <c r="AO479" s="129"/>
      <c r="AP479" s="129"/>
      <c r="AQ479" s="129"/>
      <c r="AR479" s="129"/>
      <c r="AS479" s="129"/>
      <c r="AT479" s="129"/>
    </row>
    <row r="480" spans="21:46" s="21" customFormat="1"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121"/>
      <c r="AO480" s="129"/>
      <c r="AP480" s="129"/>
      <c r="AQ480" s="129"/>
      <c r="AR480" s="129"/>
      <c r="AS480" s="129"/>
      <c r="AT480" s="129"/>
    </row>
    <row r="481" spans="21:46" s="21" customFormat="1"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121"/>
      <c r="AO481" s="129"/>
      <c r="AP481" s="129"/>
      <c r="AQ481" s="129"/>
      <c r="AR481" s="129"/>
      <c r="AS481" s="129"/>
      <c r="AT481" s="129"/>
    </row>
    <row r="482" spans="21:46" s="21" customFormat="1"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121"/>
      <c r="AO482" s="129"/>
      <c r="AP482" s="129"/>
      <c r="AQ482" s="129"/>
      <c r="AR482" s="129"/>
      <c r="AS482" s="129"/>
      <c r="AT482" s="129"/>
    </row>
    <row r="483" spans="21:46" s="21" customFormat="1"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121"/>
      <c r="AO483" s="129"/>
      <c r="AP483" s="129"/>
      <c r="AQ483" s="129"/>
      <c r="AR483" s="129"/>
      <c r="AS483" s="129"/>
      <c r="AT483" s="129"/>
    </row>
    <row r="484" spans="21:46" s="21" customFormat="1"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121"/>
      <c r="AO484" s="129"/>
      <c r="AP484" s="129"/>
      <c r="AQ484" s="129"/>
      <c r="AR484" s="129"/>
      <c r="AS484" s="129"/>
      <c r="AT484" s="129"/>
    </row>
    <row r="485" spans="21:46" s="21" customFormat="1"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121"/>
      <c r="AO485" s="129"/>
      <c r="AP485" s="129"/>
      <c r="AQ485" s="129"/>
      <c r="AR485" s="129"/>
      <c r="AS485" s="129"/>
      <c r="AT485" s="129"/>
    </row>
    <row r="486" spans="21:46" s="21" customFormat="1"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121"/>
      <c r="AO486" s="129"/>
      <c r="AP486" s="129"/>
      <c r="AQ486" s="129"/>
      <c r="AR486" s="129"/>
      <c r="AS486" s="129"/>
      <c r="AT486" s="129"/>
    </row>
    <row r="487" spans="21:46" s="21" customFormat="1"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121"/>
      <c r="AO487" s="129"/>
      <c r="AP487" s="129"/>
      <c r="AQ487" s="129"/>
      <c r="AR487" s="129"/>
      <c r="AS487" s="129"/>
      <c r="AT487" s="129"/>
    </row>
    <row r="488" spans="21:46" s="21" customFormat="1"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121"/>
      <c r="AO488" s="129"/>
      <c r="AP488" s="129"/>
      <c r="AQ488" s="129"/>
      <c r="AR488" s="129"/>
      <c r="AS488" s="129"/>
      <c r="AT488" s="129"/>
    </row>
    <row r="489" spans="21:46" s="21" customFormat="1"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121"/>
      <c r="AO489" s="129"/>
      <c r="AP489" s="129"/>
      <c r="AQ489" s="129"/>
      <c r="AR489" s="129"/>
      <c r="AS489" s="129"/>
      <c r="AT489" s="129"/>
    </row>
    <row r="490" spans="21:46" s="21" customFormat="1"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121"/>
      <c r="AO490" s="129"/>
      <c r="AP490" s="129"/>
      <c r="AQ490" s="129"/>
      <c r="AR490" s="129"/>
      <c r="AS490" s="129"/>
      <c r="AT490" s="129"/>
    </row>
    <row r="491" spans="21:46" s="21" customFormat="1"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121"/>
      <c r="AO491" s="129"/>
      <c r="AP491" s="129"/>
      <c r="AQ491" s="129"/>
      <c r="AR491" s="129"/>
      <c r="AS491" s="129"/>
      <c r="AT491" s="129"/>
    </row>
    <row r="492" spans="21:46" s="21" customFormat="1"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121"/>
      <c r="AO492" s="129"/>
      <c r="AP492" s="129"/>
      <c r="AQ492" s="129"/>
      <c r="AR492" s="129"/>
      <c r="AS492" s="129"/>
      <c r="AT492" s="129"/>
    </row>
    <row r="493" spans="21:46" s="21" customFormat="1"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121"/>
      <c r="AO493" s="129"/>
      <c r="AP493" s="129"/>
      <c r="AQ493" s="129"/>
      <c r="AR493" s="129"/>
      <c r="AS493" s="129"/>
      <c r="AT493" s="129"/>
    </row>
    <row r="494" spans="21:46" s="21" customFormat="1"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121"/>
      <c r="AO494" s="129"/>
      <c r="AP494" s="129"/>
      <c r="AQ494" s="129"/>
      <c r="AR494" s="129"/>
      <c r="AS494" s="129"/>
      <c r="AT494" s="129"/>
    </row>
    <row r="495" spans="21:46" s="21" customFormat="1"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121"/>
      <c r="AO495" s="129"/>
      <c r="AP495" s="129"/>
      <c r="AQ495" s="129"/>
      <c r="AR495" s="129"/>
      <c r="AS495" s="129"/>
      <c r="AT495" s="129"/>
    </row>
    <row r="496" spans="21:46" s="21" customFormat="1"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121"/>
      <c r="AO496" s="129"/>
      <c r="AP496" s="129"/>
      <c r="AQ496" s="129"/>
      <c r="AR496" s="129"/>
      <c r="AS496" s="129"/>
      <c r="AT496" s="129"/>
    </row>
    <row r="497" spans="21:46" s="21" customFormat="1"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121"/>
      <c r="AO497" s="129"/>
      <c r="AP497" s="129"/>
      <c r="AQ497" s="129"/>
      <c r="AR497" s="129"/>
      <c r="AS497" s="129"/>
      <c r="AT497" s="129"/>
    </row>
    <row r="498" spans="21:46" s="21" customFormat="1"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121"/>
      <c r="AO498" s="129"/>
      <c r="AP498" s="129"/>
      <c r="AQ498" s="129"/>
      <c r="AR498" s="129"/>
      <c r="AS498" s="129"/>
      <c r="AT498" s="129"/>
    </row>
    <row r="499" spans="21:46" s="21" customFormat="1"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121"/>
      <c r="AO499" s="129"/>
      <c r="AP499" s="129"/>
      <c r="AQ499" s="129"/>
      <c r="AR499" s="129"/>
      <c r="AS499" s="129"/>
      <c r="AT499" s="129"/>
    </row>
    <row r="500" spans="21:46" s="21" customFormat="1"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121"/>
      <c r="AO500" s="129"/>
      <c r="AP500" s="129"/>
      <c r="AQ500" s="129"/>
      <c r="AR500" s="129"/>
      <c r="AS500" s="129"/>
      <c r="AT500" s="129"/>
    </row>
    <row r="501" spans="21:46" s="21" customFormat="1"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121"/>
      <c r="AO501" s="129"/>
      <c r="AP501" s="129"/>
      <c r="AQ501" s="129"/>
      <c r="AR501" s="129"/>
      <c r="AS501" s="129"/>
      <c r="AT501" s="129"/>
    </row>
    <row r="502" spans="21:46" s="21" customFormat="1"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121"/>
      <c r="AO502" s="129"/>
      <c r="AP502" s="129"/>
      <c r="AQ502" s="129"/>
      <c r="AR502" s="129"/>
      <c r="AS502" s="129"/>
      <c r="AT502" s="129"/>
    </row>
    <row r="503" spans="21:46" s="21" customFormat="1"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121"/>
      <c r="AO503" s="129"/>
      <c r="AP503" s="129"/>
      <c r="AQ503" s="129"/>
      <c r="AR503" s="129"/>
      <c r="AS503" s="129"/>
      <c r="AT503" s="129"/>
    </row>
    <row r="504" spans="21:46" s="21" customFormat="1"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121"/>
      <c r="AO504" s="129"/>
      <c r="AP504" s="129"/>
      <c r="AQ504" s="129"/>
      <c r="AR504" s="129"/>
      <c r="AS504" s="129"/>
      <c r="AT504" s="129"/>
    </row>
    <row r="505" spans="21:46" s="21" customFormat="1"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121"/>
      <c r="AO505" s="129"/>
      <c r="AP505" s="129"/>
      <c r="AQ505" s="129"/>
      <c r="AR505" s="129"/>
      <c r="AS505" s="129"/>
      <c r="AT505" s="129"/>
    </row>
    <row r="506" spans="21:46" s="21" customFormat="1"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121"/>
      <c r="AO506" s="129"/>
      <c r="AP506" s="129"/>
      <c r="AQ506" s="129"/>
      <c r="AR506" s="129"/>
      <c r="AS506" s="129"/>
      <c r="AT506" s="129"/>
    </row>
    <row r="507" spans="21:46" s="21" customFormat="1"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121"/>
      <c r="AO507" s="129"/>
      <c r="AP507" s="129"/>
      <c r="AQ507" s="129"/>
      <c r="AR507" s="129"/>
      <c r="AS507" s="129"/>
      <c r="AT507" s="129"/>
    </row>
    <row r="508" spans="21:46" s="21" customFormat="1"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121"/>
      <c r="AO508" s="129"/>
      <c r="AP508" s="129"/>
      <c r="AQ508" s="129"/>
      <c r="AR508" s="129"/>
      <c r="AS508" s="129"/>
      <c r="AT508" s="129"/>
    </row>
    <row r="509" spans="21:46" s="21" customFormat="1"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121"/>
      <c r="AO509" s="129"/>
      <c r="AP509" s="129"/>
      <c r="AQ509" s="129"/>
      <c r="AR509" s="129"/>
      <c r="AS509" s="129"/>
      <c r="AT509" s="129"/>
    </row>
    <row r="510" spans="21:46" s="21" customFormat="1"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121"/>
      <c r="AO510" s="129"/>
      <c r="AP510" s="129"/>
      <c r="AQ510" s="129"/>
      <c r="AR510" s="129"/>
      <c r="AS510" s="129"/>
      <c r="AT510" s="129"/>
    </row>
    <row r="511" spans="21:46" s="21" customFormat="1"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121"/>
      <c r="AO511" s="129"/>
      <c r="AP511" s="129"/>
      <c r="AQ511" s="129"/>
      <c r="AR511" s="129"/>
      <c r="AS511" s="129"/>
      <c r="AT511" s="129"/>
    </row>
    <row r="512" spans="21:46" s="21" customFormat="1"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121"/>
      <c r="AO512" s="129"/>
      <c r="AP512" s="129"/>
      <c r="AQ512" s="129"/>
      <c r="AR512" s="129"/>
      <c r="AS512" s="129"/>
      <c r="AT512" s="129"/>
    </row>
    <row r="513" spans="21:46" s="21" customFormat="1"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121"/>
      <c r="AO513" s="129"/>
      <c r="AP513" s="129"/>
      <c r="AQ513" s="129"/>
      <c r="AR513" s="129"/>
      <c r="AS513" s="129"/>
      <c r="AT513" s="129"/>
    </row>
    <row r="514" spans="21:46" s="21" customFormat="1"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121"/>
      <c r="AO514" s="129"/>
      <c r="AP514" s="129"/>
      <c r="AQ514" s="129"/>
      <c r="AR514" s="129"/>
      <c r="AS514" s="129"/>
      <c r="AT514" s="129"/>
    </row>
    <row r="515" spans="21:46" s="21" customFormat="1"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121"/>
      <c r="AO515" s="129"/>
      <c r="AP515" s="129"/>
      <c r="AQ515" s="129"/>
      <c r="AR515" s="129"/>
      <c r="AS515" s="129"/>
      <c r="AT515" s="129"/>
    </row>
    <row r="516" spans="21:46" s="21" customFormat="1"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121"/>
      <c r="AO516" s="129"/>
      <c r="AP516" s="129"/>
      <c r="AQ516" s="129"/>
      <c r="AR516" s="129"/>
      <c r="AS516" s="129"/>
      <c r="AT516" s="129"/>
    </row>
    <row r="517" spans="21:46" s="21" customFormat="1"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121"/>
      <c r="AO517" s="129"/>
      <c r="AP517" s="129"/>
      <c r="AQ517" s="129"/>
      <c r="AR517" s="129"/>
      <c r="AS517" s="129"/>
      <c r="AT517" s="129"/>
    </row>
    <row r="518" spans="21:46" s="21" customFormat="1"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121"/>
      <c r="AO518" s="129"/>
      <c r="AP518" s="129"/>
      <c r="AQ518" s="129"/>
      <c r="AR518" s="129"/>
      <c r="AS518" s="129"/>
      <c r="AT518" s="129"/>
    </row>
    <row r="519" spans="21:46" s="21" customFormat="1"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121"/>
      <c r="AO519" s="129"/>
      <c r="AP519" s="129"/>
      <c r="AQ519" s="129"/>
      <c r="AR519" s="129"/>
      <c r="AS519" s="129"/>
      <c r="AT519" s="129"/>
    </row>
    <row r="520" spans="21:46" s="21" customFormat="1"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121"/>
      <c r="AO520" s="129"/>
      <c r="AP520" s="129"/>
      <c r="AQ520" s="129"/>
      <c r="AR520" s="129"/>
      <c r="AS520" s="129"/>
      <c r="AT520" s="129"/>
    </row>
    <row r="521" spans="21:46" s="21" customFormat="1"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121"/>
      <c r="AO521" s="129"/>
      <c r="AP521" s="129"/>
      <c r="AQ521" s="129"/>
      <c r="AR521" s="129"/>
      <c r="AS521" s="129"/>
      <c r="AT521" s="129"/>
    </row>
    <row r="522" spans="21:46" s="21" customFormat="1"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121"/>
      <c r="AO522" s="129"/>
      <c r="AP522" s="129"/>
      <c r="AQ522" s="129"/>
      <c r="AR522" s="129"/>
      <c r="AS522" s="129"/>
      <c r="AT522" s="129"/>
    </row>
    <row r="523" spans="21:46" s="21" customFormat="1"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121"/>
      <c r="AO523" s="129"/>
      <c r="AP523" s="129"/>
      <c r="AQ523" s="129"/>
      <c r="AR523" s="129"/>
      <c r="AS523" s="129"/>
      <c r="AT523" s="129"/>
    </row>
    <row r="524" spans="21:46" s="21" customFormat="1"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121"/>
      <c r="AO524" s="129"/>
      <c r="AP524" s="129"/>
      <c r="AQ524" s="129"/>
      <c r="AR524" s="129"/>
      <c r="AS524" s="129"/>
      <c r="AT524" s="129"/>
    </row>
    <row r="525" spans="21:46" s="21" customFormat="1"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121"/>
      <c r="AO525" s="129"/>
      <c r="AP525" s="129"/>
      <c r="AQ525" s="129"/>
      <c r="AR525" s="129"/>
      <c r="AS525" s="129"/>
      <c r="AT525" s="129"/>
    </row>
    <row r="526" spans="21:46" s="21" customFormat="1"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121"/>
      <c r="AO526" s="129"/>
      <c r="AP526" s="129"/>
      <c r="AQ526" s="129"/>
      <c r="AR526" s="129"/>
      <c r="AS526" s="129"/>
      <c r="AT526" s="129"/>
    </row>
    <row r="527" spans="21:46" s="21" customFormat="1"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121"/>
      <c r="AO527" s="129"/>
      <c r="AP527" s="129"/>
      <c r="AQ527" s="129"/>
      <c r="AR527" s="129"/>
      <c r="AS527" s="129"/>
      <c r="AT527" s="129"/>
    </row>
    <row r="528" spans="21:46" s="21" customFormat="1"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121"/>
      <c r="AO528" s="129"/>
      <c r="AP528" s="129"/>
      <c r="AQ528" s="129"/>
      <c r="AR528" s="129"/>
      <c r="AS528" s="129"/>
      <c r="AT528" s="129"/>
    </row>
    <row r="529" spans="21:46" s="21" customFormat="1"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121"/>
      <c r="AO529" s="129"/>
      <c r="AP529" s="129"/>
      <c r="AQ529" s="129"/>
      <c r="AR529" s="129"/>
      <c r="AS529" s="129"/>
      <c r="AT529" s="129"/>
    </row>
    <row r="530" spans="21:46" s="21" customFormat="1"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121"/>
      <c r="AO530" s="129"/>
      <c r="AP530" s="129"/>
      <c r="AQ530" s="129"/>
      <c r="AR530" s="129"/>
      <c r="AS530" s="129"/>
      <c r="AT530" s="129"/>
    </row>
    <row r="531" spans="21:46" s="21" customFormat="1"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121"/>
      <c r="AO531" s="129"/>
      <c r="AP531" s="129"/>
      <c r="AQ531" s="129"/>
      <c r="AR531" s="129"/>
      <c r="AS531" s="129"/>
      <c r="AT531" s="129"/>
    </row>
    <row r="532" spans="21:46" s="21" customFormat="1"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121"/>
      <c r="AO532" s="129"/>
      <c r="AP532" s="129"/>
      <c r="AQ532" s="129"/>
      <c r="AR532" s="129"/>
      <c r="AS532" s="129"/>
      <c r="AT532" s="129"/>
    </row>
    <row r="533" spans="21:46" s="21" customFormat="1"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121"/>
      <c r="AO533" s="129"/>
      <c r="AP533" s="129"/>
      <c r="AQ533" s="129"/>
      <c r="AR533" s="129"/>
      <c r="AS533" s="129"/>
      <c r="AT533" s="129"/>
    </row>
    <row r="534" spans="21:46" s="21" customFormat="1"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121"/>
      <c r="AO534" s="129"/>
      <c r="AP534" s="129"/>
      <c r="AQ534" s="129"/>
      <c r="AR534" s="129"/>
      <c r="AS534" s="129"/>
      <c r="AT534" s="129"/>
    </row>
    <row r="535" spans="21:46" s="21" customFormat="1"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121"/>
      <c r="AO535" s="129"/>
      <c r="AP535" s="129"/>
      <c r="AQ535" s="129"/>
      <c r="AR535" s="129"/>
      <c r="AS535" s="129"/>
      <c r="AT535" s="129"/>
    </row>
    <row r="536" spans="21:46" s="21" customFormat="1"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121"/>
      <c r="AO536" s="129"/>
      <c r="AP536" s="129"/>
      <c r="AQ536" s="129"/>
      <c r="AR536" s="129"/>
      <c r="AS536" s="129"/>
      <c r="AT536" s="129"/>
    </row>
    <row r="537" spans="21:46" s="21" customFormat="1"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121"/>
      <c r="AO537" s="129"/>
      <c r="AP537" s="129"/>
      <c r="AQ537" s="129"/>
      <c r="AR537" s="129"/>
      <c r="AS537" s="129"/>
      <c r="AT537" s="129"/>
    </row>
    <row r="538" spans="21:46" s="21" customFormat="1"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121"/>
      <c r="AO538" s="129"/>
      <c r="AP538" s="129"/>
      <c r="AQ538" s="129"/>
      <c r="AR538" s="129"/>
      <c r="AS538" s="129"/>
      <c r="AT538" s="129"/>
    </row>
    <row r="539" spans="21:46" s="21" customFormat="1"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121"/>
      <c r="AO539" s="129"/>
      <c r="AP539" s="129"/>
      <c r="AQ539" s="129"/>
      <c r="AR539" s="129"/>
      <c r="AS539" s="129"/>
      <c r="AT539" s="129"/>
    </row>
    <row r="540" spans="21:46" s="21" customFormat="1"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121"/>
      <c r="AO540" s="129"/>
      <c r="AP540" s="129"/>
      <c r="AQ540" s="129"/>
      <c r="AR540" s="129"/>
      <c r="AS540" s="129"/>
      <c r="AT540" s="129"/>
    </row>
    <row r="541" spans="21:46" s="21" customFormat="1"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121"/>
      <c r="AO541" s="129"/>
      <c r="AP541" s="129"/>
      <c r="AQ541" s="129"/>
      <c r="AR541" s="129"/>
      <c r="AS541" s="129"/>
      <c r="AT541" s="129"/>
    </row>
    <row r="542" spans="21:46" s="21" customFormat="1"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121"/>
      <c r="AO542" s="129"/>
      <c r="AP542" s="129"/>
      <c r="AQ542" s="129"/>
      <c r="AR542" s="129"/>
      <c r="AS542" s="129"/>
      <c r="AT542" s="129"/>
    </row>
    <row r="543" spans="21:46" s="21" customFormat="1"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121"/>
      <c r="AO543" s="129"/>
      <c r="AP543" s="129"/>
      <c r="AQ543" s="129"/>
      <c r="AR543" s="129"/>
      <c r="AS543" s="129"/>
      <c r="AT543" s="129"/>
    </row>
    <row r="544" spans="21:46" s="21" customFormat="1"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121"/>
      <c r="AO544" s="129"/>
      <c r="AP544" s="129"/>
      <c r="AQ544" s="129"/>
      <c r="AR544" s="129"/>
      <c r="AS544" s="129"/>
      <c r="AT544" s="129"/>
    </row>
    <row r="545" spans="21:46" s="21" customFormat="1"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121"/>
      <c r="AO545" s="129"/>
      <c r="AP545" s="129"/>
      <c r="AQ545" s="129"/>
      <c r="AR545" s="129"/>
      <c r="AS545" s="129"/>
      <c r="AT545" s="129"/>
    </row>
    <row r="546" spans="21:46" s="21" customFormat="1"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121"/>
      <c r="AO546" s="129"/>
      <c r="AP546" s="129"/>
      <c r="AQ546" s="129"/>
      <c r="AR546" s="129"/>
      <c r="AS546" s="129"/>
      <c r="AT546" s="129"/>
    </row>
    <row r="547" spans="21:46" s="21" customFormat="1"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121"/>
      <c r="AO547" s="129"/>
      <c r="AP547" s="129"/>
      <c r="AQ547" s="129"/>
      <c r="AR547" s="129"/>
      <c r="AS547" s="129"/>
      <c r="AT547" s="129"/>
    </row>
    <row r="548" spans="21:46" s="21" customFormat="1"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121"/>
      <c r="AO548" s="129"/>
      <c r="AP548" s="129"/>
      <c r="AQ548" s="129"/>
      <c r="AR548" s="129"/>
      <c r="AS548" s="129"/>
      <c r="AT548" s="129"/>
    </row>
    <row r="549" spans="21:46" s="21" customFormat="1"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121"/>
      <c r="AO549" s="129"/>
      <c r="AP549" s="129"/>
      <c r="AQ549" s="129"/>
      <c r="AR549" s="129"/>
      <c r="AS549" s="129"/>
      <c r="AT549" s="129"/>
    </row>
    <row r="550" spans="21:46" s="21" customFormat="1"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121"/>
      <c r="AO550" s="129"/>
      <c r="AP550" s="129"/>
      <c r="AQ550" s="129"/>
      <c r="AR550" s="129"/>
      <c r="AS550" s="129"/>
      <c r="AT550" s="129"/>
    </row>
    <row r="551" spans="21:46" s="21" customFormat="1"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121"/>
      <c r="AO551" s="129"/>
      <c r="AP551" s="129"/>
      <c r="AQ551" s="129"/>
      <c r="AR551" s="129"/>
      <c r="AS551" s="129"/>
      <c r="AT551" s="129"/>
    </row>
    <row r="552" spans="21:46" s="21" customFormat="1"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121"/>
      <c r="AO552" s="129"/>
      <c r="AP552" s="129"/>
      <c r="AQ552" s="129"/>
      <c r="AR552" s="129"/>
      <c r="AS552" s="129"/>
      <c r="AT552" s="129"/>
    </row>
    <row r="553" spans="21:46" s="21" customFormat="1"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121"/>
      <c r="AO553" s="129"/>
      <c r="AP553" s="129"/>
      <c r="AQ553" s="129"/>
      <c r="AR553" s="129"/>
      <c r="AS553" s="129"/>
      <c r="AT553" s="129"/>
    </row>
    <row r="554" spans="21:46" s="21" customFormat="1"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121"/>
      <c r="AO554" s="129"/>
      <c r="AP554" s="129"/>
      <c r="AQ554" s="129"/>
      <c r="AR554" s="129"/>
      <c r="AS554" s="129"/>
      <c r="AT554" s="129"/>
    </row>
    <row r="555" spans="21:46" s="21" customFormat="1"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121"/>
      <c r="AO555" s="129"/>
      <c r="AP555" s="129"/>
      <c r="AQ555" s="129"/>
      <c r="AR555" s="129"/>
      <c r="AS555" s="129"/>
      <c r="AT555" s="129"/>
    </row>
    <row r="556" spans="21:46" s="21" customFormat="1"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121"/>
      <c r="AO556" s="129"/>
      <c r="AP556" s="129"/>
      <c r="AQ556" s="129"/>
      <c r="AR556" s="129"/>
      <c r="AS556" s="129"/>
      <c r="AT556" s="129"/>
    </row>
    <row r="557" spans="21:46" s="21" customFormat="1"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121"/>
      <c r="AO557" s="129"/>
      <c r="AP557" s="129"/>
      <c r="AQ557" s="129"/>
      <c r="AR557" s="129"/>
      <c r="AS557" s="129"/>
      <c r="AT557" s="129"/>
    </row>
    <row r="558" spans="21:46" s="21" customFormat="1"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121"/>
      <c r="AO558" s="129"/>
      <c r="AP558" s="129"/>
      <c r="AQ558" s="129"/>
      <c r="AR558" s="129"/>
      <c r="AS558" s="129"/>
      <c r="AT558" s="129"/>
    </row>
    <row r="559" spans="21:46" s="21" customFormat="1"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121"/>
      <c r="AO559" s="129"/>
      <c r="AP559" s="129"/>
      <c r="AQ559" s="129"/>
      <c r="AR559" s="129"/>
      <c r="AS559" s="129"/>
      <c r="AT559" s="129"/>
    </row>
    <row r="560" spans="21:46" s="21" customFormat="1"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121"/>
      <c r="AO560" s="129"/>
      <c r="AP560" s="129"/>
      <c r="AQ560" s="129"/>
      <c r="AR560" s="129"/>
      <c r="AS560" s="129"/>
      <c r="AT560" s="129"/>
    </row>
    <row r="561" spans="21:46" s="21" customFormat="1"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121"/>
      <c r="AO561" s="129"/>
      <c r="AP561" s="129"/>
      <c r="AQ561" s="129"/>
      <c r="AR561" s="129"/>
      <c r="AS561" s="129"/>
      <c r="AT561" s="129"/>
    </row>
    <row r="562" spans="21:46" s="21" customFormat="1"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121"/>
      <c r="AO562" s="129"/>
      <c r="AP562" s="129"/>
      <c r="AQ562" s="129"/>
      <c r="AR562" s="129"/>
      <c r="AS562" s="129"/>
      <c r="AT562" s="129"/>
    </row>
    <row r="563" spans="21:46" s="21" customFormat="1"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121"/>
      <c r="AO563" s="129"/>
      <c r="AP563" s="129"/>
      <c r="AQ563" s="129"/>
      <c r="AR563" s="129"/>
      <c r="AS563" s="129"/>
      <c r="AT563" s="129"/>
    </row>
    <row r="564" spans="21:46" s="21" customFormat="1"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121"/>
      <c r="AO564" s="129"/>
      <c r="AP564" s="129"/>
      <c r="AQ564" s="129"/>
      <c r="AR564" s="129"/>
      <c r="AS564" s="129"/>
      <c r="AT564" s="129"/>
    </row>
    <row r="565" spans="21:46" s="21" customFormat="1"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121"/>
      <c r="AO565" s="129"/>
      <c r="AP565" s="129"/>
      <c r="AQ565" s="129"/>
      <c r="AR565" s="129"/>
      <c r="AS565" s="129"/>
      <c r="AT565" s="129"/>
    </row>
    <row r="566" spans="21:46" s="21" customFormat="1"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121"/>
      <c r="AO566" s="129"/>
      <c r="AP566" s="129"/>
      <c r="AQ566" s="129"/>
      <c r="AR566" s="129"/>
      <c r="AS566" s="129"/>
      <c r="AT566" s="129"/>
    </row>
    <row r="567" spans="21:46" s="21" customFormat="1"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121"/>
      <c r="AO567" s="129"/>
      <c r="AP567" s="129"/>
      <c r="AQ567" s="129"/>
      <c r="AR567" s="129"/>
      <c r="AS567" s="129"/>
      <c r="AT567" s="129"/>
    </row>
    <row r="568" spans="21:46" s="21" customFormat="1"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121"/>
      <c r="AO568" s="129"/>
      <c r="AP568" s="129"/>
      <c r="AQ568" s="129"/>
      <c r="AR568" s="129"/>
      <c r="AS568" s="129"/>
      <c r="AT568" s="129"/>
    </row>
    <row r="569" spans="21:46" s="21" customFormat="1"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121"/>
      <c r="AO569" s="129"/>
      <c r="AP569" s="129"/>
      <c r="AQ569" s="129"/>
      <c r="AR569" s="129"/>
      <c r="AS569" s="129"/>
      <c r="AT569" s="129"/>
    </row>
    <row r="570" spans="21:46" s="21" customFormat="1"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121"/>
      <c r="AO570" s="129"/>
      <c r="AP570" s="129"/>
      <c r="AQ570" s="129"/>
      <c r="AR570" s="129"/>
      <c r="AS570" s="129"/>
      <c r="AT570" s="129"/>
    </row>
    <row r="571" spans="21:46" s="21" customFormat="1"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121"/>
      <c r="AO571" s="129"/>
      <c r="AP571" s="129"/>
      <c r="AQ571" s="129"/>
      <c r="AR571" s="129"/>
      <c r="AS571" s="129"/>
      <c r="AT571" s="129"/>
    </row>
    <row r="572" spans="21:46" s="21" customFormat="1"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121"/>
      <c r="AO572" s="129"/>
      <c r="AP572" s="129"/>
      <c r="AQ572" s="129"/>
      <c r="AR572" s="129"/>
      <c r="AS572" s="129"/>
      <c r="AT572" s="129"/>
    </row>
    <row r="573" spans="21:46" s="21" customFormat="1"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121"/>
      <c r="AO573" s="129"/>
      <c r="AP573" s="129"/>
      <c r="AQ573" s="129"/>
      <c r="AR573" s="129"/>
      <c r="AS573" s="129"/>
      <c r="AT573" s="129"/>
    </row>
    <row r="574" spans="21:46" s="21" customFormat="1"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121"/>
      <c r="AO574" s="129"/>
      <c r="AP574" s="129"/>
      <c r="AQ574" s="129"/>
      <c r="AR574" s="129"/>
      <c r="AS574" s="129"/>
      <c r="AT574" s="129"/>
    </row>
    <row r="575" spans="21:46" s="21" customFormat="1"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121"/>
      <c r="AO575" s="129"/>
      <c r="AP575" s="129"/>
      <c r="AQ575" s="129"/>
      <c r="AR575" s="129"/>
      <c r="AS575" s="129"/>
      <c r="AT575" s="129"/>
    </row>
    <row r="576" spans="21:46" s="21" customFormat="1"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121"/>
      <c r="AO576" s="129"/>
      <c r="AP576" s="129"/>
      <c r="AQ576" s="129"/>
      <c r="AR576" s="129"/>
      <c r="AS576" s="129"/>
      <c r="AT576" s="129"/>
    </row>
    <row r="577" spans="21:46" s="21" customFormat="1"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121"/>
      <c r="AO577" s="129"/>
      <c r="AP577" s="129"/>
      <c r="AQ577" s="129"/>
      <c r="AR577" s="129"/>
      <c r="AS577" s="129"/>
      <c r="AT577" s="129"/>
    </row>
    <row r="578" spans="21:46" s="21" customFormat="1"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121"/>
      <c r="AO578" s="129"/>
      <c r="AP578" s="129"/>
      <c r="AQ578" s="129"/>
      <c r="AR578" s="129"/>
      <c r="AS578" s="129"/>
      <c r="AT578" s="129"/>
    </row>
    <row r="579" spans="21:46" s="21" customFormat="1"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121"/>
      <c r="AO579" s="129"/>
      <c r="AP579" s="129"/>
      <c r="AQ579" s="129"/>
      <c r="AR579" s="129"/>
      <c r="AS579" s="129"/>
      <c r="AT579" s="129"/>
    </row>
    <row r="580" spans="21:46" s="21" customFormat="1"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121"/>
      <c r="AO580" s="129"/>
      <c r="AP580" s="129"/>
      <c r="AQ580" s="129"/>
      <c r="AR580" s="129"/>
      <c r="AS580" s="129"/>
      <c r="AT580" s="129"/>
    </row>
    <row r="581" spans="21:46" s="21" customFormat="1"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121"/>
      <c r="AO581" s="129"/>
      <c r="AP581" s="129"/>
      <c r="AQ581" s="129"/>
      <c r="AR581" s="129"/>
      <c r="AS581" s="129"/>
      <c r="AT581" s="129"/>
    </row>
    <row r="582" spans="21:46" s="21" customFormat="1"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121"/>
      <c r="AO582" s="129"/>
      <c r="AP582" s="129"/>
      <c r="AQ582" s="129"/>
      <c r="AR582" s="129"/>
      <c r="AS582" s="129"/>
      <c r="AT582" s="129"/>
    </row>
    <row r="583" spans="21:46" s="21" customFormat="1"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121"/>
      <c r="AO583" s="129"/>
      <c r="AP583" s="129"/>
      <c r="AQ583" s="129"/>
      <c r="AR583" s="129"/>
      <c r="AS583" s="129"/>
      <c r="AT583" s="129"/>
    </row>
    <row r="584" spans="21:46" s="21" customFormat="1"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121"/>
      <c r="AO584" s="129"/>
      <c r="AP584" s="129"/>
      <c r="AQ584" s="129"/>
      <c r="AR584" s="129"/>
      <c r="AS584" s="129"/>
      <c r="AT584" s="129"/>
    </row>
    <row r="585" spans="21:46" s="21" customFormat="1"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121"/>
      <c r="AO585" s="129"/>
      <c r="AP585" s="129"/>
      <c r="AQ585" s="129"/>
      <c r="AR585" s="129"/>
      <c r="AS585" s="129"/>
      <c r="AT585" s="129"/>
    </row>
    <row r="586" spans="21:46" s="21" customFormat="1"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121"/>
      <c r="AO586" s="129"/>
      <c r="AP586" s="129"/>
      <c r="AQ586" s="129"/>
      <c r="AR586" s="129"/>
      <c r="AS586" s="129"/>
      <c r="AT586" s="129"/>
    </row>
    <row r="587" spans="21:46" s="21" customFormat="1"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121"/>
      <c r="AO587" s="129"/>
      <c r="AP587" s="129"/>
      <c r="AQ587" s="129"/>
      <c r="AR587" s="129"/>
      <c r="AS587" s="129"/>
      <c r="AT587" s="129"/>
    </row>
    <row r="588" spans="21:46" s="21" customFormat="1"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121"/>
      <c r="AO588" s="129"/>
      <c r="AP588" s="129"/>
      <c r="AQ588" s="129"/>
      <c r="AR588" s="129"/>
      <c r="AS588" s="129"/>
      <c r="AT588" s="129"/>
    </row>
    <row r="589" spans="21:46" s="21" customFormat="1"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121"/>
      <c r="AO589" s="129"/>
      <c r="AP589" s="129"/>
      <c r="AQ589" s="129"/>
      <c r="AR589" s="129"/>
      <c r="AS589" s="129"/>
      <c r="AT589" s="129"/>
    </row>
    <row r="590" spans="21:46" s="21" customFormat="1"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121"/>
      <c r="AO590" s="129"/>
      <c r="AP590" s="129"/>
      <c r="AQ590" s="129"/>
      <c r="AR590" s="129"/>
      <c r="AS590" s="129"/>
      <c r="AT590" s="129"/>
    </row>
    <row r="591" spans="21:46" s="21" customFormat="1"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121"/>
      <c r="AO591" s="129"/>
      <c r="AP591" s="129"/>
      <c r="AQ591" s="129"/>
      <c r="AR591" s="129"/>
      <c r="AS591" s="129"/>
      <c r="AT591" s="129"/>
    </row>
    <row r="592" spans="21:46" s="21" customFormat="1"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121"/>
      <c r="AO592" s="129"/>
      <c r="AP592" s="129"/>
      <c r="AQ592" s="129"/>
      <c r="AR592" s="129"/>
      <c r="AS592" s="129"/>
      <c r="AT592" s="129"/>
    </row>
    <row r="593" spans="21:46" s="21" customFormat="1"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121"/>
      <c r="AO593" s="129"/>
      <c r="AP593" s="129"/>
      <c r="AQ593" s="129"/>
      <c r="AR593" s="129"/>
      <c r="AS593" s="129"/>
      <c r="AT593" s="129"/>
    </row>
    <row r="594" spans="21:46" s="21" customFormat="1"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121"/>
      <c r="AO594" s="129"/>
      <c r="AP594" s="129"/>
      <c r="AQ594" s="129"/>
      <c r="AR594" s="129"/>
      <c r="AS594" s="129"/>
      <c r="AT594" s="129"/>
    </row>
    <row r="595" spans="21:46" s="21" customFormat="1"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121"/>
      <c r="AO595" s="129"/>
      <c r="AP595" s="129"/>
      <c r="AQ595" s="129"/>
      <c r="AR595" s="129"/>
      <c r="AS595" s="129"/>
      <c r="AT595" s="129"/>
    </row>
    <row r="596" spans="21:46" s="21" customFormat="1"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121"/>
      <c r="AO596" s="129"/>
      <c r="AP596" s="129"/>
      <c r="AQ596" s="129"/>
      <c r="AR596" s="129"/>
      <c r="AS596" s="129"/>
      <c r="AT596" s="129"/>
    </row>
    <row r="597" spans="21:46" s="21" customFormat="1"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121"/>
      <c r="AO597" s="129"/>
      <c r="AP597" s="129"/>
      <c r="AQ597" s="129"/>
      <c r="AR597" s="129"/>
      <c r="AS597" s="129"/>
      <c r="AT597" s="129"/>
    </row>
    <row r="598" spans="21:46" s="21" customFormat="1"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121"/>
      <c r="AO598" s="129"/>
      <c r="AP598" s="129"/>
      <c r="AQ598" s="129"/>
      <c r="AR598" s="129"/>
      <c r="AS598" s="129"/>
      <c r="AT598" s="129"/>
    </row>
    <row r="599" spans="21:46" s="21" customFormat="1"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121"/>
      <c r="AO599" s="129"/>
      <c r="AP599" s="129"/>
      <c r="AQ599" s="129"/>
      <c r="AR599" s="129"/>
      <c r="AS599" s="129"/>
      <c r="AT599" s="129"/>
    </row>
    <row r="600" spans="21:46" s="21" customFormat="1"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121"/>
      <c r="AO600" s="129"/>
      <c r="AP600" s="129"/>
      <c r="AQ600" s="129"/>
      <c r="AR600" s="129"/>
      <c r="AS600" s="129"/>
      <c r="AT600" s="129"/>
    </row>
    <row r="601" spans="21:46" s="21" customFormat="1"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121"/>
      <c r="AO601" s="129"/>
      <c r="AP601" s="129"/>
      <c r="AQ601" s="129"/>
      <c r="AR601" s="129"/>
      <c r="AS601" s="129"/>
      <c r="AT601" s="129"/>
    </row>
    <row r="602" spans="21:46" s="21" customFormat="1"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121"/>
      <c r="AO602" s="129"/>
      <c r="AP602" s="129"/>
      <c r="AQ602" s="129"/>
      <c r="AR602" s="129"/>
      <c r="AS602" s="129"/>
      <c r="AT602" s="129"/>
    </row>
    <row r="603" spans="21:46" s="21" customFormat="1"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121"/>
      <c r="AO603" s="129"/>
      <c r="AP603" s="129"/>
      <c r="AQ603" s="129"/>
      <c r="AR603" s="129"/>
      <c r="AS603" s="129"/>
      <c r="AT603" s="129"/>
    </row>
    <row r="604" spans="21:46" s="21" customFormat="1"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121"/>
      <c r="AO604" s="129"/>
      <c r="AP604" s="129"/>
      <c r="AQ604" s="129"/>
      <c r="AR604" s="129"/>
      <c r="AS604" s="129"/>
      <c r="AT604" s="129"/>
    </row>
    <row r="605" spans="21:46" s="21" customFormat="1"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121"/>
      <c r="AO605" s="129"/>
      <c r="AP605" s="129"/>
      <c r="AQ605" s="129"/>
      <c r="AR605" s="129"/>
      <c r="AS605" s="129"/>
      <c r="AT605" s="129"/>
    </row>
    <row r="606" spans="21:46" s="21" customFormat="1"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121"/>
      <c r="AO606" s="129"/>
      <c r="AP606" s="129"/>
      <c r="AQ606" s="129"/>
      <c r="AR606" s="129"/>
      <c r="AS606" s="129"/>
      <c r="AT606" s="129"/>
    </row>
    <row r="607" spans="21:46" s="21" customFormat="1"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121"/>
      <c r="AO607" s="129"/>
      <c r="AP607" s="129"/>
      <c r="AQ607" s="129"/>
      <c r="AR607" s="129"/>
      <c r="AS607" s="129"/>
      <c r="AT607" s="129"/>
    </row>
    <row r="608" spans="21:46" s="21" customFormat="1"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121"/>
      <c r="AO608" s="129"/>
      <c r="AP608" s="129"/>
      <c r="AQ608" s="129"/>
      <c r="AR608" s="129"/>
      <c r="AS608" s="129"/>
      <c r="AT608" s="129"/>
    </row>
    <row r="609" spans="21:46" s="21" customFormat="1"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121"/>
      <c r="AO609" s="129"/>
      <c r="AP609" s="129"/>
      <c r="AQ609" s="129"/>
      <c r="AR609" s="129"/>
      <c r="AS609" s="129"/>
      <c r="AT609" s="129"/>
    </row>
    <row r="610" spans="21:46" s="21" customFormat="1"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121"/>
      <c r="AO610" s="129"/>
      <c r="AP610" s="129"/>
      <c r="AQ610" s="129"/>
      <c r="AR610" s="129"/>
      <c r="AS610" s="129"/>
      <c r="AT610" s="129"/>
    </row>
    <row r="611" spans="21:46" s="21" customFormat="1"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121"/>
      <c r="AO611" s="129"/>
      <c r="AP611" s="129"/>
      <c r="AQ611" s="129"/>
      <c r="AR611" s="129"/>
      <c r="AS611" s="129"/>
      <c r="AT611" s="129"/>
    </row>
    <row r="612" spans="21:46" s="21" customFormat="1"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121"/>
      <c r="AO612" s="129"/>
      <c r="AP612" s="129"/>
      <c r="AQ612" s="129"/>
      <c r="AR612" s="129"/>
      <c r="AS612" s="129"/>
      <c r="AT612" s="129"/>
    </row>
    <row r="613" spans="21:46" s="21" customFormat="1"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121"/>
      <c r="AO613" s="129"/>
      <c r="AP613" s="129"/>
      <c r="AQ613" s="129"/>
      <c r="AR613" s="129"/>
      <c r="AS613" s="129"/>
      <c r="AT613" s="129"/>
    </row>
    <row r="614" spans="21:46" s="21" customFormat="1"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121"/>
      <c r="AO614" s="129"/>
      <c r="AP614" s="129"/>
      <c r="AQ614" s="129"/>
      <c r="AR614" s="129"/>
      <c r="AS614" s="129"/>
      <c r="AT614" s="129"/>
    </row>
    <row r="615" spans="21:46" s="21" customFormat="1"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121"/>
      <c r="AO615" s="129"/>
      <c r="AP615" s="129"/>
      <c r="AQ615" s="129"/>
      <c r="AR615" s="129"/>
      <c r="AS615" s="129"/>
      <c r="AT615" s="129"/>
    </row>
    <row r="616" spans="21:46" s="21" customFormat="1"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121"/>
      <c r="AO616" s="129"/>
      <c r="AP616" s="129"/>
      <c r="AQ616" s="129"/>
      <c r="AR616" s="129"/>
      <c r="AS616" s="129"/>
      <c r="AT616" s="129"/>
    </row>
    <row r="617" spans="21:46" s="21" customFormat="1"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121"/>
      <c r="AO617" s="129"/>
      <c r="AP617" s="129"/>
      <c r="AQ617" s="129"/>
      <c r="AR617" s="129"/>
      <c r="AS617" s="129"/>
      <c r="AT617" s="129"/>
    </row>
    <row r="618" spans="21:46" s="21" customFormat="1"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121"/>
      <c r="AO618" s="129"/>
      <c r="AP618" s="129"/>
      <c r="AQ618" s="129"/>
      <c r="AR618" s="129"/>
      <c r="AS618" s="129"/>
      <c r="AT618" s="129"/>
    </row>
    <row r="619" spans="21:46" s="21" customFormat="1"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121"/>
      <c r="AO619" s="129"/>
      <c r="AP619" s="129"/>
      <c r="AQ619" s="129"/>
      <c r="AR619" s="129"/>
      <c r="AS619" s="129"/>
      <c r="AT619" s="129"/>
    </row>
    <row r="620" spans="21:46" s="21" customFormat="1"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121"/>
      <c r="AO620" s="129"/>
      <c r="AP620" s="129"/>
      <c r="AQ620" s="129"/>
      <c r="AR620" s="129"/>
      <c r="AS620" s="129"/>
      <c r="AT620" s="129"/>
    </row>
    <row r="621" spans="21:46" s="21" customFormat="1"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121"/>
      <c r="AO621" s="129"/>
      <c r="AP621" s="129"/>
      <c r="AQ621" s="129"/>
      <c r="AR621" s="129"/>
      <c r="AS621" s="129"/>
      <c r="AT621" s="129"/>
    </row>
    <row r="622" spans="21:46" s="21" customFormat="1"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121"/>
      <c r="AO622" s="129"/>
      <c r="AP622" s="129"/>
      <c r="AQ622" s="129"/>
      <c r="AR622" s="129"/>
      <c r="AS622" s="129"/>
      <c r="AT622" s="129"/>
    </row>
    <row r="623" spans="21:46" s="21" customFormat="1"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121"/>
      <c r="AO623" s="129"/>
      <c r="AP623" s="129"/>
      <c r="AQ623" s="129"/>
      <c r="AR623" s="129"/>
      <c r="AS623" s="129"/>
      <c r="AT623" s="129"/>
    </row>
    <row r="624" spans="21:46" s="21" customFormat="1"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121"/>
      <c r="AO624" s="129"/>
      <c r="AP624" s="129"/>
      <c r="AQ624" s="129"/>
      <c r="AR624" s="129"/>
      <c r="AS624" s="129"/>
      <c r="AT624" s="129"/>
    </row>
    <row r="625" spans="21:46" s="21" customFormat="1"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121"/>
      <c r="AO625" s="129"/>
      <c r="AP625" s="129"/>
      <c r="AQ625" s="129"/>
      <c r="AR625" s="129"/>
      <c r="AS625" s="129"/>
      <c r="AT625" s="129"/>
    </row>
    <row r="626" spans="21:46" s="21" customFormat="1"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121"/>
      <c r="AO626" s="129"/>
      <c r="AP626" s="129"/>
      <c r="AQ626" s="129"/>
      <c r="AR626" s="129"/>
      <c r="AS626" s="129"/>
      <c r="AT626" s="129"/>
    </row>
    <row r="627" spans="21:46" s="21" customFormat="1"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121"/>
      <c r="AO627" s="129"/>
      <c r="AP627" s="129"/>
      <c r="AQ627" s="129"/>
      <c r="AR627" s="129"/>
      <c r="AS627" s="129"/>
      <c r="AT627" s="129"/>
    </row>
    <row r="628" spans="21:46" s="21" customFormat="1"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121"/>
      <c r="AO628" s="129"/>
      <c r="AP628" s="129"/>
      <c r="AQ628" s="129"/>
      <c r="AR628" s="129"/>
      <c r="AS628" s="129"/>
      <c r="AT628" s="129"/>
    </row>
    <row r="629" spans="21:46" s="21" customFormat="1"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121"/>
      <c r="AO629" s="129"/>
      <c r="AP629" s="129"/>
      <c r="AQ629" s="129"/>
      <c r="AR629" s="129"/>
      <c r="AS629" s="129"/>
      <c r="AT629" s="129"/>
    </row>
    <row r="630" spans="21:46" s="21" customFormat="1"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121"/>
      <c r="AO630" s="129"/>
      <c r="AP630" s="129"/>
      <c r="AQ630" s="129"/>
      <c r="AR630" s="129"/>
      <c r="AS630" s="129"/>
      <c r="AT630" s="129"/>
    </row>
    <row r="631" spans="21:46" s="21" customFormat="1"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121"/>
      <c r="AO631" s="129"/>
      <c r="AP631" s="129"/>
      <c r="AQ631" s="129"/>
      <c r="AR631" s="129"/>
      <c r="AS631" s="129"/>
      <c r="AT631" s="129"/>
    </row>
    <row r="632" spans="21:46" s="21" customFormat="1"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121"/>
      <c r="AO632" s="129"/>
      <c r="AP632" s="129"/>
      <c r="AQ632" s="129"/>
      <c r="AR632" s="129"/>
      <c r="AS632" s="129"/>
      <c r="AT632" s="129"/>
    </row>
    <row r="633" spans="21:46" s="21" customFormat="1"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121"/>
      <c r="AO633" s="129"/>
      <c r="AP633" s="129"/>
      <c r="AQ633" s="129"/>
      <c r="AR633" s="129"/>
      <c r="AS633" s="129"/>
      <c r="AT633" s="129"/>
    </row>
    <row r="634" spans="21:46" s="21" customFormat="1"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121"/>
      <c r="AO634" s="129"/>
      <c r="AP634" s="129"/>
      <c r="AQ634" s="129"/>
      <c r="AR634" s="129"/>
      <c r="AS634" s="129"/>
      <c r="AT634" s="129"/>
    </row>
    <row r="635" spans="21:46" s="21" customFormat="1"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121"/>
      <c r="AO635" s="129"/>
      <c r="AP635" s="129"/>
      <c r="AQ635" s="129"/>
      <c r="AR635" s="129"/>
      <c r="AS635" s="129"/>
      <c r="AT635" s="129"/>
    </row>
    <row r="636" spans="21:46" s="21" customFormat="1"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121"/>
      <c r="AO636" s="129"/>
      <c r="AP636" s="129"/>
      <c r="AQ636" s="129"/>
      <c r="AR636" s="129"/>
      <c r="AS636" s="129"/>
      <c r="AT636" s="129"/>
    </row>
    <row r="637" spans="21:46" s="21" customFormat="1"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121"/>
      <c r="AO637" s="129"/>
      <c r="AP637" s="129"/>
      <c r="AQ637" s="129"/>
      <c r="AR637" s="129"/>
      <c r="AS637" s="129"/>
      <c r="AT637" s="129"/>
    </row>
    <row r="638" spans="21:46" s="21" customFormat="1"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121"/>
      <c r="AO638" s="129"/>
      <c r="AP638" s="129"/>
      <c r="AQ638" s="129"/>
      <c r="AR638" s="129"/>
      <c r="AS638" s="129"/>
      <c r="AT638" s="129"/>
    </row>
    <row r="639" spans="21:46" s="21" customFormat="1"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121"/>
      <c r="AO639" s="129"/>
      <c r="AP639" s="129"/>
      <c r="AQ639" s="129"/>
      <c r="AR639" s="129"/>
      <c r="AS639" s="129"/>
      <c r="AT639" s="129"/>
    </row>
    <row r="640" spans="21:46" s="21" customFormat="1"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121"/>
      <c r="AO640" s="129"/>
      <c r="AP640" s="129"/>
      <c r="AQ640" s="129"/>
      <c r="AR640" s="129"/>
      <c r="AS640" s="129"/>
      <c r="AT640" s="129"/>
    </row>
    <row r="641" spans="21:46" s="21" customFormat="1"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121"/>
      <c r="AO641" s="129"/>
      <c r="AP641" s="129"/>
      <c r="AQ641" s="129"/>
      <c r="AR641" s="129"/>
      <c r="AS641" s="129"/>
      <c r="AT641" s="129"/>
    </row>
    <row r="642" spans="21:46" s="21" customFormat="1"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121"/>
      <c r="AO642" s="129"/>
      <c r="AP642" s="129"/>
      <c r="AQ642" s="129"/>
      <c r="AR642" s="129"/>
      <c r="AS642" s="129"/>
      <c r="AT642" s="129"/>
    </row>
    <row r="643" spans="21:46" s="21" customFormat="1"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121"/>
      <c r="AO643" s="129"/>
      <c r="AP643" s="129"/>
      <c r="AQ643" s="129"/>
      <c r="AR643" s="129"/>
      <c r="AS643" s="129"/>
      <c r="AT643" s="129"/>
    </row>
    <row r="644" spans="21:46" s="21" customFormat="1"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121"/>
      <c r="AO644" s="129"/>
      <c r="AP644" s="129"/>
      <c r="AQ644" s="129"/>
      <c r="AR644" s="129"/>
      <c r="AS644" s="129"/>
      <c r="AT644" s="129"/>
    </row>
    <row r="645" spans="21:46" s="21" customFormat="1"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121"/>
      <c r="AO645" s="129"/>
      <c r="AP645" s="129"/>
      <c r="AQ645" s="129"/>
      <c r="AR645" s="129"/>
      <c r="AS645" s="129"/>
      <c r="AT645" s="129"/>
    </row>
    <row r="646" spans="21:46" s="21" customFormat="1"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121"/>
      <c r="AO646" s="129"/>
      <c r="AP646" s="129"/>
      <c r="AQ646" s="129"/>
      <c r="AR646" s="129"/>
      <c r="AS646" s="129"/>
      <c r="AT646" s="129"/>
    </row>
    <row r="647" spans="21:46" s="21" customFormat="1"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121"/>
      <c r="AO647" s="129"/>
      <c r="AP647" s="129"/>
      <c r="AQ647" s="129"/>
      <c r="AR647" s="129"/>
      <c r="AS647" s="129"/>
      <c r="AT647" s="129"/>
    </row>
    <row r="648" spans="21:46" s="21" customFormat="1"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121"/>
      <c r="AO648" s="129"/>
      <c r="AP648" s="129"/>
      <c r="AQ648" s="129"/>
      <c r="AR648" s="129"/>
      <c r="AS648" s="129"/>
      <c r="AT648" s="129"/>
    </row>
    <row r="649" spans="21:46" s="21" customFormat="1"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121"/>
      <c r="AO649" s="129"/>
      <c r="AP649" s="129"/>
      <c r="AQ649" s="129"/>
      <c r="AR649" s="129"/>
      <c r="AS649" s="129"/>
      <c r="AT649" s="129"/>
    </row>
    <row r="650" spans="21:46" s="21" customFormat="1"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121"/>
      <c r="AO650" s="129"/>
      <c r="AP650" s="129"/>
      <c r="AQ650" s="129"/>
      <c r="AR650" s="129"/>
      <c r="AS650" s="129"/>
      <c r="AT650" s="129"/>
    </row>
    <row r="651" spans="21:46" s="21" customFormat="1"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121"/>
      <c r="AO651" s="129"/>
      <c r="AP651" s="129"/>
      <c r="AQ651" s="129"/>
      <c r="AR651" s="129"/>
      <c r="AS651" s="129"/>
      <c r="AT651" s="129"/>
    </row>
    <row r="652" spans="21:46" s="21" customFormat="1"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121"/>
      <c r="AO652" s="129"/>
      <c r="AP652" s="129"/>
      <c r="AQ652" s="129"/>
      <c r="AR652" s="129"/>
      <c r="AS652" s="129"/>
      <c r="AT652" s="129"/>
    </row>
    <row r="653" spans="21:46" s="21" customFormat="1"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121"/>
      <c r="AO653" s="129"/>
      <c r="AP653" s="129"/>
      <c r="AQ653" s="129"/>
      <c r="AR653" s="129"/>
      <c r="AS653" s="129"/>
      <c r="AT653" s="129"/>
    </row>
    <row r="654" spans="21:46" s="21" customFormat="1"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121"/>
      <c r="AO654" s="129"/>
      <c r="AP654" s="129"/>
      <c r="AQ654" s="129"/>
      <c r="AR654" s="129"/>
      <c r="AS654" s="129"/>
      <c r="AT654" s="129"/>
    </row>
    <row r="655" spans="21:46" s="21" customFormat="1"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121"/>
      <c r="AO655" s="129"/>
      <c r="AP655" s="129"/>
      <c r="AQ655" s="129"/>
      <c r="AR655" s="129"/>
      <c r="AS655" s="129"/>
      <c r="AT655" s="129"/>
    </row>
    <row r="656" spans="21:46" s="21" customFormat="1"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121"/>
      <c r="AO656" s="129"/>
      <c r="AP656" s="129"/>
      <c r="AQ656" s="129"/>
      <c r="AR656" s="129"/>
      <c r="AS656" s="129"/>
      <c r="AT656" s="129"/>
    </row>
    <row r="657" spans="21:46" s="21" customFormat="1"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121"/>
      <c r="AO657" s="129"/>
      <c r="AP657" s="129"/>
      <c r="AQ657" s="129"/>
      <c r="AR657" s="129"/>
      <c r="AS657" s="129"/>
      <c r="AT657" s="129"/>
    </row>
    <row r="658" spans="21:46" s="21" customFormat="1"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121"/>
      <c r="AO658" s="129"/>
      <c r="AP658" s="129"/>
      <c r="AQ658" s="129"/>
      <c r="AR658" s="129"/>
      <c r="AS658" s="129"/>
      <c r="AT658" s="129"/>
    </row>
    <row r="659" spans="21:46" s="21" customFormat="1"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121"/>
      <c r="AO659" s="129"/>
      <c r="AP659" s="129"/>
      <c r="AQ659" s="129"/>
      <c r="AR659" s="129"/>
      <c r="AS659" s="129"/>
      <c r="AT659" s="129"/>
    </row>
    <row r="660" spans="21:46" s="21" customFormat="1"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121"/>
      <c r="AO660" s="129"/>
      <c r="AP660" s="129"/>
      <c r="AQ660" s="129"/>
      <c r="AR660" s="129"/>
      <c r="AS660" s="129"/>
      <c r="AT660" s="129"/>
    </row>
    <row r="661" spans="21:46" s="21" customFormat="1"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121"/>
      <c r="AO661" s="129"/>
      <c r="AP661" s="129"/>
      <c r="AQ661" s="129"/>
      <c r="AR661" s="129"/>
      <c r="AS661" s="129"/>
      <c r="AT661" s="129"/>
    </row>
    <row r="662" spans="21:46" s="21" customFormat="1"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121"/>
      <c r="AO662" s="129"/>
      <c r="AP662" s="129"/>
      <c r="AQ662" s="129"/>
      <c r="AR662" s="129"/>
      <c r="AS662" s="129"/>
      <c r="AT662" s="129"/>
    </row>
    <row r="663" spans="21:46" s="21" customFormat="1"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121"/>
      <c r="AO663" s="129"/>
      <c r="AP663" s="129"/>
      <c r="AQ663" s="129"/>
      <c r="AR663" s="129"/>
      <c r="AS663" s="129"/>
      <c r="AT663" s="129"/>
    </row>
    <row r="664" spans="21:46" s="21" customFormat="1"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121"/>
      <c r="AO664" s="129"/>
      <c r="AP664" s="129"/>
      <c r="AQ664" s="129"/>
      <c r="AR664" s="129"/>
      <c r="AS664" s="129"/>
      <c r="AT664" s="129"/>
    </row>
    <row r="665" spans="21:46" s="21" customFormat="1"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121"/>
      <c r="AO665" s="129"/>
      <c r="AP665" s="129"/>
      <c r="AQ665" s="129"/>
      <c r="AR665" s="129"/>
      <c r="AS665" s="129"/>
      <c r="AT665" s="129"/>
    </row>
    <row r="666" spans="21:46" s="21" customFormat="1"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121"/>
      <c r="AO666" s="129"/>
      <c r="AP666" s="129"/>
      <c r="AQ666" s="129"/>
      <c r="AR666" s="129"/>
      <c r="AS666" s="129"/>
      <c r="AT666" s="129"/>
    </row>
    <row r="667" spans="21:46" s="21" customFormat="1"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121"/>
      <c r="AO667" s="129"/>
      <c r="AP667" s="129"/>
      <c r="AQ667" s="129"/>
      <c r="AR667" s="129"/>
      <c r="AS667" s="129"/>
      <c r="AT667" s="129"/>
    </row>
    <row r="668" spans="21:46" s="21" customFormat="1"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121"/>
      <c r="AO668" s="129"/>
      <c r="AP668" s="129"/>
      <c r="AQ668" s="129"/>
      <c r="AR668" s="129"/>
      <c r="AS668" s="129"/>
      <c r="AT668" s="129"/>
    </row>
    <row r="669" spans="21:46" s="21" customFormat="1"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121"/>
      <c r="AO669" s="129"/>
      <c r="AP669" s="129"/>
      <c r="AQ669" s="129"/>
      <c r="AR669" s="129"/>
      <c r="AS669" s="129"/>
      <c r="AT669" s="129"/>
    </row>
    <row r="670" spans="21:46" s="21" customFormat="1"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121"/>
      <c r="AO670" s="129"/>
      <c r="AP670" s="129"/>
      <c r="AQ670" s="129"/>
      <c r="AR670" s="129"/>
      <c r="AS670" s="129"/>
      <c r="AT670" s="129"/>
    </row>
    <row r="671" spans="21:46" s="21" customFormat="1"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121"/>
      <c r="AO671" s="129"/>
      <c r="AP671" s="129"/>
      <c r="AQ671" s="129"/>
      <c r="AR671" s="129"/>
      <c r="AS671" s="129"/>
      <c r="AT671" s="129"/>
    </row>
    <row r="672" spans="21:46" s="21" customFormat="1"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121"/>
      <c r="AO672" s="129"/>
      <c r="AP672" s="129"/>
      <c r="AQ672" s="129"/>
      <c r="AR672" s="129"/>
      <c r="AS672" s="129"/>
      <c r="AT672" s="129"/>
    </row>
    <row r="673" spans="21:46" s="21" customFormat="1"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121"/>
      <c r="AO673" s="129"/>
      <c r="AP673" s="129"/>
      <c r="AQ673" s="129"/>
      <c r="AR673" s="129"/>
      <c r="AS673" s="129"/>
      <c r="AT673" s="129"/>
    </row>
    <row r="674" spans="21:46" s="21" customFormat="1"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121"/>
      <c r="AO674" s="129"/>
      <c r="AP674" s="129"/>
      <c r="AQ674" s="129"/>
      <c r="AR674" s="129"/>
      <c r="AS674" s="129"/>
      <c r="AT674" s="129"/>
    </row>
    <row r="675" spans="21:46" s="21" customFormat="1"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121"/>
      <c r="AO675" s="129"/>
      <c r="AP675" s="129"/>
      <c r="AQ675" s="129"/>
      <c r="AR675" s="129"/>
      <c r="AS675" s="129"/>
      <c r="AT675" s="129"/>
    </row>
    <row r="676" spans="21:46" s="21" customFormat="1"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121"/>
      <c r="AO676" s="129"/>
      <c r="AP676" s="129"/>
      <c r="AQ676" s="129"/>
      <c r="AR676" s="129"/>
      <c r="AS676" s="129"/>
      <c r="AT676" s="129"/>
    </row>
    <row r="677" spans="21:46" s="21" customFormat="1"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121"/>
      <c r="AO677" s="129"/>
      <c r="AP677" s="129"/>
      <c r="AQ677" s="129"/>
      <c r="AR677" s="129"/>
      <c r="AS677" s="129"/>
      <c r="AT677" s="129"/>
    </row>
    <row r="678" spans="21:46" s="21" customFormat="1"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121"/>
      <c r="AO678" s="129"/>
      <c r="AP678" s="129"/>
      <c r="AQ678" s="129"/>
      <c r="AR678" s="129"/>
      <c r="AS678" s="129"/>
      <c r="AT678" s="129"/>
    </row>
    <row r="679" spans="21:46" s="21" customFormat="1"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121"/>
      <c r="AO679" s="129"/>
      <c r="AP679" s="129"/>
      <c r="AQ679" s="129"/>
      <c r="AR679" s="129"/>
      <c r="AS679" s="129"/>
      <c r="AT679" s="129"/>
    </row>
    <row r="680" spans="21:46" s="21" customFormat="1"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121"/>
      <c r="AO680" s="129"/>
      <c r="AP680" s="129"/>
      <c r="AQ680" s="129"/>
      <c r="AR680" s="129"/>
      <c r="AS680" s="129"/>
      <c r="AT680" s="129"/>
    </row>
    <row r="681" spans="21:46" s="21" customFormat="1"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121"/>
      <c r="AO681" s="129"/>
      <c r="AP681" s="129"/>
      <c r="AQ681" s="129"/>
      <c r="AR681" s="129"/>
      <c r="AS681" s="129"/>
      <c r="AT681" s="129"/>
    </row>
    <row r="682" spans="21:46" s="21" customFormat="1"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121"/>
      <c r="AO682" s="129"/>
      <c r="AP682" s="129"/>
      <c r="AQ682" s="129"/>
      <c r="AR682" s="129"/>
      <c r="AS682" s="129"/>
      <c r="AT682" s="129"/>
    </row>
    <row r="683" spans="21:46" s="21" customFormat="1"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121"/>
      <c r="AO683" s="129"/>
      <c r="AP683" s="129"/>
      <c r="AQ683" s="129"/>
      <c r="AR683" s="129"/>
      <c r="AS683" s="129"/>
      <c r="AT683" s="129"/>
    </row>
    <row r="684" spans="21:46" s="21" customFormat="1"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121"/>
      <c r="AO684" s="129"/>
      <c r="AP684" s="129"/>
      <c r="AQ684" s="129"/>
      <c r="AR684" s="129"/>
      <c r="AS684" s="129"/>
      <c r="AT684" s="129"/>
    </row>
    <row r="685" spans="21:46" s="21" customFormat="1"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121"/>
      <c r="AO685" s="129"/>
      <c r="AP685" s="129"/>
      <c r="AQ685" s="129"/>
      <c r="AR685" s="129"/>
      <c r="AS685" s="129"/>
      <c r="AT685" s="129"/>
    </row>
    <row r="686" spans="21:46" s="21" customFormat="1"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121"/>
      <c r="AO686" s="129"/>
      <c r="AP686" s="129"/>
      <c r="AQ686" s="129"/>
      <c r="AR686" s="129"/>
      <c r="AS686" s="129"/>
      <c r="AT686" s="129"/>
    </row>
    <row r="687" spans="21:46" s="21" customFormat="1"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121"/>
      <c r="AO687" s="129"/>
      <c r="AP687" s="129"/>
      <c r="AQ687" s="129"/>
      <c r="AR687" s="129"/>
      <c r="AS687" s="129"/>
      <c r="AT687" s="129"/>
    </row>
    <row r="688" spans="21:46" s="21" customFormat="1"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121"/>
      <c r="AO688" s="129"/>
      <c r="AP688" s="129"/>
      <c r="AQ688" s="129"/>
      <c r="AR688" s="129"/>
      <c r="AS688" s="129"/>
      <c r="AT688" s="129"/>
    </row>
    <row r="689" spans="21:46" s="21" customFormat="1"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121"/>
      <c r="AO689" s="129"/>
      <c r="AP689" s="129"/>
      <c r="AQ689" s="129"/>
      <c r="AR689" s="129"/>
      <c r="AS689" s="129"/>
      <c r="AT689" s="129"/>
    </row>
    <row r="690" spans="21:46" s="21" customFormat="1"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121"/>
      <c r="AO690" s="129"/>
      <c r="AP690" s="129"/>
      <c r="AQ690" s="129"/>
      <c r="AR690" s="129"/>
      <c r="AS690" s="129"/>
      <c r="AT690" s="129"/>
    </row>
    <row r="691" spans="21:46" s="21" customFormat="1"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121"/>
      <c r="AO691" s="129"/>
      <c r="AP691" s="129"/>
      <c r="AQ691" s="129"/>
      <c r="AR691" s="129"/>
      <c r="AS691" s="129"/>
      <c r="AT691" s="129"/>
    </row>
    <row r="692" spans="21:46" s="21" customFormat="1"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121"/>
      <c r="AO692" s="129"/>
      <c r="AP692" s="129"/>
      <c r="AQ692" s="129"/>
      <c r="AR692" s="129"/>
      <c r="AS692" s="129"/>
      <c r="AT692" s="129"/>
    </row>
    <row r="693" spans="21:46" s="21" customFormat="1"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121"/>
      <c r="AO693" s="129"/>
      <c r="AP693" s="129"/>
      <c r="AQ693" s="129"/>
      <c r="AR693" s="129"/>
      <c r="AS693" s="129"/>
      <c r="AT693" s="129"/>
    </row>
    <row r="694" spans="21:46" s="21" customFormat="1"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121"/>
      <c r="AO694" s="129"/>
      <c r="AP694" s="129"/>
      <c r="AQ694" s="129"/>
      <c r="AR694" s="129"/>
      <c r="AS694" s="129"/>
      <c r="AT694" s="129"/>
    </row>
    <row r="695" spans="21:46" s="21" customFormat="1"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121"/>
      <c r="AO695" s="129"/>
      <c r="AP695" s="129"/>
      <c r="AQ695" s="129"/>
      <c r="AR695" s="129"/>
      <c r="AS695" s="129"/>
      <c r="AT695" s="129"/>
    </row>
    <row r="696" spans="21:46" s="21" customFormat="1"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121"/>
      <c r="AO696" s="129"/>
      <c r="AP696" s="129"/>
      <c r="AQ696" s="129"/>
      <c r="AR696" s="129"/>
      <c r="AS696" s="129"/>
      <c r="AT696" s="129"/>
    </row>
    <row r="697" spans="21:46" s="21" customFormat="1"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121"/>
      <c r="AO697" s="129"/>
      <c r="AP697" s="129"/>
      <c r="AQ697" s="129"/>
      <c r="AR697" s="129"/>
      <c r="AS697" s="129"/>
      <c r="AT697" s="129"/>
    </row>
    <row r="698" spans="21:46" s="21" customFormat="1"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121"/>
      <c r="AO698" s="129"/>
      <c r="AP698" s="129"/>
      <c r="AQ698" s="129"/>
      <c r="AR698" s="129"/>
      <c r="AS698" s="129"/>
      <c r="AT698" s="129"/>
    </row>
    <row r="699" spans="21:46" s="21" customFormat="1"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121"/>
      <c r="AO699" s="129"/>
      <c r="AP699" s="129"/>
      <c r="AQ699" s="129"/>
      <c r="AR699" s="129"/>
      <c r="AS699" s="129"/>
      <c r="AT699" s="129"/>
    </row>
    <row r="700" spans="21:46" s="21" customFormat="1"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121"/>
      <c r="AO700" s="129"/>
      <c r="AP700" s="129"/>
      <c r="AQ700" s="129"/>
      <c r="AR700" s="129"/>
      <c r="AS700" s="129"/>
      <c r="AT700" s="129"/>
    </row>
    <row r="701" spans="21:46" s="21" customFormat="1"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121"/>
      <c r="AO701" s="129"/>
      <c r="AP701" s="129"/>
      <c r="AQ701" s="129"/>
      <c r="AR701" s="129"/>
      <c r="AS701" s="129"/>
      <c r="AT701" s="129"/>
    </row>
    <row r="702" spans="21:46" s="21" customFormat="1"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121"/>
      <c r="AO702" s="129"/>
      <c r="AP702" s="129"/>
      <c r="AQ702" s="129"/>
      <c r="AR702" s="129"/>
      <c r="AS702" s="129"/>
      <c r="AT702" s="129"/>
    </row>
    <row r="703" spans="21:46" s="21" customFormat="1"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121"/>
      <c r="AO703" s="129"/>
      <c r="AP703" s="129"/>
      <c r="AQ703" s="129"/>
      <c r="AR703" s="129"/>
      <c r="AS703" s="129"/>
      <c r="AT703" s="129"/>
    </row>
    <row r="704" spans="21:46" s="21" customFormat="1"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121"/>
      <c r="AO704" s="129"/>
      <c r="AP704" s="129"/>
      <c r="AQ704" s="129"/>
      <c r="AR704" s="129"/>
      <c r="AS704" s="129"/>
      <c r="AT704" s="129"/>
    </row>
    <row r="705" spans="21:46" s="21" customFormat="1"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121"/>
      <c r="AO705" s="129"/>
      <c r="AP705" s="129"/>
      <c r="AQ705" s="129"/>
      <c r="AR705" s="129"/>
      <c r="AS705" s="129"/>
      <c r="AT705" s="129"/>
    </row>
    <row r="706" spans="21:46" s="21" customFormat="1"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121"/>
      <c r="AO706" s="129"/>
      <c r="AP706" s="129"/>
      <c r="AQ706" s="129"/>
      <c r="AR706" s="129"/>
      <c r="AS706" s="129"/>
      <c r="AT706" s="129"/>
    </row>
    <row r="707" spans="21:46" s="21" customFormat="1"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121"/>
      <c r="AO707" s="129"/>
      <c r="AP707" s="129"/>
      <c r="AQ707" s="129"/>
      <c r="AR707" s="129"/>
      <c r="AS707" s="129"/>
      <c r="AT707" s="129"/>
    </row>
    <row r="708" spans="21:46" s="21" customFormat="1"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121"/>
      <c r="AO708" s="129"/>
      <c r="AP708" s="129"/>
      <c r="AQ708" s="129"/>
      <c r="AR708" s="129"/>
      <c r="AS708" s="129"/>
      <c r="AT708" s="129"/>
    </row>
    <row r="709" spans="21:46" s="21" customFormat="1"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121"/>
      <c r="AO709" s="129"/>
      <c r="AP709" s="129"/>
      <c r="AQ709" s="129"/>
      <c r="AR709" s="129"/>
      <c r="AS709" s="129"/>
      <c r="AT709" s="129"/>
    </row>
    <row r="710" spans="21:46" s="21" customFormat="1"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121"/>
      <c r="AO710" s="129"/>
      <c r="AP710" s="129"/>
      <c r="AQ710" s="129"/>
      <c r="AR710" s="129"/>
      <c r="AS710" s="129"/>
      <c r="AT710" s="129"/>
    </row>
    <row r="711" spans="21:46" s="21" customFormat="1"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121"/>
      <c r="AO711" s="129"/>
      <c r="AP711" s="129"/>
      <c r="AQ711" s="129"/>
      <c r="AR711" s="129"/>
      <c r="AS711" s="129"/>
      <c r="AT711" s="129"/>
    </row>
    <row r="712" spans="21:46" s="21" customFormat="1"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121"/>
      <c r="AO712" s="129"/>
      <c r="AP712" s="129"/>
      <c r="AQ712" s="129"/>
      <c r="AR712" s="129"/>
      <c r="AS712" s="129"/>
      <c r="AT712" s="129"/>
    </row>
    <row r="713" spans="21:46" s="21" customFormat="1"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121"/>
      <c r="AO713" s="129"/>
      <c r="AP713" s="129"/>
      <c r="AQ713" s="129"/>
      <c r="AR713" s="129"/>
      <c r="AS713" s="129"/>
      <c r="AT713" s="129"/>
    </row>
    <row r="714" spans="21:46" s="21" customFormat="1"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121"/>
      <c r="AO714" s="129"/>
      <c r="AP714" s="129"/>
      <c r="AQ714" s="129"/>
      <c r="AR714" s="129"/>
      <c r="AS714" s="129"/>
      <c r="AT714" s="129"/>
    </row>
    <row r="715" spans="21:46" s="21" customFormat="1"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121"/>
      <c r="AO715" s="129"/>
      <c r="AP715" s="129"/>
      <c r="AQ715" s="129"/>
      <c r="AR715" s="129"/>
      <c r="AS715" s="129"/>
      <c r="AT715" s="129"/>
    </row>
    <row r="716" spans="21:46" s="21" customFormat="1"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121"/>
      <c r="AO716" s="129"/>
      <c r="AP716" s="129"/>
      <c r="AQ716" s="129"/>
      <c r="AR716" s="129"/>
      <c r="AS716" s="129"/>
      <c r="AT716" s="129"/>
    </row>
    <row r="717" spans="21:46" s="21" customFormat="1"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121"/>
      <c r="AO717" s="129"/>
      <c r="AP717" s="129"/>
      <c r="AQ717" s="129"/>
      <c r="AR717" s="129"/>
      <c r="AS717" s="129"/>
      <c r="AT717" s="129"/>
    </row>
    <row r="718" spans="21:46" s="21" customFormat="1"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121"/>
      <c r="AO718" s="129"/>
      <c r="AP718" s="129"/>
      <c r="AQ718" s="129"/>
      <c r="AR718" s="129"/>
      <c r="AS718" s="129"/>
      <c r="AT718" s="129"/>
    </row>
    <row r="719" spans="21:46" s="21" customFormat="1"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121"/>
      <c r="AO719" s="129"/>
      <c r="AP719" s="129"/>
      <c r="AQ719" s="129"/>
      <c r="AR719" s="129"/>
      <c r="AS719" s="129"/>
      <c r="AT719" s="129"/>
    </row>
    <row r="720" spans="21:46" s="21" customFormat="1"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121"/>
      <c r="AO720" s="129"/>
      <c r="AP720" s="129"/>
      <c r="AQ720" s="129"/>
      <c r="AR720" s="129"/>
      <c r="AS720" s="129"/>
      <c r="AT720" s="129"/>
    </row>
    <row r="721" spans="21:46" s="21" customFormat="1"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121"/>
      <c r="AO721" s="129"/>
      <c r="AP721" s="129"/>
      <c r="AQ721" s="129"/>
      <c r="AR721" s="129"/>
      <c r="AS721" s="129"/>
      <c r="AT721" s="129"/>
    </row>
    <row r="722" spans="21:46" s="21" customFormat="1"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121"/>
      <c r="AO722" s="129"/>
      <c r="AP722" s="129"/>
      <c r="AQ722" s="129"/>
      <c r="AR722" s="129"/>
      <c r="AS722" s="129"/>
      <c r="AT722" s="129"/>
    </row>
    <row r="723" spans="21:46" s="21" customFormat="1"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121"/>
      <c r="AO723" s="129"/>
      <c r="AP723" s="129"/>
      <c r="AQ723" s="129"/>
      <c r="AR723" s="129"/>
      <c r="AS723" s="129"/>
      <c r="AT723" s="129"/>
    </row>
    <row r="724" spans="21:46" s="21" customFormat="1"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121"/>
      <c r="AO724" s="129"/>
      <c r="AP724" s="129"/>
      <c r="AQ724" s="129"/>
      <c r="AR724" s="129"/>
      <c r="AS724" s="129"/>
      <c r="AT724" s="129"/>
    </row>
    <row r="725" spans="21:46" s="21" customFormat="1"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121"/>
      <c r="AO725" s="129"/>
      <c r="AP725" s="129"/>
      <c r="AQ725" s="129"/>
      <c r="AR725" s="129"/>
      <c r="AS725" s="129"/>
      <c r="AT725" s="129"/>
    </row>
    <row r="726" spans="21:46" s="21" customFormat="1"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121"/>
      <c r="AO726" s="129"/>
      <c r="AP726" s="129"/>
      <c r="AQ726" s="129"/>
      <c r="AR726" s="129"/>
      <c r="AS726" s="129"/>
      <c r="AT726" s="129"/>
    </row>
    <row r="727" spans="21:46" s="21" customFormat="1"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121"/>
      <c r="AO727" s="129"/>
      <c r="AP727" s="129"/>
      <c r="AQ727" s="129"/>
      <c r="AR727" s="129"/>
      <c r="AS727" s="129"/>
      <c r="AT727" s="129"/>
    </row>
    <row r="728" spans="21:46" s="21" customFormat="1"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121"/>
      <c r="AO728" s="129"/>
      <c r="AP728" s="129"/>
      <c r="AQ728" s="129"/>
      <c r="AR728" s="129"/>
      <c r="AS728" s="129"/>
      <c r="AT728" s="129"/>
    </row>
    <row r="729" spans="21:46" s="21" customFormat="1"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121"/>
      <c r="AO729" s="129"/>
      <c r="AP729" s="129"/>
      <c r="AQ729" s="129"/>
      <c r="AR729" s="129"/>
      <c r="AS729" s="129"/>
      <c r="AT729" s="129"/>
    </row>
    <row r="730" spans="21:46" s="21" customFormat="1"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121"/>
      <c r="AO730" s="129"/>
      <c r="AP730" s="129"/>
      <c r="AQ730" s="129"/>
      <c r="AR730" s="129"/>
      <c r="AS730" s="129"/>
      <c r="AT730" s="129"/>
    </row>
    <row r="731" spans="21:46" s="21" customFormat="1"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121"/>
      <c r="AO731" s="129"/>
      <c r="AP731" s="129"/>
      <c r="AQ731" s="129"/>
      <c r="AR731" s="129"/>
      <c r="AS731" s="129"/>
      <c r="AT731" s="129"/>
    </row>
    <row r="732" spans="21:46" s="21" customFormat="1"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121"/>
      <c r="AO732" s="129"/>
      <c r="AP732" s="129"/>
      <c r="AQ732" s="129"/>
      <c r="AR732" s="129"/>
      <c r="AS732" s="129"/>
      <c r="AT732" s="129"/>
    </row>
  </sheetData>
  <sheetProtection password="CD0C" sheet="1" objects="1" scenarios="1" selectLockedCells="1"/>
  <mergeCells count="114">
    <mergeCell ref="AB23:AC23"/>
    <mergeCell ref="AD23:AE23"/>
    <mergeCell ref="AB26:AC26"/>
    <mergeCell ref="AD26:AE26"/>
    <mergeCell ref="AB29:AC29"/>
    <mergeCell ref="AD29:AE29"/>
    <mergeCell ref="AH28:AI28"/>
    <mergeCell ref="AJ28:AK28"/>
    <mergeCell ref="AB20:AC20"/>
    <mergeCell ref="AD20:AE20"/>
    <mergeCell ref="AH17:AI17"/>
    <mergeCell ref="AJ17:AK17"/>
    <mergeCell ref="AB22:AC22"/>
    <mergeCell ref="AD22:AE22"/>
    <mergeCell ref="AH20:AI20"/>
    <mergeCell ref="AJ20:AK20"/>
    <mergeCell ref="AB16:AC16"/>
    <mergeCell ref="AD16:AE16"/>
    <mergeCell ref="AB17:AC17"/>
    <mergeCell ref="AD17:AE17"/>
    <mergeCell ref="AB19:AC19"/>
    <mergeCell ref="AH16:AI16"/>
    <mergeCell ref="AJ16:AK16"/>
    <mergeCell ref="AJ30:AK30"/>
    <mergeCell ref="AH31:AI31"/>
    <mergeCell ref="AJ31:AK31"/>
    <mergeCell ref="AH29:AI29"/>
    <mergeCell ref="AJ29:AK29"/>
    <mergeCell ref="AH25:AI25"/>
    <mergeCell ref="AJ25:AK25"/>
    <mergeCell ref="AH19:AI19"/>
    <mergeCell ref="AJ19:AK19"/>
    <mergeCell ref="AH22:AI22"/>
    <mergeCell ref="AJ22:AK22"/>
    <mergeCell ref="AH23:AI23"/>
    <mergeCell ref="AJ23:AK23"/>
    <mergeCell ref="AH26:AI26"/>
    <mergeCell ref="AJ26:AK26"/>
    <mergeCell ref="AH14:AI14"/>
    <mergeCell ref="AJ14:AK14"/>
    <mergeCell ref="AA12:AK12"/>
    <mergeCell ref="M2:O2"/>
    <mergeCell ref="AD30:AE30"/>
    <mergeCell ref="AB31:AC31"/>
    <mergeCell ref="AD31:AE31"/>
    <mergeCell ref="V30:W30"/>
    <mergeCell ref="AB14:AC14"/>
    <mergeCell ref="AD14:AE14"/>
    <mergeCell ref="AD19:AE19"/>
    <mergeCell ref="AB25:AC25"/>
    <mergeCell ref="AD25:AE25"/>
    <mergeCell ref="AD28:AE28"/>
    <mergeCell ref="AB28:AC28"/>
    <mergeCell ref="AB30:AC30"/>
    <mergeCell ref="M29:N29"/>
    <mergeCell ref="T14:U14"/>
    <mergeCell ref="V14:W14"/>
    <mergeCell ref="O15:P15"/>
    <mergeCell ref="M15:N15"/>
    <mergeCell ref="Q15:R15"/>
    <mergeCell ref="T15:U15"/>
    <mergeCell ref="V15:W15"/>
    <mergeCell ref="Q14:R14"/>
    <mergeCell ref="T20:U20"/>
    <mergeCell ref="V20:W20"/>
    <mergeCell ref="V29:W29"/>
    <mergeCell ref="J29:K30"/>
    <mergeCell ref="Q29:U29"/>
    <mergeCell ref="M30:N30"/>
    <mergeCell ref="T19:U19"/>
    <mergeCell ref="V19:W19"/>
    <mergeCell ref="M20:N20"/>
    <mergeCell ref="O20:P20"/>
    <mergeCell ref="M19:N19"/>
    <mergeCell ref="O19:P19"/>
    <mergeCell ref="Q19:R19"/>
    <mergeCell ref="I19:L20"/>
    <mergeCell ref="J14:K15"/>
    <mergeCell ref="C28:F28"/>
    <mergeCell ref="Q20:R20"/>
    <mergeCell ref="V24:W24"/>
    <mergeCell ref="M25:N25"/>
    <mergeCell ref="O25:P25"/>
    <mergeCell ref="Q25:R25"/>
    <mergeCell ref="T25:U25"/>
    <mergeCell ref="V25:W25"/>
    <mergeCell ref="M24:N24"/>
    <mergeCell ref="O24:P24"/>
    <mergeCell ref="Q24:R24"/>
    <mergeCell ref="T24:U24"/>
    <mergeCell ref="J24:K25"/>
    <mergeCell ref="C2:F2"/>
    <mergeCell ref="J4:J5"/>
    <mergeCell ref="K4:K5"/>
    <mergeCell ref="L4:L5"/>
    <mergeCell ref="C15:F15"/>
    <mergeCell ref="H2:H11"/>
    <mergeCell ref="J2:L2"/>
    <mergeCell ref="N9:P9"/>
    <mergeCell ref="O10:P10"/>
    <mergeCell ref="M14:N14"/>
    <mergeCell ref="O14:P14"/>
    <mergeCell ref="Z9:AA9"/>
    <mergeCell ref="Z10:AA10"/>
    <mergeCell ref="N7:O7"/>
    <mergeCell ref="Z5:AA5"/>
    <mergeCell ref="Z8:AA8"/>
    <mergeCell ref="U4:AE4"/>
    <mergeCell ref="N4:P4"/>
    <mergeCell ref="R4:S4"/>
    <mergeCell ref="Z6:AA6"/>
    <mergeCell ref="Z7:AA7"/>
    <mergeCell ref="N6:O6"/>
    <mergeCell ref="N5:O5"/>
  </mergeCells>
  <conditionalFormatting sqref="A14:H32 I17:Q32 S17:Y32 R18:R32">
    <cfRule type="expression" dxfId="31" priority="9">
      <formula>$F$7="Estimation"</formula>
    </cfRule>
  </conditionalFormatting>
  <conditionalFormatting sqref="H13:Q17 S13:Y17 R13:R16">
    <cfRule type="expression" dxfId="30" priority="8">
      <formula>$F$7="Création"</formula>
    </cfRule>
  </conditionalFormatting>
  <conditionalFormatting sqref="A14:H32 H12:Q32 S12:Y32 R12:R16 R18:R32">
    <cfRule type="expression" dxfId="29" priority="7">
      <formula>$F$7=""</formula>
    </cfRule>
  </conditionalFormatting>
  <conditionalFormatting sqref="N9:P10">
    <cfRule type="expression" dxfId="28" priority="1">
      <formula>$F$4=""</formula>
    </cfRule>
    <cfRule type="expression" dxfId="27" priority="5">
      <formula>$F$4="Aventurier"</formula>
    </cfRule>
    <cfRule type="expression" dxfId="26" priority="2">
      <formula>$F$4="Duelliste"</formula>
    </cfRule>
    <cfRule type="expression" dxfId="25" priority="3">
      <formula>$F$4="Ouvrier"</formula>
    </cfRule>
  </conditionalFormatting>
  <dataValidations count="5">
    <dataValidation type="list" allowBlank="1" showInputMessage="1" showErrorMessage="1" sqref="F5">
      <formula1>AN19:AN21</formula1>
    </dataValidation>
    <dataValidation type="list" allowBlank="1" showInputMessage="1" showErrorMessage="1" sqref="F7">
      <formula1>$AN$4:$AN$6</formula1>
    </dataValidation>
    <dataValidation type="list" allowBlank="1" showInputMessage="1" showErrorMessage="1" sqref="F4">
      <formula1>$AN$7:$AN$11</formula1>
    </dataValidation>
    <dataValidation type="whole" allowBlank="1" showInputMessage="1" showErrorMessage="1" sqref="F6">
      <formula1>1</formula1>
      <formula2>150</formula2>
    </dataValidation>
    <dataValidation type="list" showInputMessage="1" showErrorMessage="1" sqref="M2:O2">
      <formula1>"GRAND FORT,MOYEN FORT,PETIT FORT"</formula1>
    </dataValidation>
  </dataValidations>
  <pageMargins left="0.7" right="0.7" top="0.75" bottom="0.75" header="0.3" footer="0.3"/>
  <pageSetup paperSize="9" orientation="portrait" r:id="rId1"/>
  <headerFooter>
    <oddFooter>&amp;L&amp;1#&amp;"Calibri"&amp;10&amp;KC8DE09Diffusable SNCF RESEAU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V18"/>
  <sheetViews>
    <sheetView workbookViewId="0">
      <selection activeCell="F4" sqref="F4"/>
    </sheetView>
  </sheetViews>
  <sheetFormatPr baseColWidth="10" defaultRowHeight="15"/>
  <cols>
    <col min="1" max="1" width="1.7109375" style="139" customWidth="1"/>
    <col min="2" max="2" width="2.7109375" style="139" customWidth="1"/>
    <col min="3" max="5" width="11.42578125" style="139"/>
    <col min="6" max="6" width="6.7109375" style="139" customWidth="1"/>
    <col min="7" max="7" width="7.7109375" style="139" customWidth="1"/>
    <col min="8" max="8" width="3.7109375" style="139" customWidth="1"/>
    <col min="9" max="9" width="1.85546875" style="139" customWidth="1"/>
    <col min="10" max="10" width="4.85546875" style="139" customWidth="1"/>
    <col min="11" max="11" width="5.85546875" style="139" customWidth="1"/>
    <col min="12" max="12" width="6.140625" style="139" customWidth="1"/>
    <col min="13" max="13" width="12.5703125" style="139" customWidth="1"/>
    <col min="14" max="14" width="1.85546875" style="139" customWidth="1"/>
    <col min="15" max="15" width="11.42578125" style="176"/>
    <col min="16" max="16384" width="11.42578125" style="139"/>
  </cols>
  <sheetData>
    <row r="1" spans="2:22" ht="15.75" thickBot="1">
      <c r="H1" s="142"/>
      <c r="I1" s="142"/>
      <c r="J1" s="142"/>
      <c r="K1" s="142"/>
      <c r="L1" s="142"/>
      <c r="M1" s="142"/>
      <c r="N1" s="142"/>
      <c r="O1" s="175"/>
      <c r="P1" s="173"/>
      <c r="Q1" s="173"/>
    </row>
    <row r="2" spans="2:22">
      <c r="B2" s="156"/>
      <c r="C2" s="682" t="s">
        <v>91</v>
      </c>
      <c r="D2" s="682"/>
      <c r="E2" s="682"/>
      <c r="F2" s="682"/>
      <c r="G2" s="148"/>
      <c r="H2" s="142"/>
      <c r="I2" s="147"/>
      <c r="J2" s="682" t="s">
        <v>93</v>
      </c>
      <c r="K2" s="682"/>
      <c r="L2" s="682"/>
      <c r="M2" s="682"/>
      <c r="N2" s="148"/>
      <c r="O2" s="175"/>
      <c r="P2" s="173"/>
      <c r="Q2" s="173"/>
    </row>
    <row r="3" spans="2:22">
      <c r="B3" s="157"/>
      <c r="C3" s="145"/>
      <c r="D3" s="145"/>
      <c r="E3" s="145"/>
      <c r="F3" s="145"/>
      <c r="G3" s="150"/>
      <c r="H3" s="142"/>
      <c r="I3" s="149"/>
      <c r="J3" s="145"/>
      <c r="K3" s="145"/>
      <c r="L3" s="145"/>
      <c r="M3" s="145"/>
      <c r="N3" s="150"/>
      <c r="O3" s="175"/>
      <c r="P3" s="173"/>
      <c r="Q3" s="173"/>
    </row>
    <row r="4" spans="2:22">
      <c r="B4" s="157"/>
      <c r="C4" s="145" t="s">
        <v>88</v>
      </c>
      <c r="D4" s="145"/>
      <c r="E4" s="145"/>
      <c r="F4" s="161">
        <v>30</v>
      </c>
      <c r="G4" s="150"/>
      <c r="H4" s="142"/>
      <c r="I4" s="149"/>
      <c r="J4" s="151" t="s">
        <v>90</v>
      </c>
      <c r="K4" s="174">
        <f>IF('| BdF | Créat. &amp; Estim. BuildAF'!F7="Estimation",'| BdF | Créat. &amp; Estim. BuildAF'!L15,'| BdF | Créat. &amp; Estim. BuildAF'!L25)</f>
        <v>13630</v>
      </c>
      <c r="L4" s="145" t="s">
        <v>87</v>
      </c>
      <c r="M4" s="159"/>
      <c r="N4" s="150"/>
      <c r="O4" s="175"/>
      <c r="P4" s="175"/>
      <c r="Q4" s="173"/>
    </row>
    <row r="5" spans="2:22">
      <c r="B5" s="157"/>
      <c r="C5" s="159"/>
      <c r="D5" s="159"/>
      <c r="E5" s="159"/>
      <c r="F5" s="159"/>
      <c r="G5" s="150"/>
      <c r="H5" s="142"/>
      <c r="I5" s="149"/>
      <c r="J5" s="145"/>
      <c r="K5" s="145"/>
      <c r="L5" s="145"/>
      <c r="M5" s="145"/>
      <c r="N5" s="150"/>
      <c r="O5" s="175"/>
      <c r="P5" s="173"/>
      <c r="Q5" s="173"/>
    </row>
    <row r="6" spans="2:22">
      <c r="B6" s="144"/>
      <c r="C6" s="145" t="s">
        <v>89</v>
      </c>
      <c r="D6" s="145"/>
      <c r="E6" s="145"/>
      <c r="F6" s="161">
        <v>500</v>
      </c>
      <c r="G6" s="160"/>
      <c r="H6" s="142"/>
      <c r="I6" s="149"/>
      <c r="J6" s="695" t="s">
        <v>102</v>
      </c>
      <c r="K6" s="696"/>
      <c r="L6" s="696"/>
      <c r="M6" s="697"/>
      <c r="N6" s="150"/>
      <c r="O6" s="175"/>
      <c r="P6" s="173"/>
      <c r="Q6" s="173"/>
      <c r="R6" s="142"/>
      <c r="S6" s="176"/>
      <c r="T6" s="142"/>
    </row>
    <row r="7" spans="2:22">
      <c r="B7" s="144"/>
      <c r="C7" s="159"/>
      <c r="D7" s="159"/>
      <c r="E7" s="159"/>
      <c r="F7" s="159"/>
      <c r="G7" s="160"/>
      <c r="H7" s="142"/>
      <c r="I7" s="149"/>
      <c r="J7" s="146">
        <f>K4/(F6+K4*F4*0.0002-'| BdF | Créat. &amp; Estim. BuildAF'!J7)</f>
        <v>33.664923930825459</v>
      </c>
      <c r="K7" s="702" t="s">
        <v>94</v>
      </c>
      <c r="L7" s="702"/>
      <c r="M7" s="703"/>
      <c r="N7" s="150"/>
      <c r="O7" s="175"/>
      <c r="P7" s="173"/>
      <c r="Q7" s="173"/>
      <c r="R7" s="142"/>
      <c r="S7" s="176"/>
      <c r="T7" s="142"/>
    </row>
    <row r="8" spans="2:22">
      <c r="B8" s="144"/>
      <c r="C8" s="163" t="s">
        <v>95</v>
      </c>
      <c r="D8" s="159"/>
      <c r="E8" s="159"/>
      <c r="F8" s="161">
        <v>750</v>
      </c>
      <c r="G8" s="160"/>
      <c r="H8" s="142"/>
      <c r="I8" s="149"/>
      <c r="J8" s="687" t="s">
        <v>103</v>
      </c>
      <c r="K8" s="704"/>
      <c r="L8" s="704"/>
      <c r="M8" s="705"/>
      <c r="N8" s="150"/>
      <c r="O8" s="175"/>
      <c r="P8" s="173"/>
      <c r="Q8" s="173"/>
      <c r="R8" s="142"/>
      <c r="S8" s="176"/>
      <c r="T8" s="142"/>
    </row>
    <row r="9" spans="2:22" ht="15.75" thickBot="1">
      <c r="B9" s="158"/>
      <c r="C9" s="154"/>
      <c r="D9" s="154"/>
      <c r="E9" s="154"/>
      <c r="F9" s="154"/>
      <c r="G9" s="155"/>
      <c r="H9" s="142"/>
      <c r="I9" s="149"/>
      <c r="J9" s="152">
        <f>K4/(F6+K4*F4*0.0002-'| BdF | Créat. &amp; Estim. BuildAF'!J10)</f>
        <v>33.921250624964465</v>
      </c>
      <c r="K9" s="700" t="s">
        <v>94</v>
      </c>
      <c r="L9" s="700"/>
      <c r="M9" s="701"/>
      <c r="N9" s="150"/>
      <c r="O9" s="175"/>
      <c r="P9" s="173"/>
      <c r="Q9" s="173"/>
      <c r="T9" s="142"/>
    </row>
    <row r="10" spans="2:22">
      <c r="H10" s="142"/>
      <c r="I10" s="149"/>
      <c r="J10" s="145"/>
      <c r="K10" s="145"/>
      <c r="L10" s="145"/>
      <c r="M10" s="145"/>
      <c r="N10" s="150"/>
      <c r="O10" s="175"/>
      <c r="P10" s="173"/>
      <c r="Q10" s="184"/>
      <c r="R10" s="185"/>
      <c r="S10" s="185"/>
      <c r="T10" s="185"/>
      <c r="U10" s="186"/>
      <c r="V10" s="186"/>
    </row>
    <row r="11" spans="2:22">
      <c r="H11" s="142"/>
      <c r="I11" s="162"/>
      <c r="J11" s="692" t="s">
        <v>96</v>
      </c>
      <c r="K11" s="692"/>
      <c r="L11" s="180">
        <f>ROUNDDOWN(K4*0.33,0)</f>
        <v>4497</v>
      </c>
      <c r="M11" s="181" t="s">
        <v>97</v>
      </c>
      <c r="N11" s="160"/>
      <c r="P11" s="173"/>
      <c r="Q11" s="184"/>
      <c r="R11" s="185"/>
      <c r="S11" s="693"/>
      <c r="T11" s="693"/>
      <c r="U11" s="693"/>
      <c r="V11" s="186"/>
    </row>
    <row r="12" spans="2:22">
      <c r="H12" s="142"/>
      <c r="I12" s="162"/>
      <c r="J12" s="694" t="s">
        <v>98</v>
      </c>
      <c r="K12" s="694"/>
      <c r="L12" s="694"/>
      <c r="M12" s="694"/>
      <c r="N12" s="160"/>
      <c r="P12" s="173"/>
      <c r="Q12" s="184"/>
      <c r="R12" s="185"/>
      <c r="S12" s="693"/>
      <c r="T12" s="693"/>
      <c r="U12" s="693"/>
      <c r="V12" s="186"/>
    </row>
    <row r="13" spans="2:22">
      <c r="H13" s="142"/>
      <c r="I13" s="162"/>
      <c r="J13" s="163"/>
      <c r="K13" s="164"/>
      <c r="L13" s="164"/>
      <c r="M13" s="165"/>
      <c r="N13" s="160"/>
      <c r="P13" s="173"/>
      <c r="Q13" s="184"/>
      <c r="R13" s="185"/>
      <c r="S13" s="185"/>
      <c r="T13" s="187"/>
      <c r="U13" s="188"/>
      <c r="V13" s="186"/>
    </row>
    <row r="14" spans="2:22" ht="15" customHeight="1">
      <c r="C14" s="142"/>
      <c r="D14" s="142"/>
      <c r="E14" s="142"/>
      <c r="F14" s="142"/>
      <c r="G14" s="142"/>
      <c r="H14" s="143"/>
      <c r="I14" s="144"/>
      <c r="J14" s="695" t="s">
        <v>100</v>
      </c>
      <c r="K14" s="696"/>
      <c r="L14" s="696"/>
      <c r="M14" s="697"/>
      <c r="N14" s="160"/>
      <c r="O14" s="194">
        <f>F8+(0.1*K4)</f>
        <v>2113</v>
      </c>
      <c r="P14" s="173"/>
      <c r="Q14" s="184"/>
      <c r="R14" s="186"/>
      <c r="S14" s="189"/>
      <c r="T14" s="189"/>
      <c r="U14" s="189"/>
      <c r="V14" s="186"/>
    </row>
    <row r="15" spans="2:22" ht="15.75" thickBot="1">
      <c r="C15" s="142"/>
      <c r="D15" s="142"/>
      <c r="E15" s="142"/>
      <c r="F15" s="142"/>
      <c r="G15" s="142"/>
      <c r="H15" s="143"/>
      <c r="I15" s="166"/>
      <c r="J15" s="698">
        <f>IF(L11&lt;O14,L11,O14-'| BdF | Créat. &amp; Estim. BuildAF'!J7)</f>
        <v>1936.092443140132</v>
      </c>
      <c r="K15" s="699"/>
      <c r="L15" s="178" t="s">
        <v>99</v>
      </c>
      <c r="M15" s="182"/>
      <c r="N15" s="160"/>
      <c r="P15" s="173"/>
      <c r="Q15" s="184"/>
      <c r="R15" s="190"/>
      <c r="S15" s="191"/>
      <c r="T15" s="192"/>
      <c r="U15" s="193"/>
      <c r="V15" s="186"/>
    </row>
    <row r="16" spans="2:22">
      <c r="B16" s="681" t="s">
        <v>161</v>
      </c>
      <c r="C16" s="682"/>
      <c r="D16" s="682"/>
      <c r="E16" s="682"/>
      <c r="F16" s="682"/>
      <c r="G16" s="683"/>
      <c r="I16" s="144"/>
      <c r="J16" s="687" t="s">
        <v>101</v>
      </c>
      <c r="K16" s="688"/>
      <c r="L16" s="688"/>
      <c r="M16" s="689"/>
      <c r="N16" s="160"/>
      <c r="P16" s="173"/>
      <c r="Q16" s="184"/>
      <c r="R16" s="189"/>
      <c r="S16" s="189"/>
      <c r="T16" s="189"/>
      <c r="U16" s="189"/>
      <c r="V16" s="189"/>
    </row>
    <row r="17" spans="2:22" ht="15.75" thickBot="1">
      <c r="B17" s="684"/>
      <c r="C17" s="685"/>
      <c r="D17" s="685"/>
      <c r="E17" s="685"/>
      <c r="F17" s="685"/>
      <c r="G17" s="686"/>
      <c r="I17" s="144"/>
      <c r="J17" s="690">
        <f>IF(L11&lt;O14,L11,O14-'| BdF | Créat. &amp; Estim. BuildAF'!J10)</f>
        <v>1933.0330154071901</v>
      </c>
      <c r="K17" s="691"/>
      <c r="L17" s="179" t="s">
        <v>99</v>
      </c>
      <c r="M17" s="183"/>
      <c r="N17" s="160"/>
      <c r="P17" s="173"/>
      <c r="Q17" s="184"/>
      <c r="R17" s="186"/>
      <c r="S17" s="186"/>
      <c r="T17" s="186"/>
      <c r="U17" s="186"/>
      <c r="V17" s="186"/>
    </row>
    <row r="18" spans="2:22" ht="15.75" thickBot="1">
      <c r="C18" s="142"/>
      <c r="D18" s="142"/>
      <c r="E18" s="142"/>
      <c r="F18" s="142"/>
      <c r="G18" s="142"/>
      <c r="I18" s="153"/>
      <c r="J18" s="177"/>
      <c r="K18" s="177"/>
      <c r="L18" s="177"/>
      <c r="M18" s="177"/>
      <c r="N18" s="155"/>
    </row>
  </sheetData>
  <sheetProtection password="CD0C" sheet="1" objects="1" scenarios="1" selectLockedCells="1"/>
  <mergeCells count="15">
    <mergeCell ref="B16:G17"/>
    <mergeCell ref="J17:K17"/>
    <mergeCell ref="J14:M14"/>
    <mergeCell ref="J16:M16"/>
    <mergeCell ref="J15:K15"/>
    <mergeCell ref="S11:U11"/>
    <mergeCell ref="S12:U12"/>
    <mergeCell ref="J11:K11"/>
    <mergeCell ref="J12:M12"/>
    <mergeCell ref="K9:M9"/>
    <mergeCell ref="J2:M2"/>
    <mergeCell ref="C2:F2"/>
    <mergeCell ref="J6:M6"/>
    <mergeCell ref="J8:M8"/>
    <mergeCell ref="K7:M7"/>
  </mergeCells>
  <pageMargins left="0.7" right="0.7" top="0.75" bottom="0.75" header="0.3" footer="0.3"/>
  <pageSetup paperSize="9" orientation="portrait" r:id="rId1"/>
  <headerFooter>
    <oddFooter>&amp;L&amp;1#&amp;"Calibri"&amp;10&amp;KC8DE09Diffusable SNCF RESEAU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:I21"/>
  <sheetViews>
    <sheetView workbookViewId="0">
      <selection activeCell="D11" sqref="D11"/>
    </sheetView>
  </sheetViews>
  <sheetFormatPr baseColWidth="10" defaultRowHeight="15"/>
  <cols>
    <col min="1" max="1" width="3.42578125" style="430" customWidth="1"/>
    <col min="2" max="2" width="15.28515625" style="430" customWidth="1"/>
    <col min="3" max="3" width="2.42578125" style="430" customWidth="1"/>
    <col min="4" max="4" width="11.42578125" style="430"/>
    <col min="5" max="5" width="2.42578125" style="430" customWidth="1"/>
    <col min="6" max="6" width="4.28515625" style="430" customWidth="1"/>
    <col min="7" max="16384" width="11.42578125" style="430"/>
  </cols>
  <sheetData>
    <row r="1" spans="2:9" ht="54.75" customHeight="1" thickBot="1"/>
    <row r="2" spans="2:9" ht="27" customHeight="1" thickBot="1">
      <c r="B2" s="748" t="s">
        <v>206</v>
      </c>
      <c r="C2" s="749"/>
      <c r="D2" s="749"/>
      <c r="E2" s="750"/>
    </row>
    <row r="3" spans="2:9" ht="15.75" thickBot="1">
      <c r="H3" s="437"/>
    </row>
    <row r="4" spans="2:9">
      <c r="B4" s="751" t="s">
        <v>197</v>
      </c>
      <c r="C4" s="752"/>
      <c r="D4" s="752"/>
      <c r="E4" s="753"/>
      <c r="H4" s="437"/>
    </row>
    <row r="5" spans="2:9">
      <c r="B5" s="144"/>
      <c r="C5" s="159"/>
      <c r="D5" s="159"/>
      <c r="E5" s="160"/>
      <c r="H5" s="435"/>
      <c r="I5" s="435"/>
    </row>
    <row r="6" spans="2:9">
      <c r="B6" s="431" t="s">
        <v>198</v>
      </c>
      <c r="C6" s="432"/>
      <c r="D6" s="438" t="s">
        <v>200</v>
      </c>
      <c r="E6" s="160"/>
      <c r="H6" s="435">
        <f>IF(D6="Classique",1,3.33)</f>
        <v>1</v>
      </c>
      <c r="I6" s="435"/>
    </row>
    <row r="7" spans="2:9">
      <c r="B7" s="431" t="s">
        <v>195</v>
      </c>
      <c r="C7" s="432"/>
      <c r="D7" s="438" t="s">
        <v>59</v>
      </c>
      <c r="E7" s="160"/>
      <c r="H7" s="435">
        <f>IF(D13="Oui",2,IF(D7="Duelliste",IF(D12="Oui",1.2,1.1),1))</f>
        <v>1</v>
      </c>
      <c r="I7" s="435"/>
    </row>
    <row r="8" spans="2:9">
      <c r="B8" s="431" t="s">
        <v>196</v>
      </c>
      <c r="C8" s="432"/>
      <c r="D8" s="438">
        <v>25</v>
      </c>
      <c r="E8" s="160"/>
      <c r="H8" s="435">
        <f>D8</f>
        <v>25</v>
      </c>
      <c r="I8" s="435"/>
    </row>
    <row r="9" spans="2:9">
      <c r="B9" s="431" t="s">
        <v>199</v>
      </c>
      <c r="C9" s="432"/>
      <c r="D9" s="438">
        <v>0</v>
      </c>
      <c r="E9" s="160"/>
      <c r="H9" s="435">
        <f>D9</f>
        <v>0</v>
      </c>
      <c r="I9" s="435"/>
    </row>
    <row r="10" spans="2:9">
      <c r="B10" s="162" t="s">
        <v>201</v>
      </c>
      <c r="C10" s="159"/>
      <c r="D10" s="438">
        <v>0</v>
      </c>
      <c r="E10" s="160"/>
      <c r="H10" s="435">
        <f>D10</f>
        <v>0</v>
      </c>
      <c r="I10" s="435"/>
    </row>
    <row r="11" spans="2:9">
      <c r="B11" s="162" t="s">
        <v>202</v>
      </c>
      <c r="C11" s="159"/>
      <c r="D11" s="438">
        <v>0</v>
      </c>
      <c r="E11" s="160"/>
      <c r="H11" s="435">
        <f>D11</f>
        <v>0</v>
      </c>
      <c r="I11" s="435"/>
    </row>
    <row r="12" spans="2:9">
      <c r="B12" s="162" t="s">
        <v>204</v>
      </c>
      <c r="C12" s="159"/>
      <c r="D12" s="438" t="s">
        <v>64</v>
      </c>
      <c r="E12" s="160"/>
      <c r="H12" s="436">
        <f>ROUND((100+H8+H11)*((100+H10+H9)/100)*H7*H6,0)</f>
        <v>125</v>
      </c>
      <c r="I12" s="435"/>
    </row>
    <row r="13" spans="2:9">
      <c r="B13" s="162" t="s">
        <v>205</v>
      </c>
      <c r="C13" s="159"/>
      <c r="D13" s="438" t="s">
        <v>64</v>
      </c>
      <c r="E13" s="160"/>
      <c r="H13" s="436">
        <f>ROUND(H12/25,0)</f>
        <v>5</v>
      </c>
      <c r="I13" s="435"/>
    </row>
    <row r="14" spans="2:9" ht="15.75" thickBot="1">
      <c r="B14" s="433"/>
      <c r="C14" s="177"/>
      <c r="D14" s="177"/>
      <c r="E14" s="434"/>
      <c r="H14" s="437"/>
    </row>
    <row r="15" spans="2:9" ht="15.75" thickBot="1"/>
    <row r="16" spans="2:9">
      <c r="B16" s="754" t="s">
        <v>203</v>
      </c>
      <c r="C16" s="755"/>
      <c r="D16" s="755"/>
      <c r="E16" s="756"/>
    </row>
    <row r="17" spans="2:5">
      <c r="B17" s="757"/>
      <c r="C17" s="758"/>
      <c r="D17" s="758"/>
      <c r="E17" s="759"/>
    </row>
    <row r="18" spans="2:5" ht="6.75" customHeight="1">
      <c r="B18" s="144"/>
      <c r="C18" s="159"/>
      <c r="D18" s="159"/>
      <c r="E18" s="160"/>
    </row>
    <row r="19" spans="2:5" ht="18.75">
      <c r="B19" s="760" t="str">
        <f>H12&amp; " %"</f>
        <v>125 %</v>
      </c>
      <c r="C19" s="761"/>
      <c r="D19" s="761"/>
      <c r="E19" s="762"/>
    </row>
    <row r="20" spans="2:5" ht="18.75">
      <c r="B20" s="760" t="str">
        <f>H13&amp; " mph"</f>
        <v>5 mph</v>
      </c>
      <c r="C20" s="761"/>
      <c r="D20" s="761"/>
      <c r="E20" s="762"/>
    </row>
    <row r="21" spans="2:5" ht="11.25" customHeight="1" thickBot="1">
      <c r="B21" s="433"/>
      <c r="C21" s="177"/>
      <c r="D21" s="177"/>
      <c r="E21" s="434"/>
    </row>
  </sheetData>
  <sheetProtection password="CD0C" sheet="1" objects="1" scenarios="1" selectLockedCells="1"/>
  <mergeCells count="5">
    <mergeCell ref="B2:E2"/>
    <mergeCell ref="B4:E4"/>
    <mergeCell ref="B16:E17"/>
    <mergeCell ref="B19:E19"/>
    <mergeCell ref="B20:E20"/>
  </mergeCells>
  <dataValidations count="3">
    <dataValidation type="list" showInputMessage="1" showErrorMessage="1" sqref="D6">
      <formula1>" ,Classique,Speed"</formula1>
    </dataValidation>
    <dataValidation type="list" showInputMessage="1" showErrorMessage="1" sqref="D7">
      <formula1>"Aventurier,Duelliste,Ouvrier,Soldat"</formula1>
    </dataValidation>
    <dataValidation type="list" showInputMessage="1" showErrorMessage="1" sqref="D12 D13">
      <formula1>"Oui,Non"</formula1>
    </dataValidation>
  </dataValidations>
  <pageMargins left="0.7" right="0.7" top="0.75" bottom="0.75" header="0.3" footer="0.3"/>
  <pageSetup paperSize="9" orientation="portrait" r:id="rId1"/>
  <headerFooter>
    <oddFooter>&amp;L&amp;1#&amp;"Calibri"&amp;10&amp;KC8DE09Diffusable SNCF RESEAU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X36"/>
  <sheetViews>
    <sheetView workbookViewId="0">
      <pane xSplit="22" ySplit="5" topLeftCell="W6" activePane="bottomRight" state="frozen"/>
      <selection pane="topRight" activeCell="W1" sqref="W1"/>
      <selection pane="bottomLeft" activeCell="A7" sqref="A7"/>
      <selection pane="bottomRight" activeCell="G2" sqref="G2"/>
    </sheetView>
  </sheetViews>
  <sheetFormatPr baseColWidth="10" defaultRowHeight="15"/>
  <cols>
    <col min="1" max="1" width="16.7109375" style="430" customWidth="1"/>
    <col min="2" max="21" width="6.28515625" style="430" customWidth="1"/>
    <col min="22" max="22" width="3.28515625" style="430" customWidth="1"/>
    <col min="23" max="16384" width="11.42578125" style="430"/>
  </cols>
  <sheetData>
    <row r="1" spans="1:24" ht="15.75" thickBot="1"/>
    <row r="2" spans="1:24">
      <c r="A2" s="463" t="s">
        <v>241</v>
      </c>
      <c r="B2" s="471">
        <v>15370</v>
      </c>
      <c r="C2" s="458"/>
      <c r="D2" s="763" t="s">
        <v>219</v>
      </c>
      <c r="E2" s="763"/>
      <c r="F2" s="763"/>
      <c r="G2" s="473">
        <v>1</v>
      </c>
      <c r="H2" s="458"/>
      <c r="I2" s="763" t="s">
        <v>243</v>
      </c>
      <c r="J2" s="763"/>
      <c r="K2" s="763"/>
      <c r="L2" s="475" t="s">
        <v>152</v>
      </c>
    </row>
    <row r="3" spans="1:24" ht="15.75" thickBot="1">
      <c r="A3" s="464" t="s">
        <v>218</v>
      </c>
      <c r="B3" s="472">
        <v>4028</v>
      </c>
      <c r="C3" s="177"/>
      <c r="D3" s="764" t="s">
        <v>242</v>
      </c>
      <c r="E3" s="764"/>
      <c r="F3" s="764"/>
      <c r="G3" s="474">
        <f>145+70+25</f>
        <v>240</v>
      </c>
      <c r="H3" s="478">
        <f>IF(L2="NON",1+(G3/100),1.5+(G3/100))</f>
        <v>3.4</v>
      </c>
      <c r="I3" s="177"/>
      <c r="J3" s="177"/>
      <c r="K3" s="177"/>
      <c r="L3" s="434"/>
    </row>
    <row r="4" spans="1:24" ht="15.75" thickBot="1"/>
    <row r="5" spans="1:24" ht="15.75" thickBot="1">
      <c r="A5" s="459"/>
      <c r="B5" s="460"/>
      <c r="C5" s="461" t="s">
        <v>220</v>
      </c>
      <c r="D5" s="461" t="s">
        <v>221</v>
      </c>
      <c r="E5" s="461" t="s">
        <v>222</v>
      </c>
      <c r="F5" s="470" t="s">
        <v>223</v>
      </c>
      <c r="G5" s="461" t="s">
        <v>224</v>
      </c>
      <c r="H5" s="461" t="s">
        <v>227</v>
      </c>
      <c r="I5" s="470" t="s">
        <v>228</v>
      </c>
      <c r="J5" s="461" t="s">
        <v>229</v>
      </c>
      <c r="K5" s="470" t="s">
        <v>230</v>
      </c>
      <c r="L5" s="461" t="s">
        <v>231</v>
      </c>
      <c r="M5" s="470" t="s">
        <v>232</v>
      </c>
      <c r="N5" s="461" t="s">
        <v>233</v>
      </c>
      <c r="O5" s="470" t="s">
        <v>234</v>
      </c>
      <c r="P5" s="461" t="s">
        <v>235</v>
      </c>
      <c r="Q5" s="470" t="s">
        <v>236</v>
      </c>
      <c r="R5" s="461" t="s">
        <v>237</v>
      </c>
      <c r="S5" s="470" t="s">
        <v>238</v>
      </c>
      <c r="T5" s="461" t="s">
        <v>239</v>
      </c>
      <c r="U5" s="470" t="s">
        <v>240</v>
      </c>
      <c r="V5" s="462"/>
    </row>
    <row r="6" spans="1:24">
      <c r="A6" s="765" t="s">
        <v>244</v>
      </c>
      <c r="B6" s="766"/>
      <c r="C6" s="477">
        <f>F6*0.25*H3</f>
        <v>8.67</v>
      </c>
      <c r="D6" s="477">
        <f>F6*0.5*H3</f>
        <v>17.34</v>
      </c>
      <c r="E6" s="477">
        <f>F6*0.75*H3</f>
        <v>26.009999999999998</v>
      </c>
      <c r="F6" s="476">
        <f>3*H3</f>
        <v>10.199999999999999</v>
      </c>
      <c r="G6" s="477">
        <f>F6*1.25*H3</f>
        <v>43.35</v>
      </c>
      <c r="H6" s="477">
        <f>F6*1.5*H3</f>
        <v>52.019999999999996</v>
      </c>
      <c r="I6" s="476">
        <f>F6*2*H3</f>
        <v>69.36</v>
      </c>
      <c r="J6" s="477">
        <f>F6*2.5*H3</f>
        <v>86.7</v>
      </c>
      <c r="K6" s="476">
        <f>F6*3*H3</f>
        <v>104.03999999999999</v>
      </c>
      <c r="L6" s="477">
        <f>F6*3.5*H3</f>
        <v>121.37999999999998</v>
      </c>
      <c r="M6" s="476">
        <f>F6*4*H3</f>
        <v>138.72</v>
      </c>
      <c r="N6" s="477">
        <f>F6*4.5*H3</f>
        <v>156.06</v>
      </c>
      <c r="O6" s="476">
        <f>F6*5*H3</f>
        <v>173.4</v>
      </c>
      <c r="P6" s="477">
        <f>F6*5.5*H3</f>
        <v>190.73999999999998</v>
      </c>
      <c r="Q6" s="476">
        <f>F6*6*H3</f>
        <v>208.07999999999998</v>
      </c>
      <c r="R6" s="477">
        <f>F6*6.5*H3</f>
        <v>225.42</v>
      </c>
      <c r="S6" s="476">
        <f>F6*7*H3</f>
        <v>242.75999999999996</v>
      </c>
      <c r="T6" s="477">
        <f>F6*7.5*H3</f>
        <v>260.09999999999997</v>
      </c>
      <c r="U6" s="476">
        <f>F6*8*H3</f>
        <v>277.44</v>
      </c>
      <c r="V6" s="457" t="s">
        <v>216</v>
      </c>
    </row>
    <row r="7" spans="1:24" ht="15.75" thickBot="1">
      <c r="A7" s="767"/>
      <c r="B7" s="768"/>
      <c r="C7" s="466">
        <f>F7*0.25*H3</f>
        <v>1332.5789999999997</v>
      </c>
      <c r="D7" s="466">
        <f>F7*0.5*H3</f>
        <v>2665.1579999999994</v>
      </c>
      <c r="E7" s="466">
        <f>F7*0.75*H3</f>
        <v>3997.7369999999992</v>
      </c>
      <c r="F7" s="469">
        <f>B2*0.03*H3</f>
        <v>1567.7399999999998</v>
      </c>
      <c r="G7" s="466">
        <f>F7*1.25*H3</f>
        <v>6662.8949999999986</v>
      </c>
      <c r="H7" s="466">
        <f>F7*1.5*H3</f>
        <v>7995.4739999999983</v>
      </c>
      <c r="I7" s="469">
        <f>F7*2*H3</f>
        <v>10660.631999999998</v>
      </c>
      <c r="J7" s="466">
        <f>F7*2.5*H3</f>
        <v>13325.789999999997</v>
      </c>
      <c r="K7" s="469">
        <f>F7*3*H3</f>
        <v>15990.947999999997</v>
      </c>
      <c r="L7" s="466">
        <f>F7*3.5*H3</f>
        <v>18656.105999999996</v>
      </c>
      <c r="M7" s="469">
        <f>F7*4*H3</f>
        <v>21321.263999999996</v>
      </c>
      <c r="N7" s="466">
        <f>F7*4.5*H3</f>
        <v>23986.421999999995</v>
      </c>
      <c r="O7" s="469">
        <f>F7*5*H3</f>
        <v>26651.579999999994</v>
      </c>
      <c r="P7" s="466">
        <f>F7*5.5*H3</f>
        <v>29316.737999999998</v>
      </c>
      <c r="Q7" s="469">
        <f>F7*6*H3</f>
        <v>31981.895999999993</v>
      </c>
      <c r="R7" s="466">
        <f>F7*6.5*H3</f>
        <v>34647.053999999989</v>
      </c>
      <c r="S7" s="469">
        <f>F7*7*H3</f>
        <v>37312.211999999992</v>
      </c>
      <c r="T7" s="466">
        <f>F7*7.5*H3</f>
        <v>39977.369999999995</v>
      </c>
      <c r="U7" s="469">
        <f>F7*8*H3</f>
        <v>42642.527999999991</v>
      </c>
      <c r="V7" s="467" t="s">
        <v>87</v>
      </c>
      <c r="X7" s="455"/>
    </row>
    <row r="8" spans="1:24" ht="15.75" thickBot="1"/>
    <row r="9" spans="1:24">
      <c r="A9" s="771" t="s">
        <v>225</v>
      </c>
      <c r="B9" s="774" t="s">
        <v>215</v>
      </c>
      <c r="C9" s="477">
        <f>IF(ROUNDDOWN(F9*0.25,0)+$G$2*$H$3&gt;U9,U9,(ROUNDDOWN(F9*0.25,0)+$G$2*$H$3))</f>
        <v>6.4</v>
      </c>
      <c r="D9" s="477">
        <f>IF(ROUNDDOWN(F9*0.5,0)+$G$2*$H$3&gt;U9,U9,ROUNDDOWN(F9*0.5,0)+$G$2*$H$3)</f>
        <v>10.4</v>
      </c>
      <c r="E9" s="477">
        <f>IF(ROUNDDOWN(F9*0.75,0)+$G$2*$H$3&gt;U9,U9,ROUNDDOWN(F9*0.75,0)+$G$2*$H$3)</f>
        <v>14.4</v>
      </c>
      <c r="F9" s="476">
        <f>IF(ROUNDDOWN(U9/8,0)+$G$2*$H$3&gt;U9,U9,ROUNDDOWN(U9/8,0)+$G$2*$H$3)</f>
        <v>15.4</v>
      </c>
      <c r="G9" s="477">
        <f>IF(ROUNDDOWN(F9*1.25,0)+$G$2*$H$3&gt;U9,U9,ROUNDDOWN(F9*1.25,0)+$G$2*$H$3)</f>
        <v>22.4</v>
      </c>
      <c r="H9" s="477">
        <f>IF(ROUNDDOWN(F9*1.5,0)+$G$2*$H$3&gt;U9,U9,ROUNDDOWN(F9*1.5,0)+$G$2*$H$3)</f>
        <v>26.4</v>
      </c>
      <c r="I9" s="476">
        <f>IF(ROUNDDOWN(F9*2,0)+$G$2+$H$3&gt;U9,U9,ROUNDDOWN(F9*2,0)+$G$2+$H$3)</f>
        <v>34.4</v>
      </c>
      <c r="J9" s="477">
        <f>IF(ROUNDDOWN(F9*2.5,0)+$G$2*$H$3&gt;U9,U9,ROUNDDOWN(F9*2.5,0)+$G$2*$H$3)</f>
        <v>41.4</v>
      </c>
      <c r="K9" s="476">
        <f>IF(ROUNDDOWN(F9*3,0)+$G$2*$H$3&gt;U9,U9,ROUNDDOWN(F9*3,0)+$G$2*$H$3)</f>
        <v>49.4</v>
      </c>
      <c r="L9" s="477">
        <f>IF(ROUNDDOWN(F9*3.5,0)+$G$2*$H$3&gt;U9,U9,ROUNDDOWN(F9*3.5,0)+$G$2*$H$3)</f>
        <v>56.4</v>
      </c>
      <c r="M9" s="476">
        <f>IF(ROUNDDOWN(F9*4,0)+$G$2*$H$3&gt;U9,U9,ROUNDDOWN(F9*4,0)+$G$2*$H$3)</f>
        <v>64.400000000000006</v>
      </c>
      <c r="N9" s="477">
        <f>IF(ROUNDDOWN(F9*4.5,0)+$G$2*$H$3&gt;U9,U9,ROUNDDOWN(F9*4.5,0)+$G$2*$H$3)</f>
        <v>72.400000000000006</v>
      </c>
      <c r="O9" s="476">
        <f>IF(ROUNDDOWN(F9*5,0)+$G$2*$H$3&gt;U9,U9,ROUNDDOWN(F9*5,0)+$G$2*$H$3)</f>
        <v>80.400000000000006</v>
      </c>
      <c r="P9" s="477">
        <f>IF(ROUNDDOWN(F9*5.5,0)+$G$2*$H$3&gt;U9,U9,ROUNDDOWN(F9*5.5,0)+$G$2*$H$3)</f>
        <v>87.4</v>
      </c>
      <c r="Q9" s="476">
        <f>IF(ROUNDDOWN(F9*6,0)+$G$2*$H$3&gt;U9,U9,ROUNDDOWN(F9*6,0)+$G$2*$H$3)</f>
        <v>95.4</v>
      </c>
      <c r="R9" s="477">
        <f>IF(ROUNDDOWN(F9*6.5,0)+$G$2*$H$3&gt;U9,U9,ROUNDDOWN(F9*6.5,0)+$G$2*$H$3)</f>
        <v>100</v>
      </c>
      <c r="S9" s="476">
        <f>IF(ROUNDDOWN(F9*7,0)+$G$2+$H$3&gt;U9,U9,ROUNDDOWN(F9*7,0)+$G$2+$H$3)</f>
        <v>100</v>
      </c>
      <c r="T9" s="477">
        <f>IF(ROUNDDOWN(F9*7.5,0)+$G$2*$H$3&gt;U9,U9,ROUNDDOWN(F9*7.5,0)+$G$2*$H$3)</f>
        <v>100</v>
      </c>
      <c r="U9" s="476">
        <f>IF(L2="OUI",150,100)</f>
        <v>100</v>
      </c>
      <c r="V9" s="457" t="s">
        <v>216</v>
      </c>
    </row>
    <row r="10" spans="1:24" ht="15.75" thickBot="1">
      <c r="A10" s="772"/>
      <c r="B10" s="775"/>
      <c r="C10" s="465">
        <f>IF(ROUNDDOWN(F10*0.25,0)+$B$3*$H$3&gt;U10,U10,ROUNDDOWN(F10*0.25,0)+$B$3*$H$3)</f>
        <v>15370</v>
      </c>
      <c r="D10" s="466">
        <f>IF(ROUNDDOWN(F10*0.5,0)+$B$3*$H$3&gt;U10,U10,ROUNDDOWN(F10*0.5,0)+$B$3*$H$3)</f>
        <v>15370</v>
      </c>
      <c r="E10" s="466">
        <f>IF(ROUNDDOWN(F10*0.75,0)+$B$3*$H$3&gt;U10,U10,ROUNDDOWN(F10*0.75,0)+$B$3*$H$3)</f>
        <v>15370</v>
      </c>
      <c r="F10" s="469">
        <f>IF(ROUNDDOWN(U10/8,0)+$B$3*$H$3&gt;U10,U10,ROUNDDOWN(U10/8,0)+$B$3*$H$3)</f>
        <v>15370</v>
      </c>
      <c r="G10" s="466">
        <f>IF(ROUNDDOWN(F10*1.25,0)+$B$3*$H$3&gt;U10,U10,ROUNDDOWN(F10*1.25,0)+$B$3*$H$3)</f>
        <v>15370</v>
      </c>
      <c r="H10" s="466">
        <f>IF(ROUNDDOWN(F10*1.5,0)+$B$3*$H$3&gt;U10,U10,ROUNDDOWN(F10*1.5,0)+$B$3*$H$3)</f>
        <v>15370</v>
      </c>
      <c r="I10" s="469">
        <f>IF(ROUNDDOWN(F10*2,0)+$B$3*$H$3&gt;U10,U10,ROUNDDOWN(F10*2,0)+$B$3*$H$3)</f>
        <v>15370</v>
      </c>
      <c r="J10" s="466">
        <f>IF(ROUNDDOWN(F10*2.5,0)+$B$3*$H$3&gt;U10,U10,ROUNDDOWN(F10*2.5,0)+$B$3*$H$3)</f>
        <v>15370</v>
      </c>
      <c r="K10" s="469">
        <f>IF(ROUNDDOWN(F10*3,0)+$B$3*$H$3&gt;U10,U10,ROUNDDOWN(F10*3,0)+$B$3*$H$3)</f>
        <v>15370</v>
      </c>
      <c r="L10" s="466">
        <f>IF(ROUNDDOWN(F10*3.5,0)+$B$3+$H$3&gt;U10,U10,ROUNDDOWN(F10*3.5,0)+$B$3+$H$3)</f>
        <v>15370</v>
      </c>
      <c r="M10" s="469">
        <f>IF(ROUNDDOWN(F10*4,0)+$B$3+$H$3&gt;U10,U10,ROUNDDOWN(F10*4,0)+$B$3+$H$3)</f>
        <v>15370</v>
      </c>
      <c r="N10" s="466">
        <f>IF(ROUNDDOWN(F10*4.5,0)+$B$3*$H$3&gt;U10,U10,ROUNDDOWN(F10*4.5,0)+$B$3*$H$3)</f>
        <v>15370</v>
      </c>
      <c r="O10" s="469">
        <f>IF(ROUNDDOWN(F10*5,0)+$B$3*$H$3&gt;U10,U10,ROUNDDOWN(F10*5,0)+$B$3*$H$3)</f>
        <v>15370</v>
      </c>
      <c r="P10" s="466">
        <f>IF(ROUNDDOWN(F10*5.5,0)+$B$3*$H$3&gt;U10,U10,ROUNDDOWN(F10*5.5,0)+$B$3*$H$3)</f>
        <v>15370</v>
      </c>
      <c r="Q10" s="469">
        <f>IF(ROUNDDOWN(F10*6,0)+$B$3*$H$3&gt;U10,U10,ROUNDDOWN(F10*6,0)+$B$3*$H$3)</f>
        <v>15370</v>
      </c>
      <c r="R10" s="466">
        <f>IF(ROUNDDOWN(F10*6.5,0)+$B$3*$H$3&gt;U10,U10,ROUNDDOWN(F10*6.5,0)+$B$3*$H$3)</f>
        <v>15370</v>
      </c>
      <c r="S10" s="469">
        <f>IF(ROUNDDOWN(F10*7,0)+$B$3*$H$3&gt;U10,U10,ROUNDDOWN(F10*7,0)+$B$3*$H$3)</f>
        <v>15370</v>
      </c>
      <c r="T10" s="466">
        <f>IF(ROUNDDOWN(F10*7.5,0)+$B$3*$H$3&gt;U10,U10,ROUNDDOWN(F10*7.5,0)+$B$3*$H$3)</f>
        <v>15370</v>
      </c>
      <c r="U10" s="469">
        <f>B2</f>
        <v>15370</v>
      </c>
      <c r="V10" s="467" t="s">
        <v>87</v>
      </c>
    </row>
    <row r="11" spans="1:24">
      <c r="A11" s="772"/>
      <c r="B11" s="774" t="s">
        <v>214</v>
      </c>
      <c r="C11" s="477">
        <f>IF(ROUNDDOWN(F11*0.25,0)+$G$2*$H$3&gt;U11,U11,(ROUNDDOWN(F11*0.25,0)+$G$2*$H$3))</f>
        <v>6.4</v>
      </c>
      <c r="D11" s="477">
        <f t="shared" ref="D11" si="0">IF(ROUNDDOWN(F11*0.5,0)+$G$2*$H$3&gt;U11,U11,ROUNDDOWN(F11*0.5,0)+$G$2*$H$3)</f>
        <v>10.4</v>
      </c>
      <c r="E11" s="477">
        <f t="shared" ref="E11" si="1">IF(ROUNDDOWN(F11*0.75,0)+$G$2*$H$3&gt;U11,U11,ROUNDDOWN(F11*0.75,0)+$G$2*$H$3)</f>
        <v>13.4</v>
      </c>
      <c r="F11" s="476">
        <f t="shared" ref="F11" si="2">IF(ROUNDDOWN(U11/8,0)+$G$2*$H$3&gt;U11,U11,ROUNDDOWN(U11/8,0)+$G$2*$H$3)</f>
        <v>14.4</v>
      </c>
      <c r="G11" s="477">
        <f t="shared" ref="G11" si="3">IF(ROUNDDOWN(F11*1.25,0)+$G$2*$H$3&gt;U11,U11,ROUNDDOWN(F11*1.25,0)+$G$2*$H$3)</f>
        <v>21.4</v>
      </c>
      <c r="H11" s="477">
        <f t="shared" ref="H11" si="4">IF(ROUNDDOWN(F11*1.5,0)+$G$2*$H$3&gt;U11,U11,ROUNDDOWN(F11*1.5,0)+$G$2*$H$3)</f>
        <v>24.4</v>
      </c>
      <c r="I11" s="476">
        <f t="shared" ref="I11" si="5">IF(ROUNDDOWN(F11*2,0)+$G$2+$H$3&gt;U11,U11,ROUNDDOWN(F11*2,0)+$G$2+$H$3)</f>
        <v>32.4</v>
      </c>
      <c r="J11" s="477">
        <f t="shared" ref="J11" si="6">IF(ROUNDDOWN(F11*2.5,0)+$G$2*$H$3&gt;U11,U11,ROUNDDOWN(F11*2.5,0)+$G$2*$H$3)</f>
        <v>39.4</v>
      </c>
      <c r="K11" s="476">
        <f t="shared" ref="K11" si="7">IF(ROUNDDOWN(F11*3,0)+$G$2*$H$3&gt;U11,U11,ROUNDDOWN(F11*3,0)+$G$2*$H$3)</f>
        <v>46.4</v>
      </c>
      <c r="L11" s="477">
        <f t="shared" ref="L11" si="8">IF(ROUNDDOWN(F11*3.5,0)+$G$2*$H$3&gt;U11,U11,ROUNDDOWN(F11*3.5,0)+$G$2*$H$3)</f>
        <v>53.4</v>
      </c>
      <c r="M11" s="476">
        <f t="shared" ref="M11" si="9">IF(ROUNDDOWN(F11*4,0)+$G$2*$H$3&gt;U11,U11,ROUNDDOWN(F11*4,0)+$G$2*$H$3)</f>
        <v>60.4</v>
      </c>
      <c r="N11" s="477">
        <f t="shared" ref="N11" si="10">IF(ROUNDDOWN(F11*4.5,0)+$G$2*$H$3&gt;U11,U11,ROUNDDOWN(F11*4.5,0)+$G$2*$H$3)</f>
        <v>67.400000000000006</v>
      </c>
      <c r="O11" s="476">
        <f t="shared" ref="O11" si="11">IF(ROUNDDOWN(F11*5,0)+$G$2*$H$3&gt;U11,U11,ROUNDDOWN(F11*5,0)+$G$2*$H$3)</f>
        <v>75.400000000000006</v>
      </c>
      <c r="P11" s="477">
        <f t="shared" ref="P11" si="12">IF(ROUNDDOWN(F11*5.5,0)+$G$2*$H$3&gt;U11,U11,ROUNDDOWN(F11*5.5,0)+$G$2*$H$3)</f>
        <v>82.4</v>
      </c>
      <c r="Q11" s="476">
        <f t="shared" ref="Q11" si="13">IF(ROUNDDOWN(F11*6,0)+$G$2*$H$3&gt;U11,U11,ROUNDDOWN(F11*6,0)+$G$2*$H$3)</f>
        <v>88</v>
      </c>
      <c r="R11" s="477">
        <f t="shared" ref="R11" si="14">IF(ROUNDDOWN(F11*6.5,0)+$G$2*$H$3&gt;U11,U11,ROUNDDOWN(F11*6.5,0)+$G$2*$H$3)</f>
        <v>88</v>
      </c>
      <c r="S11" s="476">
        <f t="shared" ref="S11" si="15">IF(ROUNDDOWN(F11*7,0)+$G$2+$H$3&gt;U11,U11,ROUNDDOWN(F11*7,0)+$G$2+$H$3)</f>
        <v>88</v>
      </c>
      <c r="T11" s="477">
        <f t="shared" ref="T11" si="16">IF(ROUNDDOWN(F11*7.5,0)+$G$2*$H$3&gt;U11,U11,ROUNDDOWN(F11*7.5,0)+$G$2*$H$3)</f>
        <v>88</v>
      </c>
      <c r="U11" s="476">
        <f>U9*0.88</f>
        <v>88</v>
      </c>
      <c r="V11" s="457" t="s">
        <v>216</v>
      </c>
    </row>
    <row r="12" spans="1:24" ht="15.75" thickBot="1">
      <c r="A12" s="772"/>
      <c r="B12" s="776"/>
      <c r="C12" s="465">
        <f t="shared" ref="C12" si="17">IF(ROUNDDOWN(F12*0.25,0)+$B$3*$H$3&gt;U12,U12,ROUNDDOWN(F12*0.25,0)+$B$3*$H$3)</f>
        <v>13525</v>
      </c>
      <c r="D12" s="466">
        <f t="shared" ref="D12" si="18">IF(ROUNDDOWN(F12*0.5,0)+$B$3*$H$3&gt;U12,U12,ROUNDDOWN(F12*0.5,0)+$B$3*$H$3)</f>
        <v>13525</v>
      </c>
      <c r="E12" s="466">
        <f t="shared" ref="E12" si="19">IF(ROUNDDOWN(F12*0.75,0)+$B$3*$H$3&gt;U12,U12,ROUNDDOWN(F12*0.75,0)+$B$3*$H$3)</f>
        <v>13525</v>
      </c>
      <c r="F12" s="469">
        <f t="shared" ref="F12" si="20">IF(ROUNDDOWN(U12/8,0)+$B$3*$H$3&gt;U12,U12,ROUNDDOWN(U12/8,0)+$B$3*$H$3)</f>
        <v>13525</v>
      </c>
      <c r="G12" s="466">
        <f t="shared" ref="G12" si="21">IF(ROUNDDOWN(F12*1.25,0)+$B$3*$H$3&gt;U12,U12,ROUNDDOWN(F12*1.25,0)+$B$3*$H$3)</f>
        <v>13525</v>
      </c>
      <c r="H12" s="466">
        <f t="shared" ref="H12" si="22">IF(ROUNDDOWN(F12*1.5,0)+$B$3*$H$3&gt;U12,U12,ROUNDDOWN(F12*1.5,0)+$B$3*$H$3)</f>
        <v>13525</v>
      </c>
      <c r="I12" s="469">
        <f t="shared" ref="I12" si="23">IF(ROUNDDOWN(F12*2,0)+$B$3*$H$3&gt;U12,U12,ROUNDDOWN(F12*2,0)+$B$3*$H$3)</f>
        <v>13525</v>
      </c>
      <c r="J12" s="466">
        <f t="shared" ref="J12" si="24">IF(ROUNDDOWN(F12*2.5,0)+$B$3*$H$3&gt;U12,U12,ROUNDDOWN(F12*2.5,0)+$B$3*$H$3)</f>
        <v>13525</v>
      </c>
      <c r="K12" s="469">
        <f t="shared" ref="K12" si="25">IF(ROUNDDOWN(F12*3,0)+$B$3*$H$3&gt;U12,U12,ROUNDDOWN(F12*3,0)+$B$3*$H$3)</f>
        <v>13525</v>
      </c>
      <c r="L12" s="466">
        <f t="shared" ref="L12" si="26">IF(ROUNDDOWN(F12*3.5,0)+$B$3+$H$3&gt;U12,U12,ROUNDDOWN(F12*3.5,0)+$B$3+$H$3)</f>
        <v>13525</v>
      </c>
      <c r="M12" s="469">
        <f t="shared" ref="M12" si="27">IF(ROUNDDOWN(F12*4,0)+$B$3+$H$3&gt;U12,U12,ROUNDDOWN(F12*4,0)+$B$3+$H$3)</f>
        <v>13525</v>
      </c>
      <c r="N12" s="466">
        <f t="shared" ref="N12" si="28">IF(ROUNDDOWN(F12*4.5,0)+$B$3*$H$3&gt;U12,U12,ROUNDDOWN(F12*4.5,0)+$B$3*$H$3)</f>
        <v>13525</v>
      </c>
      <c r="O12" s="469">
        <f t="shared" ref="O12" si="29">IF(ROUNDDOWN(F12*5,0)+$B$3*$H$3&gt;U12,U12,ROUNDDOWN(F12*5,0)+$B$3*$H$3)</f>
        <v>13525</v>
      </c>
      <c r="P12" s="466">
        <f t="shared" ref="P12" si="30">IF(ROUNDDOWN(F12*5.5,0)+$B$3*$H$3&gt;U12,U12,ROUNDDOWN(F12*5.5,0)+$B$3*$H$3)</f>
        <v>13525</v>
      </c>
      <c r="Q12" s="469">
        <f t="shared" ref="Q12" si="31">IF(ROUNDDOWN(F12*6,0)+$B$3*$H$3&gt;U12,U12,ROUNDDOWN(F12*6,0)+$B$3*$H$3)</f>
        <v>13525</v>
      </c>
      <c r="R12" s="466">
        <f t="shared" ref="R12" si="32">IF(ROUNDDOWN(F12*6.5,0)+$B$3*$H$3&gt;U12,U12,ROUNDDOWN(F12*6.5,0)+$B$3*$H$3)</f>
        <v>13525</v>
      </c>
      <c r="S12" s="469">
        <f t="shared" ref="S12" si="33">IF(ROUNDDOWN(F12*7,0)+$B$3*$H$3&gt;U12,U12,ROUNDDOWN(F12*7,0)+$B$3*$H$3)</f>
        <v>13525</v>
      </c>
      <c r="T12" s="466">
        <f t="shared" ref="T12" si="34">IF(ROUNDDOWN(F12*7.5,0)+$B$3*$H$3&gt;U12,U12,ROUNDDOWN(F12*7.5,0)+$B$3*$H$3)</f>
        <v>13525</v>
      </c>
      <c r="U12" s="469">
        <f>ROUNDDOWN(U10*0.88,0)</f>
        <v>13525</v>
      </c>
      <c r="V12" s="467" t="s">
        <v>87</v>
      </c>
    </row>
    <row r="13" spans="1:24">
      <c r="A13" s="772"/>
      <c r="B13" s="775" t="s">
        <v>213</v>
      </c>
      <c r="C13" s="477">
        <f t="shared" ref="C13" si="35">IF(ROUNDDOWN(F13*0.25,0)+$G$2*$H$3&gt;U13,U13,(ROUNDDOWN(F13*0.25,0)+$G$2*$H$3))</f>
        <v>6.4</v>
      </c>
      <c r="D13" s="477">
        <f t="shared" ref="D13" si="36">IF(ROUNDDOWN(F13*0.5,0)+$G$2*$H$3&gt;U13,U13,ROUNDDOWN(F13*0.5,0)+$G$2*$H$3)</f>
        <v>9.4</v>
      </c>
      <c r="E13" s="477">
        <f t="shared" ref="E13" si="37">IF(ROUNDDOWN(F13*0.75,0)+$G$2*$H$3&gt;U13,U13,ROUNDDOWN(F13*0.75,0)+$G$2*$H$3)</f>
        <v>13.4</v>
      </c>
      <c r="F13" s="476">
        <f t="shared" ref="F13" si="38">IF(ROUNDDOWN(U13/8,0)+$G$2*$H$3&gt;U13,U13,ROUNDDOWN(U13/8,0)+$G$2*$H$3)</f>
        <v>13.4</v>
      </c>
      <c r="G13" s="477">
        <f t="shared" ref="G13" si="39">IF(ROUNDDOWN(F13*1.25,0)+$G$2*$H$3&gt;U13,U13,ROUNDDOWN(F13*1.25,0)+$G$2*$H$3)</f>
        <v>19.399999999999999</v>
      </c>
      <c r="H13" s="477">
        <f t="shared" ref="H13" si="40">IF(ROUNDDOWN(F13*1.5,0)+$G$2*$H$3&gt;U13,U13,ROUNDDOWN(F13*1.5,0)+$G$2*$H$3)</f>
        <v>23.4</v>
      </c>
      <c r="I13" s="476">
        <f t="shared" ref="I13" si="41">IF(ROUNDDOWN(F13*2,0)+$G$2+$H$3&gt;U13,U13,ROUNDDOWN(F13*2,0)+$G$2+$H$3)</f>
        <v>30.4</v>
      </c>
      <c r="J13" s="477">
        <f t="shared" ref="J13" si="42">IF(ROUNDDOWN(F13*2.5,0)+$G$2*$H$3&gt;U13,U13,ROUNDDOWN(F13*2.5,0)+$G$2*$H$3)</f>
        <v>36.4</v>
      </c>
      <c r="K13" s="476">
        <f t="shared" ref="K13" si="43">IF(ROUNDDOWN(F13*3,0)+$G$2*$H$3&gt;U13,U13,ROUNDDOWN(F13*3,0)+$G$2*$H$3)</f>
        <v>43.4</v>
      </c>
      <c r="L13" s="477">
        <f t="shared" ref="L13" si="44">IF(ROUNDDOWN(F13*3.5,0)+$G$2*$H$3&gt;U13,U13,ROUNDDOWN(F13*3.5,0)+$G$2*$H$3)</f>
        <v>49.4</v>
      </c>
      <c r="M13" s="476">
        <f t="shared" ref="M13" si="45">IF(ROUNDDOWN(F13*4,0)+$G$2*$H$3&gt;U13,U13,ROUNDDOWN(F13*4,0)+$G$2*$H$3)</f>
        <v>56.4</v>
      </c>
      <c r="N13" s="477">
        <f t="shared" ref="N13" si="46">IF(ROUNDDOWN(F13*4.5,0)+$G$2*$H$3&gt;U13,U13,ROUNDDOWN(F13*4.5,0)+$G$2*$H$3)</f>
        <v>63.4</v>
      </c>
      <c r="O13" s="476">
        <f t="shared" ref="O13" si="47">IF(ROUNDDOWN(F13*5,0)+$G$2*$H$3&gt;U13,U13,ROUNDDOWN(F13*5,0)+$G$2*$H$3)</f>
        <v>70.400000000000006</v>
      </c>
      <c r="P13" s="477">
        <f t="shared" ref="P13" si="48">IF(ROUNDDOWN(F13*5.5,0)+$G$2*$H$3&gt;U13,U13,ROUNDDOWN(F13*5.5,0)+$G$2*$H$3)</f>
        <v>76.400000000000006</v>
      </c>
      <c r="Q13" s="476">
        <f t="shared" ref="Q13" si="49">IF(ROUNDDOWN(F13*6,0)+$G$2*$H$3&gt;U13,U13,ROUNDDOWN(F13*6,0)+$G$2*$H$3)</f>
        <v>80</v>
      </c>
      <c r="R13" s="477">
        <f t="shared" ref="R13" si="50">IF(ROUNDDOWN(F13*6.5,0)+$G$2*$H$3&gt;U13,U13,ROUNDDOWN(F13*6.5,0)+$G$2*$H$3)</f>
        <v>80</v>
      </c>
      <c r="S13" s="476">
        <f t="shared" ref="S13" si="51">IF(ROUNDDOWN(F13*7,0)+$G$2+$H$3&gt;U13,U13,ROUNDDOWN(F13*7,0)+$G$2+$H$3)</f>
        <v>80</v>
      </c>
      <c r="T13" s="477">
        <f t="shared" ref="T13" si="52">IF(ROUNDDOWN(F13*7.5,0)+$G$2*$H$3&gt;U13,U13,ROUNDDOWN(F13*7.5,0)+$G$2*$H$3)</f>
        <v>80</v>
      </c>
      <c r="U13" s="476">
        <f>U9*0.8</f>
        <v>80</v>
      </c>
      <c r="V13" s="457" t="s">
        <v>216</v>
      </c>
    </row>
    <row r="14" spans="1:24" ht="15.75" thickBot="1">
      <c r="A14" s="772"/>
      <c r="B14" s="775"/>
      <c r="C14" s="465">
        <f t="shared" ref="C14" si="53">IF(ROUNDDOWN(F14*0.25,0)+$B$3*$H$3&gt;U14,U14,ROUNDDOWN(F14*0.25,0)+$B$3*$H$3)</f>
        <v>12296</v>
      </c>
      <c r="D14" s="466">
        <f t="shared" ref="D14" si="54">IF(ROUNDDOWN(F14*0.5,0)+$B$3*$H$3&gt;U14,U14,ROUNDDOWN(F14*0.5,0)+$B$3*$H$3)</f>
        <v>12296</v>
      </c>
      <c r="E14" s="466">
        <f t="shared" ref="E14" si="55">IF(ROUNDDOWN(F14*0.75,0)+$B$3*$H$3&gt;U14,U14,ROUNDDOWN(F14*0.75,0)+$B$3*$H$3)</f>
        <v>12296</v>
      </c>
      <c r="F14" s="469">
        <f t="shared" ref="F14" si="56">IF(ROUNDDOWN(U14/8,0)+$B$3*$H$3&gt;U14,U14,ROUNDDOWN(U14/8,0)+$B$3*$H$3)</f>
        <v>12296</v>
      </c>
      <c r="G14" s="466">
        <f t="shared" ref="G14" si="57">IF(ROUNDDOWN(F14*1.25,0)+$B$3*$H$3&gt;U14,U14,ROUNDDOWN(F14*1.25,0)+$B$3*$H$3)</f>
        <v>12296</v>
      </c>
      <c r="H14" s="466">
        <f t="shared" ref="H14" si="58">IF(ROUNDDOWN(F14*1.5,0)+$B$3*$H$3&gt;U14,U14,ROUNDDOWN(F14*1.5,0)+$B$3*$H$3)</f>
        <v>12296</v>
      </c>
      <c r="I14" s="469">
        <f t="shared" ref="I14" si="59">IF(ROUNDDOWN(F14*2,0)+$B$3*$H$3&gt;U14,U14,ROUNDDOWN(F14*2,0)+$B$3*$H$3)</f>
        <v>12296</v>
      </c>
      <c r="J14" s="466">
        <f t="shared" ref="J14" si="60">IF(ROUNDDOWN(F14*2.5,0)+$B$3*$H$3&gt;U14,U14,ROUNDDOWN(F14*2.5,0)+$B$3*$H$3)</f>
        <v>12296</v>
      </c>
      <c r="K14" s="469">
        <f t="shared" ref="K14" si="61">IF(ROUNDDOWN(F14*3,0)+$B$3*$H$3&gt;U14,U14,ROUNDDOWN(F14*3,0)+$B$3*$H$3)</f>
        <v>12296</v>
      </c>
      <c r="L14" s="466">
        <f t="shared" ref="L14" si="62">IF(ROUNDDOWN(F14*3.5,0)+$B$3+$H$3&gt;U14,U14,ROUNDDOWN(F14*3.5,0)+$B$3+$H$3)</f>
        <v>12296</v>
      </c>
      <c r="M14" s="469">
        <f t="shared" ref="M14" si="63">IF(ROUNDDOWN(F14*4,0)+$B$3+$H$3&gt;U14,U14,ROUNDDOWN(F14*4,0)+$B$3+$H$3)</f>
        <v>12296</v>
      </c>
      <c r="N14" s="466">
        <f t="shared" ref="N14" si="64">IF(ROUNDDOWN(F14*4.5,0)+$B$3*$H$3&gt;U14,U14,ROUNDDOWN(F14*4.5,0)+$B$3*$H$3)</f>
        <v>12296</v>
      </c>
      <c r="O14" s="469">
        <f t="shared" ref="O14" si="65">IF(ROUNDDOWN(F14*5,0)+$B$3*$H$3&gt;U14,U14,ROUNDDOWN(F14*5,0)+$B$3*$H$3)</f>
        <v>12296</v>
      </c>
      <c r="P14" s="466">
        <f t="shared" ref="P14" si="66">IF(ROUNDDOWN(F14*5.5,0)+$B$3*$H$3&gt;U14,U14,ROUNDDOWN(F14*5.5,0)+$B$3*$H$3)</f>
        <v>12296</v>
      </c>
      <c r="Q14" s="469">
        <f t="shared" ref="Q14" si="67">IF(ROUNDDOWN(F14*6,0)+$B$3*$H$3&gt;U14,U14,ROUNDDOWN(F14*6,0)+$B$3*$H$3)</f>
        <v>12296</v>
      </c>
      <c r="R14" s="466">
        <f t="shared" ref="R14" si="68">IF(ROUNDDOWN(F14*6.5,0)+$B$3*$H$3&gt;U14,U14,ROUNDDOWN(F14*6.5,0)+$B$3*$H$3)</f>
        <v>12296</v>
      </c>
      <c r="S14" s="469">
        <f t="shared" ref="S14" si="69">IF(ROUNDDOWN(F14*7,0)+$B$3*$H$3&gt;U14,U14,ROUNDDOWN(F14*7,0)+$B$3*$H$3)</f>
        <v>12296</v>
      </c>
      <c r="T14" s="466">
        <f t="shared" ref="T14" si="70">IF(ROUNDDOWN(F14*7.5,0)+$B$3*$H$3&gt;U14,U14,ROUNDDOWN(F14*7.5,0)+$B$3*$H$3)</f>
        <v>12296</v>
      </c>
      <c r="U14" s="469">
        <f>ROUNDDOWN(U10*0.8,0)</f>
        <v>12296</v>
      </c>
      <c r="V14" s="467" t="s">
        <v>87</v>
      </c>
    </row>
    <row r="15" spans="1:24">
      <c r="A15" s="772"/>
      <c r="B15" s="774" t="s">
        <v>212</v>
      </c>
      <c r="C15" s="477">
        <f t="shared" ref="C15" si="71">IF(ROUNDDOWN(F15*0.25,0)+$G$2*$H$3&gt;U15,U15,(ROUNDDOWN(F15*0.25,0)+$G$2*$H$3))</f>
        <v>6.4</v>
      </c>
      <c r="D15" s="477">
        <f t="shared" ref="D15" si="72">IF(ROUNDDOWN(F15*0.5,0)+$G$2*$H$3&gt;U15,U15,ROUNDDOWN(F15*0.5,0)+$G$2*$H$3)</f>
        <v>9.4</v>
      </c>
      <c r="E15" s="477">
        <f t="shared" ref="E15" si="73">IF(ROUNDDOWN(F15*0.75,0)+$G$2*$H$3&gt;U15,U15,ROUNDDOWN(F15*0.75,0)+$G$2*$H$3)</f>
        <v>12.4</v>
      </c>
      <c r="F15" s="476">
        <f t="shared" ref="F15" si="74">IF(ROUNDDOWN(U15/8,0)+$G$2*$H$3&gt;U15,U15,ROUNDDOWN(U15/8,0)+$G$2*$H$3)</f>
        <v>12.4</v>
      </c>
      <c r="G15" s="477">
        <f t="shared" ref="G15" si="75">IF(ROUNDDOWN(F15*1.25,0)+$G$2*$H$3&gt;U15,U15,ROUNDDOWN(F15*1.25,0)+$G$2*$H$3)</f>
        <v>18.399999999999999</v>
      </c>
      <c r="H15" s="477">
        <f t="shared" ref="H15" si="76">IF(ROUNDDOWN(F15*1.5,0)+$G$2*$H$3&gt;U15,U15,ROUNDDOWN(F15*1.5,0)+$G$2*$H$3)</f>
        <v>21.4</v>
      </c>
      <c r="I15" s="476">
        <f t="shared" ref="I15" si="77">IF(ROUNDDOWN(F15*2,0)+$G$2+$H$3&gt;U15,U15,ROUNDDOWN(F15*2,0)+$G$2+$H$3)</f>
        <v>28.4</v>
      </c>
      <c r="J15" s="477">
        <f t="shared" ref="J15" si="78">IF(ROUNDDOWN(F15*2.5,0)+$G$2*$H$3&gt;U15,U15,ROUNDDOWN(F15*2.5,0)+$G$2*$H$3)</f>
        <v>34.4</v>
      </c>
      <c r="K15" s="476">
        <f t="shared" ref="K15" si="79">IF(ROUNDDOWN(F15*3,0)+$G$2*$H$3&gt;U15,U15,ROUNDDOWN(F15*3,0)+$G$2*$H$3)</f>
        <v>40.4</v>
      </c>
      <c r="L15" s="477">
        <f t="shared" ref="L15" si="80">IF(ROUNDDOWN(F15*3.5,0)+$G$2*$H$3&gt;U15,U15,ROUNDDOWN(F15*3.5,0)+$G$2*$H$3)</f>
        <v>46.4</v>
      </c>
      <c r="M15" s="476">
        <f t="shared" ref="M15" si="81">IF(ROUNDDOWN(F15*4,0)+$G$2*$H$3&gt;U15,U15,ROUNDDOWN(F15*4,0)+$G$2*$H$3)</f>
        <v>52.4</v>
      </c>
      <c r="N15" s="477">
        <f t="shared" ref="N15" si="82">IF(ROUNDDOWN(F15*4.5,0)+$G$2*$H$3&gt;U15,U15,ROUNDDOWN(F15*4.5,0)+$G$2*$H$3)</f>
        <v>58.4</v>
      </c>
      <c r="O15" s="476">
        <f t="shared" ref="O15" si="83">IF(ROUNDDOWN(F15*5,0)+$G$2*$H$3&gt;U15,U15,ROUNDDOWN(F15*5,0)+$G$2*$H$3)</f>
        <v>65.400000000000006</v>
      </c>
      <c r="P15" s="477">
        <f t="shared" ref="P15" si="84">IF(ROUNDDOWN(F15*5.5,0)+$G$2*$H$3&gt;U15,U15,ROUNDDOWN(F15*5.5,0)+$G$2*$H$3)</f>
        <v>71.400000000000006</v>
      </c>
      <c r="Q15" s="476">
        <f t="shared" ref="Q15" si="85">IF(ROUNDDOWN(F15*6,0)+$G$2*$H$3&gt;U15,U15,ROUNDDOWN(F15*6,0)+$G$2*$H$3)</f>
        <v>72</v>
      </c>
      <c r="R15" s="477">
        <f t="shared" ref="R15" si="86">IF(ROUNDDOWN(F15*6.5,0)+$G$2*$H$3&gt;U15,U15,ROUNDDOWN(F15*6.5,0)+$G$2*$H$3)</f>
        <v>72</v>
      </c>
      <c r="S15" s="476">
        <f t="shared" ref="S15" si="87">IF(ROUNDDOWN(F15*7,0)+$G$2+$H$3&gt;U15,U15,ROUNDDOWN(F15*7,0)+$G$2+$H$3)</f>
        <v>72</v>
      </c>
      <c r="T15" s="477">
        <f t="shared" ref="T15" si="88">IF(ROUNDDOWN(F15*7.5,0)+$G$2*$H$3&gt;U15,U15,ROUNDDOWN(F15*7.5,0)+$G$2*$H$3)</f>
        <v>72</v>
      </c>
      <c r="U15" s="476">
        <f>U9*0.72</f>
        <v>72</v>
      </c>
      <c r="V15" s="457" t="s">
        <v>216</v>
      </c>
    </row>
    <row r="16" spans="1:24" ht="15.75" thickBot="1">
      <c r="A16" s="772"/>
      <c r="B16" s="776"/>
      <c r="C16" s="465">
        <f t="shared" ref="C16" si="89">IF(ROUNDDOWN(F16*0.25,0)+$B$3*$H$3&gt;U16,U16,ROUNDDOWN(F16*0.25,0)+$B$3*$H$3)</f>
        <v>11066</v>
      </c>
      <c r="D16" s="466">
        <f t="shared" ref="D16" si="90">IF(ROUNDDOWN(F16*0.5,0)+$B$3*$H$3&gt;U16,U16,ROUNDDOWN(F16*0.5,0)+$B$3*$H$3)</f>
        <v>11066</v>
      </c>
      <c r="E16" s="466">
        <f t="shared" ref="E16" si="91">IF(ROUNDDOWN(F16*0.75,0)+$B$3*$H$3&gt;U16,U16,ROUNDDOWN(F16*0.75,0)+$B$3*$H$3)</f>
        <v>11066</v>
      </c>
      <c r="F16" s="469">
        <f t="shared" ref="F16" si="92">IF(ROUNDDOWN(U16/8,0)+$B$3*$H$3&gt;U16,U16,ROUNDDOWN(U16/8,0)+$B$3*$H$3)</f>
        <v>11066</v>
      </c>
      <c r="G16" s="466">
        <f t="shared" ref="G16" si="93">IF(ROUNDDOWN(F16*1.25,0)+$B$3*$H$3&gt;U16,U16,ROUNDDOWN(F16*1.25,0)+$B$3*$H$3)</f>
        <v>11066</v>
      </c>
      <c r="H16" s="466">
        <f t="shared" ref="H16" si="94">IF(ROUNDDOWN(F16*1.5,0)+$B$3*$H$3&gt;U16,U16,ROUNDDOWN(F16*1.5,0)+$B$3*$H$3)</f>
        <v>11066</v>
      </c>
      <c r="I16" s="469">
        <f t="shared" ref="I16" si="95">IF(ROUNDDOWN(F16*2,0)+$B$3*$H$3&gt;U16,U16,ROUNDDOWN(F16*2,0)+$B$3*$H$3)</f>
        <v>11066</v>
      </c>
      <c r="J16" s="466">
        <f t="shared" ref="J16" si="96">IF(ROUNDDOWN(F16*2.5,0)+$B$3*$H$3&gt;U16,U16,ROUNDDOWN(F16*2.5,0)+$B$3*$H$3)</f>
        <v>11066</v>
      </c>
      <c r="K16" s="469">
        <f t="shared" ref="K16" si="97">IF(ROUNDDOWN(F16*3,0)+$B$3*$H$3&gt;U16,U16,ROUNDDOWN(F16*3,0)+$B$3*$H$3)</f>
        <v>11066</v>
      </c>
      <c r="L16" s="466">
        <f t="shared" ref="L16" si="98">IF(ROUNDDOWN(F16*3.5,0)+$B$3+$H$3&gt;U16,U16,ROUNDDOWN(F16*3.5,0)+$B$3+$H$3)</f>
        <v>11066</v>
      </c>
      <c r="M16" s="469">
        <f t="shared" ref="M16" si="99">IF(ROUNDDOWN(F16*4,0)+$B$3+$H$3&gt;U16,U16,ROUNDDOWN(F16*4,0)+$B$3+$H$3)</f>
        <v>11066</v>
      </c>
      <c r="N16" s="466">
        <f t="shared" ref="N16" si="100">IF(ROUNDDOWN(F16*4.5,0)+$B$3*$H$3&gt;U16,U16,ROUNDDOWN(F16*4.5,0)+$B$3*$H$3)</f>
        <v>11066</v>
      </c>
      <c r="O16" s="469">
        <f t="shared" ref="O16" si="101">IF(ROUNDDOWN(F16*5,0)+$B$3*$H$3&gt;U16,U16,ROUNDDOWN(F16*5,0)+$B$3*$H$3)</f>
        <v>11066</v>
      </c>
      <c r="P16" s="466">
        <f t="shared" ref="P16" si="102">IF(ROUNDDOWN(F16*5.5,0)+$B$3*$H$3&gt;U16,U16,ROUNDDOWN(F16*5.5,0)+$B$3*$H$3)</f>
        <v>11066</v>
      </c>
      <c r="Q16" s="469">
        <f t="shared" ref="Q16" si="103">IF(ROUNDDOWN(F16*6,0)+$B$3*$H$3&gt;U16,U16,ROUNDDOWN(F16*6,0)+$B$3*$H$3)</f>
        <v>11066</v>
      </c>
      <c r="R16" s="466">
        <f t="shared" ref="R16" si="104">IF(ROUNDDOWN(F16*6.5,0)+$B$3*$H$3&gt;U16,U16,ROUNDDOWN(F16*6.5,0)+$B$3*$H$3)</f>
        <v>11066</v>
      </c>
      <c r="S16" s="469">
        <f t="shared" ref="S16" si="105">IF(ROUNDDOWN(F16*7,0)+$B$3*$H$3&gt;U16,U16,ROUNDDOWN(F16*7,0)+$B$3*$H$3)</f>
        <v>11066</v>
      </c>
      <c r="T16" s="466">
        <f t="shared" ref="T16" si="106">IF(ROUNDDOWN(F16*7.5,0)+$B$3*$H$3&gt;U16,U16,ROUNDDOWN(F16*7.5,0)+$B$3*$H$3)</f>
        <v>11066</v>
      </c>
      <c r="U16" s="469">
        <f>ROUNDDOWN(U10*0.72,0)</f>
        <v>11066</v>
      </c>
      <c r="V16" s="467" t="s">
        <v>87</v>
      </c>
    </row>
    <row r="17" spans="1:22">
      <c r="A17" s="772"/>
      <c r="B17" s="774" t="s">
        <v>211</v>
      </c>
      <c r="C17" s="477">
        <f t="shared" ref="C17" si="107">IF(ROUNDDOWN(F17*0.25,0)+$G$2*$H$3&gt;U17,U17,(ROUNDDOWN(F17*0.25,0)+$G$2*$H$3))</f>
        <v>5.4</v>
      </c>
      <c r="D17" s="477">
        <f t="shared" ref="D17" si="108">IF(ROUNDDOWN(F17*0.5,0)+$G$2*$H$3&gt;U17,U17,ROUNDDOWN(F17*0.5,0)+$G$2*$H$3)</f>
        <v>8.4</v>
      </c>
      <c r="E17" s="477">
        <f t="shared" ref="E17" si="109">IF(ROUNDDOWN(F17*0.75,0)+$G$2*$H$3&gt;U17,U17,ROUNDDOWN(F17*0.75,0)+$G$2*$H$3)</f>
        <v>11.4</v>
      </c>
      <c r="F17" s="476">
        <f t="shared" ref="F17" si="110">IF(ROUNDDOWN(U17/8,0)+$G$2*$H$3&gt;U17,U17,ROUNDDOWN(U17/8,0)+$G$2*$H$3)</f>
        <v>11.4</v>
      </c>
      <c r="G17" s="477">
        <f t="shared" ref="G17" si="111">IF(ROUNDDOWN(F17*1.25,0)+$G$2*$H$3&gt;U17,U17,ROUNDDOWN(F17*1.25,0)+$G$2*$H$3)</f>
        <v>17.399999999999999</v>
      </c>
      <c r="H17" s="477">
        <f t="shared" ref="H17" si="112">IF(ROUNDDOWN(F17*1.5,0)+$G$2*$H$3&gt;U17,U17,ROUNDDOWN(F17*1.5,0)+$G$2*$H$3)</f>
        <v>20.399999999999999</v>
      </c>
      <c r="I17" s="476">
        <f t="shared" ref="I17" si="113">IF(ROUNDDOWN(F17*2,0)+$G$2+$H$3&gt;U17,U17,ROUNDDOWN(F17*2,0)+$G$2+$H$3)</f>
        <v>26.4</v>
      </c>
      <c r="J17" s="477">
        <f t="shared" ref="J17" si="114">IF(ROUNDDOWN(F17*2.5,0)+$G$2*$H$3&gt;U17,U17,ROUNDDOWN(F17*2.5,0)+$G$2*$H$3)</f>
        <v>31.4</v>
      </c>
      <c r="K17" s="476">
        <f t="shared" ref="K17" si="115">IF(ROUNDDOWN(F17*3,0)+$G$2*$H$3&gt;U17,U17,ROUNDDOWN(F17*3,0)+$G$2*$H$3)</f>
        <v>37.4</v>
      </c>
      <c r="L17" s="477">
        <f t="shared" ref="L17" si="116">IF(ROUNDDOWN(F17*3.5,0)+$G$2*$H$3&gt;U17,U17,ROUNDDOWN(F17*3.5,0)+$G$2*$H$3)</f>
        <v>42.4</v>
      </c>
      <c r="M17" s="476">
        <f t="shared" ref="M17" si="117">IF(ROUNDDOWN(F17*4,0)+$G$2*$H$3&gt;U17,U17,ROUNDDOWN(F17*4,0)+$G$2*$H$3)</f>
        <v>48.4</v>
      </c>
      <c r="N17" s="477">
        <f t="shared" ref="N17" si="118">IF(ROUNDDOWN(F17*4.5,0)+$G$2*$H$3&gt;U17,U17,ROUNDDOWN(F17*4.5,0)+$G$2*$H$3)</f>
        <v>54.4</v>
      </c>
      <c r="O17" s="476">
        <f t="shared" ref="O17" si="119">IF(ROUNDDOWN(F17*5,0)+$G$2*$H$3&gt;U17,U17,ROUNDDOWN(F17*5,0)+$G$2*$H$3)</f>
        <v>60.4</v>
      </c>
      <c r="P17" s="477">
        <f t="shared" ref="P17" si="120">IF(ROUNDDOWN(F17*5.5,0)+$G$2*$H$3&gt;U17,U17,ROUNDDOWN(F17*5.5,0)+$G$2*$H$3)</f>
        <v>64</v>
      </c>
      <c r="Q17" s="476">
        <f t="shared" ref="Q17" si="121">IF(ROUNDDOWN(F17*6,0)+$G$2*$H$3&gt;U17,U17,ROUNDDOWN(F17*6,0)+$G$2*$H$3)</f>
        <v>64</v>
      </c>
      <c r="R17" s="477">
        <f t="shared" ref="R17" si="122">IF(ROUNDDOWN(F17*6.5,0)+$G$2*$H$3&gt;U17,U17,ROUNDDOWN(F17*6.5,0)+$G$2*$H$3)</f>
        <v>64</v>
      </c>
      <c r="S17" s="476">
        <f t="shared" ref="S17" si="123">IF(ROUNDDOWN(F17*7,0)+$G$2+$H$3&gt;U17,U17,ROUNDDOWN(F17*7,0)+$G$2+$H$3)</f>
        <v>64</v>
      </c>
      <c r="T17" s="477">
        <f t="shared" ref="T17" si="124">IF(ROUNDDOWN(F17*7.5,0)+$G$2*$H$3&gt;U17,U17,ROUNDDOWN(F17*7.5,0)+$G$2*$H$3)</f>
        <v>64</v>
      </c>
      <c r="U17" s="476">
        <f>U9*0.64</f>
        <v>64</v>
      </c>
      <c r="V17" s="457" t="s">
        <v>216</v>
      </c>
    </row>
    <row r="18" spans="1:22" ht="15.75" thickBot="1">
      <c r="A18" s="773"/>
      <c r="B18" s="776"/>
      <c r="C18" s="465">
        <f t="shared" ref="C18" si="125">IF(ROUNDDOWN(F18*0.25,0)+$B$3*$H$3&gt;U18,U18,ROUNDDOWN(F18*0.25,0)+$B$3*$H$3)</f>
        <v>9836</v>
      </c>
      <c r="D18" s="466">
        <f t="shared" ref="D18" si="126">IF(ROUNDDOWN(F18*0.5,0)+$B$3*$H$3&gt;U18,U18,ROUNDDOWN(F18*0.5,0)+$B$3*$H$3)</f>
        <v>9836</v>
      </c>
      <c r="E18" s="466">
        <f t="shared" ref="E18" si="127">IF(ROUNDDOWN(F18*0.75,0)+$B$3*$H$3&gt;U18,U18,ROUNDDOWN(F18*0.75,0)+$B$3*$H$3)</f>
        <v>9836</v>
      </c>
      <c r="F18" s="469">
        <f t="shared" ref="F18" si="128">IF(ROUNDDOWN(U18/8,0)+$B$3*$H$3&gt;U18,U18,ROUNDDOWN(U18/8,0)+$B$3*$H$3)</f>
        <v>9836</v>
      </c>
      <c r="G18" s="466">
        <f t="shared" ref="G18" si="129">IF(ROUNDDOWN(F18*1.25,0)+$B$3*$H$3&gt;U18,U18,ROUNDDOWN(F18*1.25,0)+$B$3*$H$3)</f>
        <v>9836</v>
      </c>
      <c r="H18" s="466">
        <f t="shared" ref="H18" si="130">IF(ROUNDDOWN(F18*1.5,0)+$B$3*$H$3&gt;U18,U18,ROUNDDOWN(F18*1.5,0)+$B$3*$H$3)</f>
        <v>9836</v>
      </c>
      <c r="I18" s="469">
        <f t="shared" ref="I18" si="131">IF(ROUNDDOWN(F18*2,0)+$B$3*$H$3&gt;U18,U18,ROUNDDOWN(F18*2,0)+$B$3*$H$3)</f>
        <v>9836</v>
      </c>
      <c r="J18" s="466">
        <f t="shared" ref="J18" si="132">IF(ROUNDDOWN(F18*2.5,0)+$B$3*$H$3&gt;U18,U18,ROUNDDOWN(F18*2.5,0)+$B$3*$H$3)</f>
        <v>9836</v>
      </c>
      <c r="K18" s="469">
        <f t="shared" ref="K18" si="133">IF(ROUNDDOWN(F18*3,0)+$B$3*$H$3&gt;U18,U18,ROUNDDOWN(F18*3,0)+$B$3*$H$3)</f>
        <v>9836</v>
      </c>
      <c r="L18" s="466">
        <f t="shared" ref="L18" si="134">IF(ROUNDDOWN(F18*3.5,0)+$B$3+$H$3&gt;U18,U18,ROUNDDOWN(F18*3.5,0)+$B$3+$H$3)</f>
        <v>9836</v>
      </c>
      <c r="M18" s="469">
        <f t="shared" ref="M18" si="135">IF(ROUNDDOWN(F18*4,0)+$B$3+$H$3&gt;U18,U18,ROUNDDOWN(F18*4,0)+$B$3+$H$3)</f>
        <v>9836</v>
      </c>
      <c r="N18" s="466">
        <f t="shared" ref="N18" si="136">IF(ROUNDDOWN(F18*4.5,0)+$B$3*$H$3&gt;U18,U18,ROUNDDOWN(F18*4.5,0)+$B$3*$H$3)</f>
        <v>9836</v>
      </c>
      <c r="O18" s="469">
        <f t="shared" ref="O18" si="137">IF(ROUNDDOWN(F18*5,0)+$B$3*$H$3&gt;U18,U18,ROUNDDOWN(F18*5,0)+$B$3*$H$3)</f>
        <v>9836</v>
      </c>
      <c r="P18" s="466">
        <f t="shared" ref="P18" si="138">IF(ROUNDDOWN(F18*5.5,0)+$B$3*$H$3&gt;U18,U18,ROUNDDOWN(F18*5.5,0)+$B$3*$H$3)</f>
        <v>9836</v>
      </c>
      <c r="Q18" s="469">
        <f t="shared" ref="Q18" si="139">IF(ROUNDDOWN(F18*6,0)+$B$3*$H$3&gt;U18,U18,ROUNDDOWN(F18*6,0)+$B$3*$H$3)</f>
        <v>9836</v>
      </c>
      <c r="R18" s="466">
        <f t="shared" ref="R18" si="140">IF(ROUNDDOWN(F18*6.5,0)+$B$3*$H$3&gt;U18,U18,ROUNDDOWN(F18*6.5,0)+$B$3*$H$3)</f>
        <v>9836</v>
      </c>
      <c r="S18" s="469">
        <f t="shared" ref="S18" si="141">IF(ROUNDDOWN(F18*7,0)+$B$3*$H$3&gt;U18,U18,ROUNDDOWN(F18*7,0)+$B$3*$H$3)</f>
        <v>9836</v>
      </c>
      <c r="T18" s="466">
        <f t="shared" ref="T18" si="142">IF(ROUNDDOWN(F18*7.5,0)+$B$3*$H$3&gt;U18,U18,ROUNDDOWN(F18*7.5,0)+$B$3*$H$3)</f>
        <v>9836</v>
      </c>
      <c r="U18" s="469">
        <f>ROUNDDOWN(U10*0.64,0)</f>
        <v>9836</v>
      </c>
      <c r="V18" s="467" t="s">
        <v>87</v>
      </c>
    </row>
    <row r="19" spans="1:22" ht="15.75" thickBot="1">
      <c r="B19" s="454"/>
    </row>
    <row r="20" spans="1:22" ht="15" customHeight="1">
      <c r="A20" s="771" t="s">
        <v>226</v>
      </c>
      <c r="B20" s="774" t="s">
        <v>217</v>
      </c>
      <c r="C20" s="456">
        <f>IF(ROUNDDOWN(F20*0.25,0)+$G$2*$H$3&gt;Q20,Q20,ROUNDDOWN(F20*0.25,0)+$G$2*$H$3)</f>
        <v>7.4</v>
      </c>
      <c r="D20" s="456">
        <f>IF(ROUNDDOWN(F20*0.5,0)+$G$2*$H$3&gt;Q20,Q20,ROUNDDOWN(F20*0.5,0)+$G$2*$H$3)</f>
        <v>12.4</v>
      </c>
      <c r="E20" s="456">
        <f>IF(ROUNDDOWN(F20*0.75,0)+$G$2*$H$3&gt;Q20,Q20,ROUNDDOWN(F20*0.75,0)+$G$2*$H$3)</f>
        <v>17.399999999999999</v>
      </c>
      <c r="F20" s="468">
        <f>IF(ROUNDDOWN(Q20/6,0)+$G$2*$H$3&gt;Q20,Q20,ROUNDDOWN(Q20/6,0)+$G$2*$H$3)</f>
        <v>19.399999999999999</v>
      </c>
      <c r="G20" s="456">
        <f>IF(ROUNDDOWN(F20*1.25,0)+$G$2*$H$3&gt;Q20,Q20,ROUNDDOWN(F20*1.25,0)+$G$2*$H$3)</f>
        <v>27.4</v>
      </c>
      <c r="H20" s="456">
        <f>IF(ROUNDDOWN(F20*1.5,0)+$G$2*$H$3&gt;Q20,Q20,ROUNDDOWN(F20*1.5,0)+$G$2*$H$3)</f>
        <v>32.4</v>
      </c>
      <c r="I20" s="468">
        <f>IF(ROUNDDOWN(F20*2,0)+$G$2*$H$3&gt;Q20,Q20,ROUNDDOWN(F20*2,0)+$G$2*$H$3)</f>
        <v>41.4</v>
      </c>
      <c r="J20" s="456">
        <f>IF(ROUNDDOWN(F20*2.5,0)+$G$2*$H$3&gt;Q20,Q20,ROUNDDOWN(F20*2.5,0)+$G$2+$H$3)</f>
        <v>52.4</v>
      </c>
      <c r="K20" s="468">
        <f>IF(ROUNDDOWN(F20*3,0)+$G$2*$H$3&gt;Q20,Q20,ROUNDDOWN(F20*3,0)+$G$2*$H$3)</f>
        <v>61.4</v>
      </c>
      <c r="L20" s="456">
        <f>IF(ROUNDDOWN(F20*3.5,0)+$G$2*$H$3&gt;Q20,Q20,ROUNDDOWN(F20*3.5,0)+$G$2*$H$3)</f>
        <v>70.400000000000006</v>
      </c>
      <c r="M20" s="468">
        <f>IF(ROUNDDOWN(F20*4,0)+$G$2*$H$3&gt;Q20,Q20,ROUNDDOWN(F20*4,0)+$G$2*$H$3)</f>
        <v>80.400000000000006</v>
      </c>
      <c r="N20" s="456">
        <f>IF(ROUNDDOWN(F20*4.5,0)+$G$2*$H$3&gt;Q20,Q20,ROUNDDOWN(F20*4.5,0)+$G$2*$H$3)</f>
        <v>90.4</v>
      </c>
      <c r="O20" s="468">
        <f>IF(ROUNDDOWN(F20*5,0)+$G$2*$H$3&gt;Q20,Q20,ROUNDDOWN(F20*5,0)+$G$2*$H$3)</f>
        <v>100</v>
      </c>
      <c r="P20" s="456">
        <f>IF(ROUNDDOWN(F20*5.5,0)+$G$2*$H$3&gt;Q20,Q20,ROUNDDOWN(F20*5.5,0)+$G$2*$H$3)</f>
        <v>100</v>
      </c>
      <c r="Q20" s="468">
        <f>IF(L2="OUI",150,100)</f>
        <v>100</v>
      </c>
      <c r="R20" s="457" t="s">
        <v>216</v>
      </c>
    </row>
    <row r="21" spans="1:22" ht="15.75" customHeight="1" thickBot="1">
      <c r="A21" s="772"/>
      <c r="B21" s="775"/>
      <c r="C21" s="465">
        <f>IF(ROUNDDOWN(F21*0.25,0)+$B$3*$H$3&gt;Q21,Q21,ROUNDDOWN(F21*0.25,0)+$B$3*$H$3)</f>
        <v>15370</v>
      </c>
      <c r="D21" s="466">
        <f>IF(ROUNDDOWN(F21*0.5,0)+$B$3*$H$3&gt;Q21,Q21,ROUNDDOWN(F21*0.5,0)+$B$3*$H$3)</f>
        <v>15370</v>
      </c>
      <c r="E21" s="466">
        <f>IF(ROUNDDOWN(F21*0.75,0)+$B$3*$H$3&gt;Q21,Q21,ROUNDDOWN(F21*0.75,0)+$B$3*$H$3)</f>
        <v>15370</v>
      </c>
      <c r="F21" s="469">
        <f>IF(ROUNDDOWN(Q21/6,0)+$B$3*$H$3&gt;Q21,Q21,ROUNDDOWN(Q21/6,0)+$B$3*$H$3)</f>
        <v>15370</v>
      </c>
      <c r="G21" s="466">
        <f>IF(ROUNDDOWN(F21*1.25,0)+$B$3*$H$3&gt;Q21,Q21,ROUNDDOWN(F21*1.25,0)+$B$3*$H$3)</f>
        <v>15370</v>
      </c>
      <c r="H21" s="466">
        <f>IF(ROUNDDOWN(F21*1.5,0)+$B$3*$H$3&gt;Q21,Q21,ROUNDDOWN(F21*1.5,0)+$B$3*$H$3)</f>
        <v>15370</v>
      </c>
      <c r="I21" s="469">
        <f>IF(ROUNDDOWN(F21*2,0)+$B$3*$H$3&gt;Q21,Q21,ROUNDDOWN(F21*2,0)+$B$3*$H$3)</f>
        <v>15370</v>
      </c>
      <c r="J21" s="466">
        <f>IF(ROUNDDOWN(F21*2.5,0)+$B$3*$H$3&gt;Q21,Q21,ROUNDDOWN(F21*2.5,0)+$B$3*$H$3)</f>
        <v>15370</v>
      </c>
      <c r="K21" s="469">
        <f>IF(ROUNDDOWN(F21*3,0)+$B$3*$H$3&gt;Q21,Q21,ROUNDDOWN(F21*3,0)+$B$3*$H$3)</f>
        <v>15370</v>
      </c>
      <c r="L21" s="466">
        <f>IF(ROUNDDOWN(F21*3.5,0)+$B$3*$H$3&gt;Q21,Q21,ROUNDDOWN(F21*3.5,0)+$B$3*$H$3)</f>
        <v>15370</v>
      </c>
      <c r="M21" s="469">
        <f>IF(ROUNDDOWN(F21*4,0)+$B$3*$H$3&gt;Q21,Q21,ROUNDDOWN(F21*4,0)+$B$3*$H$3)</f>
        <v>15370</v>
      </c>
      <c r="N21" s="466">
        <f>IF(ROUNDDOWN(F21*4.5,0)+$B$3*$H$3&gt;Q21,Q21,ROUNDDOWN(F21*4.5,0)+$B$3*$H$3)</f>
        <v>15370</v>
      </c>
      <c r="O21" s="469">
        <f>IF(ROUNDDOWN(F21*5,0)+$B$3*$H$3&gt;Q21,Q21,ROUNDDOWN(F21*5,0)+$B$3*$H$3)</f>
        <v>15370</v>
      </c>
      <c r="P21" s="466">
        <f>IF(ROUNDDOWN(F21*5.5,0)+$B$3*$H$3&gt;Q21,Q21,ROUNDDOWN(F21*5.5,0)+$B$3*$H$3)</f>
        <v>15370</v>
      </c>
      <c r="Q21" s="469">
        <f>B2</f>
        <v>15370</v>
      </c>
      <c r="R21" s="467" t="s">
        <v>87</v>
      </c>
    </row>
    <row r="22" spans="1:22" ht="15" customHeight="1">
      <c r="A22" s="772"/>
      <c r="B22" s="774" t="s">
        <v>215</v>
      </c>
      <c r="C22" s="456">
        <f t="shared" ref="C22" si="143">IF(ROUNDDOWN(F22*0.25,0)+$G$2*$H$3&gt;Q22,Q22,ROUNDDOWN(F22*0.25,0)+$G$2*$H$3)</f>
        <v>7.4</v>
      </c>
      <c r="D22" s="456">
        <f t="shared" ref="D22" si="144">IF(ROUNDDOWN(F22*0.5,0)+$G$2*$H$3&gt;Q22,Q22,ROUNDDOWN(F22*0.5,0)+$G$2*$H$3)</f>
        <v>12.4</v>
      </c>
      <c r="E22" s="456">
        <f t="shared" ref="E22" si="145">IF(ROUNDDOWN(F22*0.75,0)+$G$2*$H$3&gt;Q22,Q22,ROUNDDOWN(F22*0.75,0)+$G$2*$H$3)</f>
        <v>17.399999999999999</v>
      </c>
      <c r="F22" s="468">
        <f t="shared" ref="F22" si="146">IF(ROUNDDOWN(Q22/6,0)+$G$2*$H$3&gt;Q22,Q22,ROUNDDOWN(Q22/6,0)+$G$2*$H$3)</f>
        <v>19.399999999999999</v>
      </c>
      <c r="G22" s="456">
        <f t="shared" ref="G22" si="147">IF(ROUNDDOWN(F22*1.25,0)+$G$2*$H$3&gt;Q22,Q22,ROUNDDOWN(F22*1.25,0)+$G$2*$H$3)</f>
        <v>27.4</v>
      </c>
      <c r="H22" s="456">
        <f t="shared" ref="H22" si="148">IF(ROUNDDOWN(F22*1.5,0)+$G$2*$H$3&gt;Q22,Q22,ROUNDDOWN(F22*1.5,0)+$G$2*$H$3)</f>
        <v>32.4</v>
      </c>
      <c r="I22" s="468">
        <f t="shared" ref="I22" si="149">IF(ROUNDDOWN(F22*2,0)+$G$2*$H$3&gt;Q22,Q22,ROUNDDOWN(F22*2,0)+$G$2*$H$3)</f>
        <v>41.4</v>
      </c>
      <c r="J22" s="456">
        <f t="shared" ref="J22" si="150">IF(ROUNDDOWN(F22*2.5,0)+$G$2*$H$3&gt;Q22,Q22,ROUNDDOWN(F22*2.5,0)+$G$2+$H$3)</f>
        <v>52.4</v>
      </c>
      <c r="K22" s="468">
        <f t="shared" ref="K22" si="151">IF(ROUNDDOWN(F22*3,0)+$G$2*$H$3&gt;Q22,Q22,ROUNDDOWN(F22*3,0)+$G$2*$H$3)</f>
        <v>61.4</v>
      </c>
      <c r="L22" s="456">
        <f t="shared" ref="L22" si="152">IF(ROUNDDOWN(F22*3.5,0)+$G$2*$H$3&gt;Q22,Q22,ROUNDDOWN(F22*3.5,0)+$G$2*$H$3)</f>
        <v>70.400000000000006</v>
      </c>
      <c r="M22" s="468">
        <f t="shared" ref="M22" si="153">IF(ROUNDDOWN(F22*4,0)+$G$2*$H$3&gt;Q22,Q22,ROUNDDOWN(F22*4,0)+$G$2*$H$3)</f>
        <v>80.400000000000006</v>
      </c>
      <c r="N22" s="456">
        <f t="shared" ref="N22" si="154">IF(ROUNDDOWN(F22*4.5,0)+$G$2*$H$3&gt;Q22,Q22,ROUNDDOWN(F22*4.5,0)+$G$2*$H$3)</f>
        <v>90.4</v>
      </c>
      <c r="O22" s="468">
        <f t="shared" ref="O22" si="155">IF(ROUNDDOWN(F22*5,0)+$G$2*$H$3&gt;Q22,Q22,ROUNDDOWN(F22*5,0)+$G$2*$H$3)</f>
        <v>100</v>
      </c>
      <c r="P22" s="456">
        <f t="shared" ref="P22" si="156">IF(ROUNDDOWN(F22*5.5,0)+$G$2*$H$3&gt;Q22,Q22,ROUNDDOWN(F22*5.5,0)+$G$2*$H$3)</f>
        <v>100</v>
      </c>
      <c r="Q22" s="468">
        <f>Q20*1</f>
        <v>100</v>
      </c>
      <c r="R22" s="457" t="s">
        <v>216</v>
      </c>
    </row>
    <row r="23" spans="1:22" ht="15.75" customHeight="1" thickBot="1">
      <c r="A23" s="772"/>
      <c r="B23" s="775"/>
      <c r="C23" s="465">
        <f t="shared" ref="C23" si="157">IF(ROUNDDOWN(F23*0.25,0)+$B$3*$H$3&gt;Q23,Q23,ROUNDDOWN(F23*0.25,0)+$B$3*$H$3)</f>
        <v>15370</v>
      </c>
      <c r="D23" s="466">
        <f t="shared" ref="D23" si="158">IF(ROUNDDOWN(F23*0.5,0)+$B$3*$H$3&gt;Q23,Q23,ROUNDDOWN(F23*0.5,0)+$B$3*$H$3)</f>
        <v>15370</v>
      </c>
      <c r="E23" s="466">
        <f t="shared" ref="E23" si="159">IF(ROUNDDOWN(F23*0.75,0)+$B$3*$H$3&gt;Q23,Q23,ROUNDDOWN(F23*0.75,0)+$B$3*$H$3)</f>
        <v>15370</v>
      </c>
      <c r="F23" s="469">
        <f t="shared" ref="F23" si="160">IF(ROUNDDOWN(Q23/6,0)+$B$3*$H$3&gt;Q23,Q23,ROUNDDOWN(Q23/6,0)+$B$3*$H$3)</f>
        <v>15370</v>
      </c>
      <c r="G23" s="466">
        <f t="shared" ref="G23" si="161">IF(ROUNDDOWN(F23*1.25,0)+$B$3*$H$3&gt;Q23,Q23,ROUNDDOWN(F23*1.25,0)+$B$3*$H$3)</f>
        <v>15370</v>
      </c>
      <c r="H23" s="466">
        <f t="shared" ref="H23" si="162">IF(ROUNDDOWN(F23*1.5,0)+$B$3*$H$3&gt;Q23,Q23,ROUNDDOWN(F23*1.5,0)+$B$3*$H$3)</f>
        <v>15370</v>
      </c>
      <c r="I23" s="469">
        <f t="shared" ref="I23" si="163">IF(ROUNDDOWN(F23*2,0)+$B$3*$H$3&gt;Q23,Q23,ROUNDDOWN(F23*2,0)+$B$3*$H$3)</f>
        <v>15370</v>
      </c>
      <c r="J23" s="466">
        <f t="shared" ref="J23" si="164">IF(ROUNDDOWN(F23*2.5,0)+$B$3*$H$3&gt;Q23,Q23,ROUNDDOWN(F23*2.5,0)+$B$3*$H$3)</f>
        <v>15370</v>
      </c>
      <c r="K23" s="469">
        <f t="shared" ref="K23" si="165">IF(ROUNDDOWN(F23*3,0)+$B$3*$H$3&gt;Q23,Q23,ROUNDDOWN(F23*3,0)+$B$3*$H$3)</f>
        <v>15370</v>
      </c>
      <c r="L23" s="466">
        <f t="shared" ref="L23" si="166">IF(ROUNDDOWN(F23*3.5,0)+$B$3*$H$3&gt;Q23,Q23,ROUNDDOWN(F23*3.5,0)+$B$3*$H$3)</f>
        <v>15370</v>
      </c>
      <c r="M23" s="469">
        <f t="shared" ref="M23" si="167">IF(ROUNDDOWN(F23*4,0)+$B$3*$H$3&gt;Q23,Q23,ROUNDDOWN(F23*4,0)+$B$3*$H$3)</f>
        <v>15370</v>
      </c>
      <c r="N23" s="466">
        <f t="shared" ref="N23" si="168">IF(ROUNDDOWN(F23*4.5,0)+$B$3*$H$3&gt;Q23,Q23,ROUNDDOWN(F23*4.5,0)+$B$3*$H$3)</f>
        <v>15370</v>
      </c>
      <c r="O23" s="469">
        <f t="shared" ref="O23" si="169">IF(ROUNDDOWN(F23*5,0)+$B$3*$H$3&gt;Q23,Q23,ROUNDDOWN(F23*5,0)+$B$3*$H$3)</f>
        <v>15370</v>
      </c>
      <c r="P23" s="466">
        <f t="shared" ref="P23" si="170">IF(ROUNDDOWN(F23*5.5,0)+$B$3*$H$3&gt;Q23,Q23,ROUNDDOWN(F23*5.5,0)+$B$3*$H$3)</f>
        <v>15370</v>
      </c>
      <c r="Q23" s="469">
        <f>B2</f>
        <v>15370</v>
      </c>
      <c r="R23" s="467" t="s">
        <v>87</v>
      </c>
    </row>
    <row r="24" spans="1:22" ht="15" customHeight="1">
      <c r="A24" s="772"/>
      <c r="B24" s="774" t="s">
        <v>214</v>
      </c>
      <c r="C24" s="456">
        <f t="shared" ref="C24" si="171">IF(ROUNDDOWN(F24*0.25,0)+$G$2*$H$3&gt;Q24,Q24,ROUNDDOWN(F24*0.25,0)+$G$2*$H$3)</f>
        <v>7.4</v>
      </c>
      <c r="D24" s="456">
        <f t="shared" ref="D24" si="172">IF(ROUNDDOWN(F24*0.5,0)+$G$2*$H$3&gt;Q24,Q24,ROUNDDOWN(F24*0.5,0)+$G$2*$H$3)</f>
        <v>12.4</v>
      </c>
      <c r="E24" s="456">
        <f t="shared" ref="E24" si="173">IF(ROUNDDOWN(F24*0.75,0)+$G$2*$H$3&gt;Q24,Q24,ROUNDDOWN(F24*0.75,0)+$G$2*$H$3)</f>
        <v>16.399999999999999</v>
      </c>
      <c r="F24" s="468">
        <f t="shared" ref="F24" si="174">IF(ROUNDDOWN(Q24/6,0)+$G$2*$H$3&gt;Q24,Q24,ROUNDDOWN(Q24/6,0)+$G$2*$H$3)</f>
        <v>18.399999999999999</v>
      </c>
      <c r="G24" s="456">
        <f t="shared" ref="G24" si="175">IF(ROUNDDOWN(F24*1.25,0)+$G$2*$H$3&gt;Q24,Q24,ROUNDDOWN(F24*1.25,0)+$G$2*$H$3)</f>
        <v>26.4</v>
      </c>
      <c r="H24" s="456">
        <f t="shared" ref="H24" si="176">IF(ROUNDDOWN(F24*1.5,0)+$G$2*$H$3&gt;Q24,Q24,ROUNDDOWN(F24*1.5,0)+$G$2*$H$3)</f>
        <v>30.4</v>
      </c>
      <c r="I24" s="468">
        <f t="shared" ref="I24" si="177">IF(ROUNDDOWN(F24*2,0)+$G$2*$H$3&gt;Q24,Q24,ROUNDDOWN(F24*2,0)+$G$2*$H$3)</f>
        <v>39.4</v>
      </c>
      <c r="J24" s="456">
        <f t="shared" ref="J24" si="178">IF(ROUNDDOWN(F24*2.5,0)+$G$2*$H$3&gt;Q24,Q24,ROUNDDOWN(F24*2.5,0)+$G$2+$H$3)</f>
        <v>50.4</v>
      </c>
      <c r="K24" s="468">
        <f t="shared" ref="K24" si="179">IF(ROUNDDOWN(F24*3,0)+$G$2*$H$3&gt;Q24,Q24,ROUNDDOWN(F24*3,0)+$G$2*$H$3)</f>
        <v>58.4</v>
      </c>
      <c r="L24" s="456">
        <f t="shared" ref="L24" si="180">IF(ROUNDDOWN(F24*3.5,0)+$G$2*$H$3&gt;Q24,Q24,ROUNDDOWN(F24*3.5,0)+$G$2*$H$3)</f>
        <v>67.400000000000006</v>
      </c>
      <c r="M24" s="468">
        <f t="shared" ref="M24" si="181">IF(ROUNDDOWN(F24*4,0)+$G$2*$H$3&gt;Q24,Q24,ROUNDDOWN(F24*4,0)+$G$2*$H$3)</f>
        <v>76.400000000000006</v>
      </c>
      <c r="N24" s="456">
        <f t="shared" ref="N24" si="182">IF(ROUNDDOWN(F24*4.5,0)+$G$2*$H$3&gt;Q24,Q24,ROUNDDOWN(F24*4.5,0)+$G$2*$H$3)</f>
        <v>85.4</v>
      </c>
      <c r="O24" s="468">
        <f t="shared" ref="O24" si="183">IF(ROUNDDOWN(F24*5,0)+$G$2*$H$3&gt;Q24,Q24,ROUNDDOWN(F24*5,0)+$G$2*$H$3)</f>
        <v>95</v>
      </c>
      <c r="P24" s="456">
        <f t="shared" ref="P24" si="184">IF(ROUNDDOWN(F24*5.5,0)+$G$2*$H$3&gt;Q24,Q24,ROUNDDOWN(F24*5.5,0)+$G$2*$H$3)</f>
        <v>95</v>
      </c>
      <c r="Q24" s="468">
        <f>Q20*0.95</f>
        <v>95</v>
      </c>
      <c r="R24" s="457" t="s">
        <v>216</v>
      </c>
    </row>
    <row r="25" spans="1:22" ht="15.75" customHeight="1" thickBot="1">
      <c r="A25" s="772"/>
      <c r="B25" s="775"/>
      <c r="C25" s="465">
        <f t="shared" ref="C25" si="185">IF(ROUNDDOWN(F25*0.25,0)+$B$3*$H$3&gt;Q25,Q25,ROUNDDOWN(F25*0.25,0)+$B$3*$H$3)</f>
        <v>14601</v>
      </c>
      <c r="D25" s="466">
        <f t="shared" ref="D25" si="186">IF(ROUNDDOWN(F25*0.5,0)+$B$3*$H$3&gt;Q25,Q25,ROUNDDOWN(F25*0.5,0)+$B$3*$H$3)</f>
        <v>14601</v>
      </c>
      <c r="E25" s="466">
        <f t="shared" ref="E25" si="187">IF(ROUNDDOWN(F25*0.75,0)+$B$3*$H$3&gt;Q25,Q25,ROUNDDOWN(F25*0.75,0)+$B$3*$H$3)</f>
        <v>14601</v>
      </c>
      <c r="F25" s="469">
        <f t="shared" ref="F25" si="188">IF(ROUNDDOWN(Q25/6,0)+$B$3*$H$3&gt;Q25,Q25,ROUNDDOWN(Q25/6,0)+$B$3*$H$3)</f>
        <v>14601</v>
      </c>
      <c r="G25" s="466">
        <f t="shared" ref="G25" si="189">IF(ROUNDDOWN(F25*1.25,0)+$B$3*$H$3&gt;Q25,Q25,ROUNDDOWN(F25*1.25,0)+$B$3*$H$3)</f>
        <v>14601</v>
      </c>
      <c r="H25" s="466">
        <f t="shared" ref="H25" si="190">IF(ROUNDDOWN(F25*1.5,0)+$B$3*$H$3&gt;Q25,Q25,ROUNDDOWN(F25*1.5,0)+$B$3*$H$3)</f>
        <v>14601</v>
      </c>
      <c r="I25" s="469">
        <f t="shared" ref="I25" si="191">IF(ROUNDDOWN(F25*2,0)+$B$3*$H$3&gt;Q25,Q25,ROUNDDOWN(F25*2,0)+$B$3*$H$3)</f>
        <v>14601</v>
      </c>
      <c r="J25" s="466">
        <f t="shared" ref="J25" si="192">IF(ROUNDDOWN(F25*2.5,0)+$B$3*$H$3&gt;Q25,Q25,ROUNDDOWN(F25*2.5,0)+$B$3*$H$3)</f>
        <v>14601</v>
      </c>
      <c r="K25" s="469">
        <f t="shared" ref="K25" si="193">IF(ROUNDDOWN(F25*3,0)+$B$3*$H$3&gt;Q25,Q25,ROUNDDOWN(F25*3,0)+$B$3*$H$3)</f>
        <v>14601</v>
      </c>
      <c r="L25" s="466">
        <f t="shared" ref="L25" si="194">IF(ROUNDDOWN(F25*3.5,0)+$B$3*$H$3&gt;Q25,Q25,ROUNDDOWN(F25*3.5,0)+$B$3*$H$3)</f>
        <v>14601</v>
      </c>
      <c r="M25" s="469">
        <f t="shared" ref="M25" si="195">IF(ROUNDDOWN(F25*4,0)+$B$3*$H$3&gt;Q25,Q25,ROUNDDOWN(F25*4,0)+$B$3*$H$3)</f>
        <v>14601</v>
      </c>
      <c r="N25" s="466">
        <f t="shared" ref="N25" si="196">IF(ROUNDDOWN(F25*4.5,0)+$B$3*$H$3&gt;Q25,Q25,ROUNDDOWN(F25*4.5,0)+$B$3*$H$3)</f>
        <v>14601</v>
      </c>
      <c r="O25" s="469">
        <f t="shared" ref="O25" si="197">IF(ROUNDDOWN(F25*5,0)+$B$3*$H$3&gt;Q25,Q25,ROUNDDOWN(F25*5,0)+$B$3*$H$3)</f>
        <v>14601</v>
      </c>
      <c r="P25" s="466">
        <f t="shared" ref="P25" si="198">IF(ROUNDDOWN(F25*5.5,0)+$B$3*$H$3&gt;Q25,Q25,ROUNDDOWN(F25*5.5,0)+$B$3*$H$3)</f>
        <v>14601</v>
      </c>
      <c r="Q25" s="469">
        <f>ROUNDDOWN(Q23*0.95,0)</f>
        <v>14601</v>
      </c>
      <c r="R25" s="467" t="s">
        <v>87</v>
      </c>
    </row>
    <row r="26" spans="1:22" ht="15" customHeight="1">
      <c r="A26" s="772"/>
      <c r="B26" s="774" t="s">
        <v>213</v>
      </c>
      <c r="C26" s="456">
        <f t="shared" ref="C26" si="199">IF(ROUNDDOWN(F26*0.25,0)+$G$2*$H$3&gt;Q26,Q26,ROUNDDOWN(F26*0.25,0)+$G$2*$H$3)</f>
        <v>7.4</v>
      </c>
      <c r="D26" s="456">
        <f t="shared" ref="D26" si="200">IF(ROUNDDOWN(F26*0.5,0)+$G$2*$H$3&gt;Q26,Q26,ROUNDDOWN(F26*0.5,0)+$G$2*$H$3)</f>
        <v>12.4</v>
      </c>
      <c r="E26" s="456">
        <f t="shared" ref="E26" si="201">IF(ROUNDDOWN(F26*0.75,0)+$G$2*$H$3&gt;Q26,Q26,ROUNDDOWN(F26*0.75,0)+$G$2*$H$3)</f>
        <v>16.399999999999999</v>
      </c>
      <c r="F26" s="468">
        <f t="shared" ref="F26" si="202">IF(ROUNDDOWN(Q26/6,0)+$G$2*$H$3&gt;Q26,Q26,ROUNDDOWN(Q26/6,0)+$G$2*$H$3)</f>
        <v>18.399999999999999</v>
      </c>
      <c r="G26" s="456">
        <f t="shared" ref="G26" si="203">IF(ROUNDDOWN(F26*1.25,0)+$G$2*$H$3&gt;Q26,Q26,ROUNDDOWN(F26*1.25,0)+$G$2*$H$3)</f>
        <v>26.4</v>
      </c>
      <c r="H26" s="456">
        <f t="shared" ref="H26" si="204">IF(ROUNDDOWN(F26*1.5,0)+$G$2*$H$3&gt;Q26,Q26,ROUNDDOWN(F26*1.5,0)+$G$2*$H$3)</f>
        <v>30.4</v>
      </c>
      <c r="I26" s="468">
        <f t="shared" ref="I26" si="205">IF(ROUNDDOWN(F26*2,0)+$G$2*$H$3&gt;Q26,Q26,ROUNDDOWN(F26*2,0)+$G$2*$H$3)</f>
        <v>39.4</v>
      </c>
      <c r="J26" s="456">
        <f t="shared" ref="J26" si="206">IF(ROUNDDOWN(F26*2.5,0)+$G$2*$H$3&gt;Q26,Q26,ROUNDDOWN(F26*2.5,0)+$G$2+$H$3)</f>
        <v>50.4</v>
      </c>
      <c r="K26" s="468">
        <f t="shared" ref="K26" si="207">IF(ROUNDDOWN(F26*3,0)+$G$2*$H$3&gt;Q26,Q26,ROUNDDOWN(F26*3,0)+$G$2*$H$3)</f>
        <v>58.4</v>
      </c>
      <c r="L26" s="456">
        <f t="shared" ref="L26" si="208">IF(ROUNDDOWN(F26*3.5,0)+$G$2*$H$3&gt;Q26,Q26,ROUNDDOWN(F26*3.5,0)+$G$2*$H$3)</f>
        <v>67.400000000000006</v>
      </c>
      <c r="M26" s="468">
        <f t="shared" ref="M26" si="209">IF(ROUNDDOWN(F26*4,0)+$G$2*$H$3&gt;Q26,Q26,ROUNDDOWN(F26*4,0)+$G$2*$H$3)</f>
        <v>76.400000000000006</v>
      </c>
      <c r="N26" s="456">
        <f t="shared" ref="N26" si="210">IF(ROUNDDOWN(F26*4.5,0)+$G$2*$H$3&gt;Q26,Q26,ROUNDDOWN(F26*4.5,0)+$G$2*$H$3)</f>
        <v>85.4</v>
      </c>
      <c r="O26" s="468">
        <f t="shared" ref="O26" si="211">IF(ROUNDDOWN(F26*5,0)+$G$2*$H$3&gt;Q26,Q26,ROUNDDOWN(F26*5,0)+$G$2*$H$3)</f>
        <v>90</v>
      </c>
      <c r="P26" s="456">
        <f t="shared" ref="P26" si="212">IF(ROUNDDOWN(F26*5.5,0)+$G$2*$H$3&gt;Q26,Q26,ROUNDDOWN(F26*5.5,0)+$G$2*$H$3)</f>
        <v>90</v>
      </c>
      <c r="Q26" s="468">
        <f>Q20*0.9</f>
        <v>90</v>
      </c>
      <c r="R26" s="457" t="s">
        <v>216</v>
      </c>
    </row>
    <row r="27" spans="1:22" ht="15.75" customHeight="1" thickBot="1">
      <c r="A27" s="772"/>
      <c r="B27" s="775"/>
      <c r="C27" s="465">
        <f t="shared" ref="C27" si="213">IF(ROUNDDOWN(F27*0.25,0)+$B$3*$H$3&gt;Q27,Q27,ROUNDDOWN(F27*0.25,0)+$B$3*$H$3)</f>
        <v>13833</v>
      </c>
      <c r="D27" s="466">
        <f t="shared" ref="D27" si="214">IF(ROUNDDOWN(F27*0.5,0)+$B$3*$H$3&gt;Q27,Q27,ROUNDDOWN(F27*0.5,0)+$B$3*$H$3)</f>
        <v>13833</v>
      </c>
      <c r="E27" s="466">
        <f t="shared" ref="E27" si="215">IF(ROUNDDOWN(F27*0.75,0)+$B$3*$H$3&gt;Q27,Q27,ROUNDDOWN(F27*0.75,0)+$B$3*$H$3)</f>
        <v>13833</v>
      </c>
      <c r="F27" s="469">
        <f t="shared" ref="F27" si="216">IF(ROUNDDOWN(Q27/6,0)+$B$3*$H$3&gt;Q27,Q27,ROUNDDOWN(Q27/6,0)+$B$3*$H$3)</f>
        <v>13833</v>
      </c>
      <c r="G27" s="466">
        <f t="shared" ref="G27" si="217">IF(ROUNDDOWN(F27*1.25,0)+$B$3*$H$3&gt;Q27,Q27,ROUNDDOWN(F27*1.25,0)+$B$3*$H$3)</f>
        <v>13833</v>
      </c>
      <c r="H27" s="466">
        <f t="shared" ref="H27" si="218">IF(ROUNDDOWN(F27*1.5,0)+$B$3*$H$3&gt;Q27,Q27,ROUNDDOWN(F27*1.5,0)+$B$3*$H$3)</f>
        <v>13833</v>
      </c>
      <c r="I27" s="469">
        <f t="shared" ref="I27" si="219">IF(ROUNDDOWN(F27*2,0)+$B$3*$H$3&gt;Q27,Q27,ROUNDDOWN(F27*2,0)+$B$3*$H$3)</f>
        <v>13833</v>
      </c>
      <c r="J27" s="466">
        <f t="shared" ref="J27" si="220">IF(ROUNDDOWN(F27*2.5,0)+$B$3*$H$3&gt;Q27,Q27,ROUNDDOWN(F27*2.5,0)+$B$3*$H$3)</f>
        <v>13833</v>
      </c>
      <c r="K27" s="469">
        <f t="shared" ref="K27" si="221">IF(ROUNDDOWN(F27*3,0)+$B$3*$H$3&gt;Q27,Q27,ROUNDDOWN(F27*3,0)+$B$3*$H$3)</f>
        <v>13833</v>
      </c>
      <c r="L27" s="466">
        <f t="shared" ref="L27" si="222">IF(ROUNDDOWN(F27*3.5,0)+$B$3*$H$3&gt;Q27,Q27,ROUNDDOWN(F27*3.5,0)+$B$3*$H$3)</f>
        <v>13833</v>
      </c>
      <c r="M27" s="469">
        <f t="shared" ref="M27" si="223">IF(ROUNDDOWN(F27*4,0)+$B$3*$H$3&gt;Q27,Q27,ROUNDDOWN(F27*4,0)+$B$3*$H$3)</f>
        <v>13833</v>
      </c>
      <c r="N27" s="466">
        <f t="shared" ref="N27" si="224">IF(ROUNDDOWN(F27*4.5,0)+$B$3*$H$3&gt;Q27,Q27,ROUNDDOWN(F27*4.5,0)+$B$3*$H$3)</f>
        <v>13833</v>
      </c>
      <c r="O27" s="469">
        <f t="shared" ref="O27" si="225">IF(ROUNDDOWN(F27*5,0)+$B$3*$H$3&gt;Q27,Q27,ROUNDDOWN(F27*5,0)+$B$3*$H$3)</f>
        <v>13833</v>
      </c>
      <c r="P27" s="466">
        <f t="shared" ref="P27" si="226">IF(ROUNDDOWN(F27*5.5,0)+$B$3*$H$3&gt;Q27,Q27,ROUNDDOWN(F27*5.5,0)+$B$3*$H$3)</f>
        <v>13833</v>
      </c>
      <c r="Q27" s="469">
        <f>ROUNDDOWN(Q21*0.9,0)</f>
        <v>13833</v>
      </c>
      <c r="R27" s="467" t="s">
        <v>87</v>
      </c>
    </row>
    <row r="28" spans="1:22" ht="15" customHeight="1">
      <c r="A28" s="772"/>
      <c r="B28" s="774" t="s">
        <v>212</v>
      </c>
      <c r="C28" s="456">
        <f t="shared" ref="C28" si="227">IF(ROUNDDOWN(F28*0.25,0)+$G$2*$H$3&gt;Q28,Q28,ROUNDDOWN(F28*0.25,0)+$G$2*$H$3)</f>
        <v>7.4</v>
      </c>
      <c r="D28" s="456">
        <f t="shared" ref="D28" si="228">IF(ROUNDDOWN(F28*0.5,0)+$G$2*$H$3&gt;Q28,Q28,ROUNDDOWN(F28*0.5,0)+$G$2*$H$3)</f>
        <v>11.4</v>
      </c>
      <c r="E28" s="456">
        <f t="shared" ref="E28" si="229">IF(ROUNDDOWN(F28*0.75,0)+$G$2*$H$3&gt;Q28,Q28,ROUNDDOWN(F28*0.75,0)+$G$2*$H$3)</f>
        <v>16.399999999999999</v>
      </c>
      <c r="F28" s="468">
        <f t="shared" ref="F28" si="230">IF(ROUNDDOWN(Q28/6,0)+$G$2*$H$3&gt;Q28,Q28,ROUNDDOWN(Q28/6,0)+$G$2*$H$3)</f>
        <v>17.399999999999999</v>
      </c>
      <c r="G28" s="456">
        <f t="shared" ref="G28" si="231">IF(ROUNDDOWN(F28*1.25,0)+$G$2*$H$3&gt;Q28,Q28,ROUNDDOWN(F28*1.25,0)+$G$2*$H$3)</f>
        <v>24.4</v>
      </c>
      <c r="H28" s="456">
        <f t="shared" ref="H28" si="232">IF(ROUNDDOWN(F28*1.5,0)+$G$2*$H$3&gt;Q28,Q28,ROUNDDOWN(F28*1.5,0)+$G$2*$H$3)</f>
        <v>29.4</v>
      </c>
      <c r="I28" s="468">
        <f t="shared" ref="I28" si="233">IF(ROUNDDOWN(F28*2,0)+$G$2*$H$3&gt;Q28,Q28,ROUNDDOWN(F28*2,0)+$G$2*$H$3)</f>
        <v>37.4</v>
      </c>
      <c r="J28" s="456">
        <f t="shared" ref="J28" si="234">IF(ROUNDDOWN(F28*2.5,0)+$G$2*$H$3&gt;Q28,Q28,ROUNDDOWN(F28*2.5,0)+$G$2+$H$3)</f>
        <v>47.4</v>
      </c>
      <c r="K28" s="468">
        <f t="shared" ref="K28" si="235">IF(ROUNDDOWN(F28*3,0)+$G$2*$H$3&gt;Q28,Q28,ROUNDDOWN(F28*3,0)+$G$2*$H$3)</f>
        <v>55.4</v>
      </c>
      <c r="L28" s="456">
        <f t="shared" ref="L28" si="236">IF(ROUNDDOWN(F28*3.5,0)+$G$2*$H$3&gt;Q28,Q28,ROUNDDOWN(F28*3.5,0)+$G$2*$H$3)</f>
        <v>63.4</v>
      </c>
      <c r="M28" s="468">
        <f t="shared" ref="M28" si="237">IF(ROUNDDOWN(F28*4,0)+$G$2*$H$3&gt;Q28,Q28,ROUNDDOWN(F28*4,0)+$G$2*$H$3)</f>
        <v>72.400000000000006</v>
      </c>
      <c r="N28" s="456">
        <f t="shared" ref="N28" si="238">IF(ROUNDDOWN(F28*4.5,0)+$G$2*$H$3&gt;Q28,Q28,ROUNDDOWN(F28*4.5,0)+$G$2*$H$3)</f>
        <v>81.400000000000006</v>
      </c>
      <c r="O28" s="468">
        <f t="shared" ref="O28" si="239">IF(ROUNDDOWN(F28*5,0)+$G$2*$H$3&gt;Q28,Q28,ROUNDDOWN(F28*5,0)+$G$2*$H$3)</f>
        <v>85</v>
      </c>
      <c r="P28" s="456">
        <f t="shared" ref="P28" si="240">IF(ROUNDDOWN(F28*5.5,0)+$G$2*$H$3&gt;Q28,Q28,ROUNDDOWN(F28*5.5,0)+$G$2*$H$3)</f>
        <v>85</v>
      </c>
      <c r="Q28" s="468">
        <f>Q20*0.85</f>
        <v>85</v>
      </c>
      <c r="R28" s="457" t="s">
        <v>216</v>
      </c>
    </row>
    <row r="29" spans="1:22" ht="15.75" customHeight="1" thickBot="1">
      <c r="A29" s="772"/>
      <c r="B29" s="775"/>
      <c r="C29" s="465">
        <f t="shared" ref="C29" si="241">IF(ROUNDDOWN(F29*0.25,0)+$B$3*$H$3&gt;Q29,Q29,ROUNDDOWN(F29*0.25,0)+$B$3*$H$3)</f>
        <v>13064</v>
      </c>
      <c r="D29" s="466">
        <f t="shared" ref="D29" si="242">IF(ROUNDDOWN(F29*0.5,0)+$B$3*$H$3&gt;Q29,Q29,ROUNDDOWN(F29*0.5,0)+$B$3*$H$3)</f>
        <v>13064</v>
      </c>
      <c r="E29" s="466">
        <f t="shared" ref="E29" si="243">IF(ROUNDDOWN(F29*0.75,0)+$B$3*$H$3&gt;Q29,Q29,ROUNDDOWN(F29*0.75,0)+$B$3*$H$3)</f>
        <v>13064</v>
      </c>
      <c r="F29" s="469">
        <f t="shared" ref="F29" si="244">IF(ROUNDDOWN(Q29/6,0)+$B$3*$H$3&gt;Q29,Q29,ROUNDDOWN(Q29/6,0)+$B$3*$H$3)</f>
        <v>13064</v>
      </c>
      <c r="G29" s="466">
        <f t="shared" ref="G29" si="245">IF(ROUNDDOWN(F29*1.25,0)+$B$3*$H$3&gt;Q29,Q29,ROUNDDOWN(F29*1.25,0)+$B$3*$H$3)</f>
        <v>13064</v>
      </c>
      <c r="H29" s="466">
        <f t="shared" ref="H29" si="246">IF(ROUNDDOWN(F29*1.5,0)+$B$3*$H$3&gt;Q29,Q29,ROUNDDOWN(F29*1.5,0)+$B$3*$H$3)</f>
        <v>13064</v>
      </c>
      <c r="I29" s="469">
        <f t="shared" ref="I29" si="247">IF(ROUNDDOWN(F29*2,0)+$B$3*$H$3&gt;Q29,Q29,ROUNDDOWN(F29*2,0)+$B$3*$H$3)</f>
        <v>13064</v>
      </c>
      <c r="J29" s="466">
        <f t="shared" ref="J29" si="248">IF(ROUNDDOWN(F29*2.5,0)+$B$3*$H$3&gt;Q29,Q29,ROUNDDOWN(F29*2.5,0)+$B$3*$H$3)</f>
        <v>13064</v>
      </c>
      <c r="K29" s="469">
        <f t="shared" ref="K29" si="249">IF(ROUNDDOWN(F29*3,0)+$B$3*$H$3&gt;Q29,Q29,ROUNDDOWN(F29*3,0)+$B$3*$H$3)</f>
        <v>13064</v>
      </c>
      <c r="L29" s="466">
        <f t="shared" ref="L29" si="250">IF(ROUNDDOWN(F29*3.5,0)+$B$3*$H$3&gt;Q29,Q29,ROUNDDOWN(F29*3.5,0)+$B$3*$H$3)</f>
        <v>13064</v>
      </c>
      <c r="M29" s="469">
        <f t="shared" ref="M29" si="251">IF(ROUNDDOWN(F29*4,0)+$B$3*$H$3&gt;Q29,Q29,ROUNDDOWN(F29*4,0)+$B$3*$H$3)</f>
        <v>13064</v>
      </c>
      <c r="N29" s="466">
        <f t="shared" ref="N29" si="252">IF(ROUNDDOWN(F29*4.5,0)+$B$3*$H$3&gt;Q29,Q29,ROUNDDOWN(F29*4.5,0)+$B$3*$H$3)</f>
        <v>13064</v>
      </c>
      <c r="O29" s="469">
        <f t="shared" ref="O29" si="253">IF(ROUNDDOWN(F29*5,0)+$B$3*$H$3&gt;Q29,Q29,ROUNDDOWN(F29*5,0)+$B$3*$H$3)</f>
        <v>13064</v>
      </c>
      <c r="P29" s="466">
        <f t="shared" ref="P29" si="254">IF(ROUNDDOWN(F29*5.5,0)+$B$3*$H$3&gt;Q29,Q29,ROUNDDOWN(F29*5.5,0)+$B$3*$H$3)</f>
        <v>13064</v>
      </c>
      <c r="Q29" s="469">
        <f>ROUNDDOWN(Q21*0.85,0)</f>
        <v>13064</v>
      </c>
      <c r="R29" s="467" t="s">
        <v>87</v>
      </c>
    </row>
    <row r="30" spans="1:22" ht="15" customHeight="1">
      <c r="A30" s="772"/>
      <c r="B30" s="769" t="s">
        <v>211</v>
      </c>
      <c r="C30" s="456">
        <f t="shared" ref="C30" si="255">IF(ROUNDDOWN(F30*0.25,0)+$G$2*$H$3&gt;Q30,Q30,ROUNDDOWN(F30*0.25,0)+$G$2*$H$3)</f>
        <v>7.4</v>
      </c>
      <c r="D30" s="456">
        <f t="shared" ref="D30" si="256">IF(ROUNDDOWN(F30*0.5,0)+$G$2*$H$3&gt;Q30,Q30,ROUNDDOWN(F30*0.5,0)+$G$2*$H$3)</f>
        <v>11.4</v>
      </c>
      <c r="E30" s="456">
        <f t="shared" ref="E30" si="257">IF(ROUNDDOWN(F30*0.75,0)+$G$2*$H$3&gt;Q30,Q30,ROUNDDOWN(F30*0.75,0)+$G$2*$H$3)</f>
        <v>15.4</v>
      </c>
      <c r="F30" s="468">
        <f t="shared" ref="F30" si="258">IF(ROUNDDOWN(Q30/6,0)+$G$2*$H$3&gt;Q30,Q30,ROUNDDOWN(Q30/6,0)+$G$2*$H$3)</f>
        <v>16.399999999999999</v>
      </c>
      <c r="G30" s="456">
        <f t="shared" ref="G30" si="259">IF(ROUNDDOWN(F30*1.25,0)+$G$2*$H$3&gt;Q30,Q30,ROUNDDOWN(F30*1.25,0)+$G$2*$H$3)</f>
        <v>23.4</v>
      </c>
      <c r="H30" s="456">
        <f t="shared" ref="H30" si="260">IF(ROUNDDOWN(F30*1.5,0)+$G$2*$H$3&gt;Q30,Q30,ROUNDDOWN(F30*1.5,0)+$G$2*$H$3)</f>
        <v>27.4</v>
      </c>
      <c r="I30" s="468">
        <f t="shared" ref="I30" si="261">IF(ROUNDDOWN(F30*2,0)+$G$2*$H$3&gt;Q30,Q30,ROUNDDOWN(F30*2,0)+$G$2*$H$3)</f>
        <v>35.4</v>
      </c>
      <c r="J30" s="456">
        <f t="shared" ref="J30" si="262">IF(ROUNDDOWN(F30*2.5,0)+$G$2*$H$3&gt;Q30,Q30,ROUNDDOWN(F30*2.5,0)+$G$2+$H$3)</f>
        <v>45.4</v>
      </c>
      <c r="K30" s="468">
        <f t="shared" ref="K30" si="263">IF(ROUNDDOWN(F30*3,0)+$G$2*$H$3&gt;Q30,Q30,ROUNDDOWN(F30*3,0)+$G$2*$H$3)</f>
        <v>52.4</v>
      </c>
      <c r="L30" s="456">
        <f t="shared" ref="L30" si="264">IF(ROUNDDOWN(F30*3.5,0)+$G$2*$H$3&gt;Q30,Q30,ROUNDDOWN(F30*3.5,0)+$G$2*$H$3)</f>
        <v>60.4</v>
      </c>
      <c r="M30" s="468">
        <f t="shared" ref="M30" si="265">IF(ROUNDDOWN(F30*4,0)+$G$2*$H$3&gt;Q30,Q30,ROUNDDOWN(F30*4,0)+$G$2*$H$3)</f>
        <v>68.400000000000006</v>
      </c>
      <c r="N30" s="456">
        <f t="shared" ref="N30" si="266">IF(ROUNDDOWN(F30*4.5,0)+$G$2*$H$3&gt;Q30,Q30,ROUNDDOWN(F30*4.5,0)+$G$2*$H$3)</f>
        <v>76.400000000000006</v>
      </c>
      <c r="O30" s="468">
        <f t="shared" ref="O30" si="267">IF(ROUNDDOWN(F30*5,0)+$G$2*$H$3&gt;Q30,Q30,ROUNDDOWN(F30*5,0)+$G$2*$H$3)</f>
        <v>80</v>
      </c>
      <c r="P30" s="456">
        <f t="shared" ref="P30" si="268">IF(ROUNDDOWN(F30*5.5,0)+$G$2*$H$3&gt;Q30,Q30,ROUNDDOWN(F30*5.5,0)+$G$2*$H$3)</f>
        <v>80</v>
      </c>
      <c r="Q30" s="468">
        <f>Q20*0.8</f>
        <v>80</v>
      </c>
      <c r="R30" s="457" t="s">
        <v>216</v>
      </c>
    </row>
    <row r="31" spans="1:22" ht="15.75" customHeight="1" thickBot="1">
      <c r="A31" s="773"/>
      <c r="B31" s="770"/>
      <c r="C31" s="465">
        <f t="shared" ref="C31" si="269">IF(ROUNDDOWN(F31*0.25,0)+$B$3*$H$3&gt;Q31,Q31,ROUNDDOWN(F31*0.25,0)+$B$3*$H$3)</f>
        <v>12296</v>
      </c>
      <c r="D31" s="466">
        <f t="shared" ref="D31" si="270">IF(ROUNDDOWN(F31*0.5,0)+$B$3*$H$3&gt;Q31,Q31,ROUNDDOWN(F31*0.5,0)+$B$3*$H$3)</f>
        <v>12296</v>
      </c>
      <c r="E31" s="466">
        <f t="shared" ref="E31" si="271">IF(ROUNDDOWN(F31*0.75,0)+$B$3*$H$3&gt;Q31,Q31,ROUNDDOWN(F31*0.75,0)+$B$3*$H$3)</f>
        <v>12296</v>
      </c>
      <c r="F31" s="469">
        <f t="shared" ref="F31" si="272">IF(ROUNDDOWN(Q31/6,0)+$B$3*$H$3&gt;Q31,Q31,ROUNDDOWN(Q31/6,0)+$B$3*$H$3)</f>
        <v>12296</v>
      </c>
      <c r="G31" s="466">
        <f t="shared" ref="G31" si="273">IF(ROUNDDOWN(F31*1.25,0)+$B$3*$H$3&gt;Q31,Q31,ROUNDDOWN(F31*1.25,0)+$B$3*$H$3)</f>
        <v>12296</v>
      </c>
      <c r="H31" s="466">
        <f t="shared" ref="H31" si="274">IF(ROUNDDOWN(F31*1.5,0)+$B$3*$H$3&gt;Q31,Q31,ROUNDDOWN(F31*1.5,0)+$B$3*$H$3)</f>
        <v>12296</v>
      </c>
      <c r="I31" s="469">
        <f t="shared" ref="I31" si="275">IF(ROUNDDOWN(F31*2,0)+$B$3*$H$3&gt;Q31,Q31,ROUNDDOWN(F31*2,0)+$B$3*$H$3)</f>
        <v>12296</v>
      </c>
      <c r="J31" s="466">
        <f t="shared" ref="J31" si="276">IF(ROUNDDOWN(F31*2.5,0)+$B$3*$H$3&gt;Q31,Q31,ROUNDDOWN(F31*2.5,0)+$B$3*$H$3)</f>
        <v>12296</v>
      </c>
      <c r="K31" s="469">
        <f t="shared" ref="K31" si="277">IF(ROUNDDOWN(F31*3,0)+$B$3*$H$3&gt;Q31,Q31,ROUNDDOWN(F31*3,0)+$B$3*$H$3)</f>
        <v>12296</v>
      </c>
      <c r="L31" s="466">
        <f t="shared" ref="L31" si="278">IF(ROUNDDOWN(F31*3.5,0)+$B$3*$H$3&gt;Q31,Q31,ROUNDDOWN(F31*3.5,0)+$B$3*$H$3)</f>
        <v>12296</v>
      </c>
      <c r="M31" s="469">
        <f t="shared" ref="M31" si="279">IF(ROUNDDOWN(F31*4,0)+$B$3*$H$3&gt;Q31,Q31,ROUNDDOWN(F31*4,0)+$B$3*$H$3)</f>
        <v>12296</v>
      </c>
      <c r="N31" s="466">
        <f t="shared" ref="N31" si="280">IF(ROUNDDOWN(F31*4.5,0)+$B$3*$H$3&gt;Q31,Q31,ROUNDDOWN(F31*4.5,0)+$B$3*$H$3)</f>
        <v>12296</v>
      </c>
      <c r="O31" s="469">
        <f t="shared" ref="O31" si="281">IF(ROUNDDOWN(F31*5,0)+$B$3*$H$3&gt;Q31,Q31,ROUNDDOWN(F31*5,0)+$B$3*$H$3)</f>
        <v>12296</v>
      </c>
      <c r="P31" s="466">
        <f t="shared" ref="P31" si="282">IF(ROUNDDOWN(F31*5.5,0)+$B$3*$H$3&gt;Q31,Q31,ROUNDDOWN(F31*5.5,0)+$B$3*$H$3)</f>
        <v>12296</v>
      </c>
      <c r="Q31" s="469">
        <f>ROUNDDOWN(Q21*0.8,0)</f>
        <v>12296</v>
      </c>
      <c r="R31" s="467" t="s">
        <v>87</v>
      </c>
    </row>
    <row r="32" spans="1:22">
      <c r="K32" s="455"/>
      <c r="O32" s="455"/>
      <c r="Q32" s="455"/>
    </row>
    <row r="33" spans="11:17">
      <c r="K33" s="455"/>
      <c r="O33" s="455"/>
      <c r="Q33" s="455"/>
    </row>
    <row r="34" spans="11:17">
      <c r="K34" s="455"/>
      <c r="O34" s="455"/>
      <c r="Q34" s="455"/>
    </row>
    <row r="35" spans="11:17">
      <c r="K35" s="455"/>
      <c r="O35" s="455"/>
      <c r="Q35" s="455"/>
    </row>
    <row r="36" spans="11:17">
      <c r="K36" s="455"/>
    </row>
  </sheetData>
  <sheetProtection algorithmName="SHA-512" hashValue="spO/NGtWT6m722KdfRxOmdrSQv7NIlE522B6wD/TwLewBjW/rxbKXx2Lu9U59dis+SzItPkdAkIlQfztkRgkSg==" saltValue="kKgxHoDWNx08+jp0Xbl7uA==" spinCount="100000" sheet="1" objects="1" scenarios="1" selectLockedCells="1"/>
  <mergeCells count="17">
    <mergeCell ref="B28:B29"/>
    <mergeCell ref="D2:F2"/>
    <mergeCell ref="D3:F3"/>
    <mergeCell ref="I2:K2"/>
    <mergeCell ref="A6:B7"/>
    <mergeCell ref="B30:B31"/>
    <mergeCell ref="A9:A18"/>
    <mergeCell ref="A20:A31"/>
    <mergeCell ref="B9:B10"/>
    <mergeCell ref="B11:B12"/>
    <mergeCell ref="B13:B14"/>
    <mergeCell ref="B15:B16"/>
    <mergeCell ref="B17:B18"/>
    <mergeCell ref="B20:B21"/>
    <mergeCell ref="B22:B23"/>
    <mergeCell ref="B24:B25"/>
    <mergeCell ref="B26:B27"/>
  </mergeCells>
  <dataValidations count="1">
    <dataValidation type="list" showInputMessage="1" showErrorMessage="1" sqref="L2">
      <formula1>"OUI,NON"</formula1>
    </dataValidation>
  </dataValidations>
  <pageMargins left="0.7" right="0.7" top="0.75" bottom="0.75" header="0.3" footer="0.3"/>
  <pageSetup paperSize="9" orientation="portrait" r:id="rId1"/>
  <headerFooter>
    <oddFooter>&amp;L&amp;1#&amp;"Calibri"&amp;10&amp;KC8DE09Diffusable SNCF RESEAU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B2:Z367"/>
  <sheetViews>
    <sheetView topLeftCell="A5" workbookViewId="0">
      <selection activeCell="D5" sqref="D5"/>
    </sheetView>
  </sheetViews>
  <sheetFormatPr baseColWidth="10" defaultRowHeight="15"/>
  <cols>
    <col min="1" max="1" width="2.7109375" style="512" customWidth="1"/>
    <col min="2" max="2" width="3.7109375" style="512" customWidth="1"/>
    <col min="3" max="3" width="17.85546875" style="512" customWidth="1"/>
    <col min="4" max="4" width="6.7109375" style="512" customWidth="1"/>
    <col min="5" max="5" width="4.42578125" style="512" customWidth="1"/>
    <col min="6" max="8" width="3.7109375" style="512" customWidth="1"/>
    <col min="9" max="9" width="19" style="513" customWidth="1"/>
    <col min="10" max="10" width="13.140625" style="513" bestFit="1" customWidth="1"/>
    <col min="11" max="12" width="21.7109375" style="513" customWidth="1"/>
    <col min="13" max="13" width="12.42578125" style="513" customWidth="1"/>
    <col min="14" max="14" width="18" style="513" customWidth="1"/>
    <col min="15" max="15" width="3.7109375" style="522" customWidth="1"/>
    <col min="16" max="17" width="3.7109375" style="512" customWidth="1"/>
    <col min="18" max="18" width="2.7109375" style="512" customWidth="1"/>
    <col min="19" max="21" width="11.42578125" style="512"/>
    <col min="22" max="22" width="3.7109375" style="512" customWidth="1"/>
    <col min="23" max="16384" width="11.42578125" style="512"/>
  </cols>
  <sheetData>
    <row r="2" spans="2:26" ht="15.75" thickBot="1">
      <c r="I2" s="789" t="s">
        <v>284</v>
      </c>
      <c r="J2" s="789"/>
      <c r="K2" s="789"/>
      <c r="L2" s="789"/>
      <c r="M2" s="789"/>
      <c r="N2" s="789"/>
    </row>
    <row r="3" spans="2:26" ht="15.75" thickTop="1">
      <c r="B3" s="545"/>
      <c r="C3" s="784" t="s">
        <v>282</v>
      </c>
      <c r="D3" s="784"/>
      <c r="E3" s="784"/>
      <c r="F3" s="546"/>
      <c r="G3" s="515"/>
      <c r="I3" s="789"/>
      <c r="J3" s="789"/>
      <c r="K3" s="789"/>
      <c r="L3" s="789"/>
      <c r="M3" s="789"/>
      <c r="N3" s="789"/>
    </row>
    <row r="4" spans="2:26" ht="15.75" thickBot="1">
      <c r="B4" s="547"/>
      <c r="C4" s="785"/>
      <c r="D4" s="785"/>
      <c r="E4" s="785"/>
      <c r="F4" s="548"/>
      <c r="G4" s="515"/>
      <c r="I4" s="521"/>
      <c r="W4" s="565" t="s">
        <v>273</v>
      </c>
      <c r="X4" s="565" t="s">
        <v>288</v>
      </c>
      <c r="Y4" s="565" t="s">
        <v>289</v>
      </c>
      <c r="Z4" s="565" t="s">
        <v>290</v>
      </c>
    </row>
    <row r="5" spans="2:26" ht="16.5" thickTop="1" thickBot="1">
      <c r="B5" s="547"/>
      <c r="C5" s="517" t="s">
        <v>249</v>
      </c>
      <c r="D5" s="520">
        <v>950</v>
      </c>
      <c r="E5" s="518" t="s">
        <v>251</v>
      </c>
      <c r="F5" s="549">
        <f>D5</f>
        <v>950</v>
      </c>
      <c r="G5" s="523"/>
      <c r="H5" s="592"/>
      <c r="I5" s="593"/>
      <c r="J5" s="594"/>
      <c r="K5" s="594"/>
      <c r="L5" s="594"/>
      <c r="M5" s="593"/>
      <c r="N5" s="593"/>
      <c r="O5" s="589"/>
      <c r="W5" s="567">
        <v>1</v>
      </c>
      <c r="X5" s="567">
        <v>0</v>
      </c>
      <c r="Y5" s="567">
        <v>0</v>
      </c>
      <c r="Z5" s="567">
        <v>0</v>
      </c>
    </row>
    <row r="6" spans="2:26">
      <c r="B6" s="547"/>
      <c r="C6" s="517" t="s">
        <v>250</v>
      </c>
      <c r="D6" s="520">
        <v>100</v>
      </c>
      <c r="E6" s="518" t="s">
        <v>252</v>
      </c>
      <c r="F6" s="549">
        <f>D6/100</f>
        <v>1</v>
      </c>
      <c r="G6" s="523"/>
      <c r="H6" s="595"/>
      <c r="I6" s="781" t="s">
        <v>268</v>
      </c>
      <c r="J6" s="782"/>
      <c r="K6" s="782"/>
      <c r="L6" s="782"/>
      <c r="M6" s="782"/>
      <c r="N6" s="783"/>
      <c r="O6" s="549"/>
      <c r="W6" s="567">
        <v>2</v>
      </c>
      <c r="X6" s="567">
        <v>4</v>
      </c>
      <c r="Y6" s="567">
        <v>8</v>
      </c>
      <c r="Z6" s="567">
        <v>12</v>
      </c>
    </row>
    <row r="7" spans="2:26">
      <c r="B7" s="547"/>
      <c r="C7" s="517" t="s">
        <v>254</v>
      </c>
      <c r="D7" s="792" t="s">
        <v>253</v>
      </c>
      <c r="E7" s="792"/>
      <c r="F7" s="549">
        <f>IF(D7="15 minutes",1,IF(D7="30 minutes",2,4))</f>
        <v>4</v>
      </c>
      <c r="G7" s="523"/>
      <c r="H7" s="595"/>
      <c r="I7" s="777" t="s">
        <v>255</v>
      </c>
      <c r="J7" s="779" t="s">
        <v>269</v>
      </c>
      <c r="K7" s="779" t="s">
        <v>271</v>
      </c>
      <c r="L7" s="779" t="s">
        <v>270</v>
      </c>
      <c r="M7" s="779" t="s">
        <v>283</v>
      </c>
      <c r="N7" s="790" t="s">
        <v>272</v>
      </c>
      <c r="O7" s="549"/>
      <c r="W7" s="567">
        <v>3</v>
      </c>
      <c r="X7" s="567">
        <v>6</v>
      </c>
      <c r="Y7" s="567">
        <v>12</v>
      </c>
      <c r="Z7" s="567">
        <v>18</v>
      </c>
    </row>
    <row r="8" spans="2:26" ht="15.75" customHeight="1" thickBot="1">
      <c r="B8" s="547"/>
      <c r="C8" s="519"/>
      <c r="D8" s="519"/>
      <c r="E8" s="519"/>
      <c r="F8" s="548"/>
      <c r="G8" s="515"/>
      <c r="H8" s="595"/>
      <c r="I8" s="778"/>
      <c r="J8" s="780"/>
      <c r="K8" s="780"/>
      <c r="L8" s="780"/>
      <c r="M8" s="780"/>
      <c r="N8" s="791"/>
      <c r="O8" s="549"/>
      <c r="W8" s="567">
        <v>4</v>
      </c>
      <c r="X8" s="567">
        <v>8</v>
      </c>
      <c r="Y8" s="567">
        <v>16</v>
      </c>
      <c r="Z8" s="567">
        <v>24</v>
      </c>
    </row>
    <row r="9" spans="2:26" ht="15.75" thickTop="1">
      <c r="B9" s="547"/>
      <c r="C9" s="793" t="s">
        <v>248</v>
      </c>
      <c r="D9" s="794"/>
      <c r="E9" s="795"/>
      <c r="F9" s="548"/>
      <c r="G9" s="515"/>
      <c r="H9" s="595"/>
      <c r="I9" s="524" t="s">
        <v>256</v>
      </c>
      <c r="J9" s="525">
        <v>1</v>
      </c>
      <c r="K9" s="526">
        <f>VLOOKUP(J9,$B$14:$C$365,2,FALSE)</f>
        <v>100</v>
      </c>
      <c r="L9" s="526">
        <f>IF(J9=10,"TERMINE",VLOOKUP(J9,$B$14:$D$365,2,FALSE)+100)</f>
        <v>200</v>
      </c>
      <c r="M9" s="536">
        <v>0</v>
      </c>
      <c r="N9" s="539" t="str">
        <f>IF(L9="TERMINE"," ",IF(L9&gt;=(M9+$C$11),M9+$C$11,CONCATENATE("Niv.Up ! + ",O9)))</f>
        <v>Niv.Up ! + 200</v>
      </c>
      <c r="O9" s="590">
        <f t="shared" ref="O9:O17" si="0">ROUNDUP(IF(M9+$C$11&gt;=L9,M9+$C$11-L9," "),0)</f>
        <v>200</v>
      </c>
      <c r="Q9" s="545"/>
      <c r="R9" s="570"/>
      <c r="S9" s="570"/>
      <c r="T9" s="570"/>
      <c r="U9" s="570"/>
      <c r="V9" s="546"/>
      <c r="W9" s="567">
        <v>5</v>
      </c>
      <c r="X9" s="567">
        <v>10</v>
      </c>
      <c r="Y9" s="567">
        <v>20</v>
      </c>
      <c r="Z9" s="567">
        <v>30</v>
      </c>
    </row>
    <row r="10" spans="2:26" ht="15.75" thickBot="1">
      <c r="B10" s="547"/>
      <c r="C10" s="786">
        <f>((F5/10)+5)*F6*F7</f>
        <v>400</v>
      </c>
      <c r="D10" s="787"/>
      <c r="E10" s="788"/>
      <c r="F10" s="548"/>
      <c r="G10" s="515"/>
      <c r="H10" s="595"/>
      <c r="I10" s="534" t="s">
        <v>257</v>
      </c>
      <c r="J10" s="529">
        <v>0</v>
      </c>
      <c r="K10" s="530">
        <f>VLOOKUP(J10,$B$14:$C$365,2,FALSE)</f>
        <v>0</v>
      </c>
      <c r="L10" s="530">
        <f>IF(J10=10,"TERMINE",VLOOKUP(J10,$B$14:$D$365,2,FALSE)+100)</f>
        <v>100</v>
      </c>
      <c r="M10" s="537">
        <v>0</v>
      </c>
      <c r="N10" s="540" t="str">
        <f t="shared" ref="N10:N20" si="1">IF(L10="TERMINE"," ",IF(L10&gt;=(M10+$C$11),M10+$C$11,CONCATENATE("Niv.Up ! + ",O10)))</f>
        <v>Niv.Up ! + 300</v>
      </c>
      <c r="O10" s="590">
        <f t="shared" si="0"/>
        <v>300</v>
      </c>
      <c r="Q10" s="547"/>
      <c r="R10" s="799" t="s">
        <v>287</v>
      </c>
      <c r="S10" s="800"/>
      <c r="T10" s="800"/>
      <c r="U10" s="800"/>
      <c r="V10" s="548"/>
      <c r="W10" s="567">
        <v>6</v>
      </c>
      <c r="X10" s="567">
        <v>12</v>
      </c>
      <c r="Y10" s="567">
        <v>24</v>
      </c>
      <c r="Z10" s="567">
        <v>36</v>
      </c>
    </row>
    <row r="11" spans="2:26" ht="15.75" thickBot="1">
      <c r="B11" s="550"/>
      <c r="C11" s="551">
        <f>((F5/10)+5)*F6*F7</f>
        <v>400</v>
      </c>
      <c r="D11" s="552"/>
      <c r="E11" s="552"/>
      <c r="F11" s="553"/>
      <c r="G11" s="515"/>
      <c r="H11" s="595"/>
      <c r="I11" s="534" t="s">
        <v>258</v>
      </c>
      <c r="J11" s="529">
        <v>1</v>
      </c>
      <c r="K11" s="530">
        <f>VLOOKUP(J11,$B$14:$C$365,2,FALSE)</f>
        <v>100</v>
      </c>
      <c r="L11" s="530">
        <f>IF(J11=10,"TERMINE",VLOOKUP(J11,$B$14:$D$365,2,FALSE)+100)</f>
        <v>200</v>
      </c>
      <c r="M11" s="537">
        <v>0</v>
      </c>
      <c r="N11" s="540" t="str">
        <f t="shared" si="1"/>
        <v>Niv.Up ! + 200</v>
      </c>
      <c r="O11" s="590">
        <f t="shared" si="0"/>
        <v>200</v>
      </c>
      <c r="Q11" s="547"/>
      <c r="R11" s="800"/>
      <c r="S11" s="800"/>
      <c r="T11" s="800"/>
      <c r="U11" s="800"/>
      <c r="V11" s="548"/>
      <c r="W11" s="567">
        <v>7</v>
      </c>
      <c r="X11" s="567">
        <v>14</v>
      </c>
      <c r="Y11" s="567">
        <v>28</v>
      </c>
      <c r="Z11" s="567">
        <v>42</v>
      </c>
    </row>
    <row r="12" spans="2:26" ht="15.75" thickTop="1">
      <c r="H12" s="595"/>
      <c r="I12" s="534" t="s">
        <v>259</v>
      </c>
      <c r="J12" s="529">
        <v>1</v>
      </c>
      <c r="K12" s="530">
        <f>VLOOKUP(J12,$B$14:$C$365,2,FALSE)</f>
        <v>100</v>
      </c>
      <c r="L12" s="530">
        <f>IF(J12=10,"TERMINE",VLOOKUP(J12,$B$14:$D$365,2,FALSE)+100)</f>
        <v>200</v>
      </c>
      <c r="M12" s="537">
        <v>0</v>
      </c>
      <c r="N12" s="540" t="str">
        <f t="shared" si="1"/>
        <v>Niv.Up ! + 200</v>
      </c>
      <c r="O12" s="590">
        <f t="shared" si="0"/>
        <v>200</v>
      </c>
      <c r="Q12" s="547"/>
      <c r="R12" s="519"/>
      <c r="S12" s="519"/>
      <c r="T12" s="519"/>
      <c r="U12" s="519"/>
      <c r="V12" s="548"/>
      <c r="W12" s="567">
        <v>8</v>
      </c>
      <c r="X12" s="567">
        <v>16</v>
      </c>
      <c r="Y12" s="567">
        <v>32</v>
      </c>
      <c r="Z12" s="567">
        <v>48</v>
      </c>
    </row>
    <row r="13" spans="2:26">
      <c r="B13" s="522"/>
      <c r="C13" s="522"/>
      <c r="D13" s="522"/>
      <c r="E13" s="522"/>
      <c r="H13" s="595"/>
      <c r="I13" s="534" t="s">
        <v>260</v>
      </c>
      <c r="J13" s="529">
        <v>4</v>
      </c>
      <c r="K13" s="530">
        <f>VLOOKUP(J13,$B$14:$D$365,3,FALSE)</f>
        <v>800</v>
      </c>
      <c r="L13" s="530">
        <f>IF(J13=5,"TERMINE",VLOOKUP(J13,$B$14:$D$365,3,FALSE)+200)</f>
        <v>1000</v>
      </c>
      <c r="M13" s="537">
        <v>0</v>
      </c>
      <c r="N13" s="540">
        <f t="shared" si="1"/>
        <v>400</v>
      </c>
      <c r="O13" s="590" t="e">
        <f t="shared" si="0"/>
        <v>#VALUE!</v>
      </c>
      <c r="Q13" s="547"/>
      <c r="R13" s="580" t="s">
        <v>310</v>
      </c>
      <c r="S13" s="581"/>
      <c r="T13" s="581"/>
      <c r="U13" s="582"/>
      <c r="V13" s="548"/>
      <c r="W13" s="567">
        <v>9</v>
      </c>
      <c r="X13" s="567">
        <v>18</v>
      </c>
      <c r="Y13" s="567">
        <v>36</v>
      </c>
      <c r="Z13" s="567">
        <v>54</v>
      </c>
    </row>
    <row r="14" spans="2:26" ht="15" customHeight="1">
      <c r="B14" s="522">
        <v>0</v>
      </c>
      <c r="C14" s="522">
        <v>0</v>
      </c>
      <c r="D14" s="522">
        <v>0</v>
      </c>
      <c r="E14" s="522"/>
      <c r="H14" s="595"/>
      <c r="I14" s="534" t="s">
        <v>261</v>
      </c>
      <c r="J14" s="529">
        <v>19</v>
      </c>
      <c r="K14" s="530">
        <f>VLOOKUP(J14,$B$14:$C$365,2,FALSE)</f>
        <v>1900</v>
      </c>
      <c r="L14" s="530">
        <f>IF(J14=20,"TERMINE",VLOOKUP(J14,$B$14:$C$365,2,FALSE)+100)</f>
        <v>2000</v>
      </c>
      <c r="M14" s="537">
        <v>0</v>
      </c>
      <c r="N14" s="540">
        <f t="shared" si="1"/>
        <v>400</v>
      </c>
      <c r="O14" s="590" t="e">
        <f t="shared" si="0"/>
        <v>#VALUE!</v>
      </c>
      <c r="Q14" s="547"/>
      <c r="R14" s="571"/>
      <c r="S14" s="572"/>
      <c r="T14" s="572"/>
      <c r="U14" s="573"/>
      <c r="V14" s="548"/>
      <c r="W14" s="567">
        <v>10</v>
      </c>
      <c r="X14" s="567">
        <v>20</v>
      </c>
      <c r="Y14" s="567">
        <v>40</v>
      </c>
      <c r="Z14" s="567">
        <v>60</v>
      </c>
    </row>
    <row r="15" spans="2:26" ht="15.75" customHeight="1">
      <c r="B15" s="522">
        <v>1</v>
      </c>
      <c r="C15" s="522">
        <v>100</v>
      </c>
      <c r="D15" s="522">
        <v>200</v>
      </c>
      <c r="E15" s="522"/>
      <c r="H15" s="595"/>
      <c r="I15" s="534" t="s">
        <v>262</v>
      </c>
      <c r="J15" s="529">
        <v>14</v>
      </c>
      <c r="K15" s="530">
        <f t="shared" ref="K15:K19" si="2">VLOOKUP(J15,$B$14:$C$365,2,FALSE)</f>
        <v>1400</v>
      </c>
      <c r="L15" s="530">
        <f>IF(J15=15,"TERMINE",VLOOKUP(J15,$B$14:$C$365,2,FALSE)+100)</f>
        <v>1500</v>
      </c>
      <c r="M15" s="537">
        <v>0</v>
      </c>
      <c r="N15" s="540">
        <f t="shared" si="1"/>
        <v>400</v>
      </c>
      <c r="O15" s="590" t="e">
        <f t="shared" si="0"/>
        <v>#VALUE!</v>
      </c>
      <c r="Q15" s="547"/>
      <c r="R15" s="801" t="s">
        <v>311</v>
      </c>
      <c r="S15" s="802"/>
      <c r="T15" s="802"/>
      <c r="U15" s="574" t="s">
        <v>312</v>
      </c>
      <c r="V15" s="548"/>
      <c r="W15" s="567" t="s">
        <v>274</v>
      </c>
      <c r="X15" s="565" t="s">
        <v>291</v>
      </c>
      <c r="Y15" s="565" t="s">
        <v>292</v>
      </c>
      <c r="Z15" s="565" t="s">
        <v>293</v>
      </c>
    </row>
    <row r="16" spans="2:26" ht="15" customHeight="1">
      <c r="B16" s="522">
        <v>2</v>
      </c>
      <c r="C16" s="522">
        <v>200</v>
      </c>
      <c r="D16" s="522">
        <v>400</v>
      </c>
      <c r="E16" s="522"/>
      <c r="H16" s="595"/>
      <c r="I16" s="534" t="s">
        <v>263</v>
      </c>
      <c r="J16" s="529">
        <v>14</v>
      </c>
      <c r="K16" s="530">
        <f t="shared" si="2"/>
        <v>1400</v>
      </c>
      <c r="L16" s="530">
        <f>IF(J16=15,"TERMINE",VLOOKUP(J16,$B$14:$C$365,2,FALSE)+100)</f>
        <v>1500</v>
      </c>
      <c r="M16" s="537">
        <v>0</v>
      </c>
      <c r="N16" s="540">
        <f t="shared" si="1"/>
        <v>400</v>
      </c>
      <c r="O16" s="590" t="e">
        <f t="shared" si="0"/>
        <v>#VALUE!</v>
      </c>
      <c r="Q16" s="547"/>
      <c r="R16" s="803" t="s">
        <v>274</v>
      </c>
      <c r="S16" s="804"/>
      <c r="T16" s="804"/>
      <c r="U16" s="584">
        <v>6</v>
      </c>
      <c r="V16" s="548"/>
      <c r="W16" s="567">
        <v>1</v>
      </c>
      <c r="X16" s="567">
        <v>10</v>
      </c>
      <c r="Y16" s="567">
        <v>20</v>
      </c>
      <c r="Z16" s="567">
        <v>8</v>
      </c>
    </row>
    <row r="17" spans="2:26" ht="15.75" customHeight="1">
      <c r="B17" s="522">
        <v>3</v>
      </c>
      <c r="C17" s="522">
        <v>300</v>
      </c>
      <c r="D17" s="522">
        <v>600</v>
      </c>
      <c r="E17" s="522"/>
      <c r="H17" s="595"/>
      <c r="I17" s="534" t="s">
        <v>264</v>
      </c>
      <c r="J17" s="529">
        <v>0</v>
      </c>
      <c r="K17" s="530">
        <f t="shared" si="2"/>
        <v>0</v>
      </c>
      <c r="L17" s="530">
        <f>IF(J17=1,"TERMINE",VLOOKUP(J17,$B$14:$C$365,2,FALSE)+100)</f>
        <v>100</v>
      </c>
      <c r="M17" s="537">
        <v>0</v>
      </c>
      <c r="N17" s="540" t="str">
        <f t="shared" si="1"/>
        <v>Niv.Up ! + 300</v>
      </c>
      <c r="O17" s="590">
        <f t="shared" si="0"/>
        <v>300</v>
      </c>
      <c r="Q17" s="547"/>
      <c r="R17" s="575"/>
      <c r="S17" s="516"/>
      <c r="T17" s="516"/>
      <c r="U17" s="561"/>
      <c r="V17" s="548"/>
      <c r="W17" s="567">
        <v>2</v>
      </c>
      <c r="X17" s="567">
        <v>20</v>
      </c>
      <c r="Y17" s="567">
        <v>40</v>
      </c>
      <c r="Z17" s="567">
        <v>16</v>
      </c>
    </row>
    <row r="18" spans="2:26" ht="15" customHeight="1">
      <c r="B18" s="522">
        <v>4</v>
      </c>
      <c r="C18" s="522">
        <v>400</v>
      </c>
      <c r="D18" s="522">
        <v>800</v>
      </c>
      <c r="E18" s="522"/>
      <c r="H18" s="595"/>
      <c r="I18" s="534" t="s">
        <v>265</v>
      </c>
      <c r="J18" s="529">
        <v>32</v>
      </c>
      <c r="K18" s="530">
        <f>VLOOKUP(J18,$B$14:$C$365,2,FALSE)</f>
        <v>3200</v>
      </c>
      <c r="L18" s="530">
        <f>(VLOOKUP(J18,$B$14:$C$365,2,FALSE)+100)</f>
        <v>3300</v>
      </c>
      <c r="M18" s="537">
        <v>0</v>
      </c>
      <c r="N18" s="540">
        <f t="shared" si="1"/>
        <v>400</v>
      </c>
      <c r="O18" s="590" t="e">
        <f>ROUNDUP(IF(M18+$C$11&gt;=L18,M18+$C$11-L18," "),0)</f>
        <v>#VALUE!</v>
      </c>
      <c r="P18" s="514"/>
      <c r="Q18" s="547"/>
      <c r="R18" s="575"/>
      <c r="S18" s="583" t="s">
        <v>313</v>
      </c>
      <c r="T18" s="516"/>
      <c r="U18" s="561"/>
      <c r="V18" s="548"/>
      <c r="W18" s="567">
        <v>3</v>
      </c>
      <c r="X18" s="567">
        <v>30</v>
      </c>
      <c r="Y18" s="567">
        <v>60</v>
      </c>
      <c r="Z18" s="567">
        <v>24</v>
      </c>
    </row>
    <row r="19" spans="2:26" ht="15.75" customHeight="1">
      <c r="B19" s="522">
        <v>5</v>
      </c>
      <c r="C19" s="522">
        <v>500</v>
      </c>
      <c r="D19" s="522">
        <v>1000</v>
      </c>
      <c r="E19" s="522"/>
      <c r="H19" s="595"/>
      <c r="I19" s="534" t="s">
        <v>266</v>
      </c>
      <c r="J19" s="529">
        <v>4</v>
      </c>
      <c r="K19" s="530">
        <f t="shared" si="2"/>
        <v>400</v>
      </c>
      <c r="L19" s="530">
        <f>IF(J19=5,"TERMINE",VLOOKUP(J19,$B$14:$C$365,2,FALSE)+100)</f>
        <v>500</v>
      </c>
      <c r="M19" s="537">
        <v>0</v>
      </c>
      <c r="N19" s="540">
        <f t="shared" si="1"/>
        <v>400</v>
      </c>
      <c r="O19" s="590" t="e">
        <f t="shared" ref="O19:O20" si="3">ROUNDUP(IF(M19+$C$11&gt;=L19,M19+$C$11-L19," "),0)</f>
        <v>#VALUE!</v>
      </c>
      <c r="Q19" s="547"/>
      <c r="R19" s="575"/>
      <c r="S19" s="576">
        <f>IF($R$16="Batiment Principal",VLOOKUP($U$16,$W$5:$Z$14,2,FALSE),IF($R$16="Caserne",VLOOKUP($U$16,$W$16:$Z$21,2,FALSE),IF($R$16="Digue de protection",VLOOKUP($U$16,$W$23:$Z$27,2,FALSE),IF($R$16="Drapeau",VLOOKUP($U$16,$W$29:$Z$29,2,FALSE),IF($R$16="Porte",VLOOKUP($U$16,$W$31:$Z$35,2,FALSE),IF($R$16="Tour Aventuriers",VLOOKUP($U$16,$W$37:$Z$41,2,FALSE),IF($R$16="Tour Ouvriers",VLOOKUP($U$16,$W$43:$Z$47,2,FALSE),IF($R$16="Tour Duellistes",VLOOKUP($U$16,$W$49:$Z$53,2,FALSE),VLOOKUP($U$16,$W$55:$Z$59,2,FALSE)))))))))</f>
        <v>60</v>
      </c>
      <c r="T19" s="576" t="str">
        <f>VLOOKUP($R$16,$W$4:$Z$59,2,FALSE)</f>
        <v>Ballots d'étoffe</v>
      </c>
      <c r="U19" s="561"/>
      <c r="V19" s="548"/>
      <c r="W19" s="567">
        <v>4</v>
      </c>
      <c r="X19" s="567">
        <v>40</v>
      </c>
      <c r="Y19" s="567">
        <v>80</v>
      </c>
      <c r="Z19" s="567">
        <v>32</v>
      </c>
    </row>
    <row r="20" spans="2:26" ht="15.75" customHeight="1" thickBot="1">
      <c r="B20" s="522">
        <v>6</v>
      </c>
      <c r="C20" s="522">
        <v>600</v>
      </c>
      <c r="D20" s="522"/>
      <c r="E20" s="522"/>
      <c r="H20" s="595"/>
      <c r="I20" s="535" t="s">
        <v>267</v>
      </c>
      <c r="J20" s="532">
        <v>4</v>
      </c>
      <c r="K20" s="533">
        <f>VLOOKUP(J20,$B$14:$C$365,2,FALSE)</f>
        <v>400</v>
      </c>
      <c r="L20" s="533">
        <f>IF(J20=5,"TERMINE",VLOOKUP(J20,$B$14:$C$365,2,FALSE)+100)</f>
        <v>500</v>
      </c>
      <c r="M20" s="538">
        <v>0</v>
      </c>
      <c r="N20" s="541">
        <f t="shared" si="1"/>
        <v>400</v>
      </c>
      <c r="O20" s="590" t="e">
        <f t="shared" si="3"/>
        <v>#VALUE!</v>
      </c>
      <c r="Q20" s="547"/>
      <c r="R20" s="575"/>
      <c r="S20" s="576">
        <f>IF($R$16="Batiment Principal",VLOOKUP($U$16,$W$5:$Z$14,3,FALSE),IF($R$16="Caserne",VLOOKUP($U$16,$W$16:$Z$21,3,FALSE),IF($R$16="Digue de protection",VLOOKUP($U$16,$W$23:$Z$27,3,FALSE),IF($R$16="Drapeau",VLOOKUP($U$16,$W$29:$Z$29,3,FALSE),IF($R$16="Porte",VLOOKUP($U$16,$W$31:$Z$35,3,FALSE),IF($R$16="Tour Aventuriers",VLOOKUP($U$16,$W$37:$Z$41,3,FALSE),IF($R$16="Tour Ouvriers",VLOOKUP($U$16,$W$43:$Z$47,3,FALSE),IF($R$16="Tour Duellistes",VLOOKUP($U$16,$W$49:$Z$53,3,FALSE),VLOOKUP($U$16,$W$55:$Z$59,3,FALSE)))))))))</f>
        <v>120</v>
      </c>
      <c r="T20" s="576" t="str">
        <f>VLOOKUP($R$16,$W$4:$Z$59,3,FALSE)</f>
        <v>Cotons</v>
      </c>
      <c r="U20" s="561"/>
      <c r="V20" s="548"/>
      <c r="W20" s="567">
        <v>5</v>
      </c>
      <c r="X20" s="567">
        <v>50</v>
      </c>
      <c r="Y20" s="567">
        <v>100</v>
      </c>
      <c r="Z20" s="567">
        <v>40</v>
      </c>
    </row>
    <row r="21" spans="2:26" ht="15.75" customHeight="1" thickBot="1">
      <c r="B21" s="522">
        <v>7</v>
      </c>
      <c r="C21" s="522">
        <v>700</v>
      </c>
      <c r="D21" s="522"/>
      <c r="E21" s="522"/>
      <c r="H21" s="595"/>
      <c r="I21" s="554"/>
      <c r="J21" s="554"/>
      <c r="K21" s="555"/>
      <c r="L21" s="554"/>
      <c r="M21" s="554"/>
      <c r="N21" s="554"/>
      <c r="O21" s="549"/>
      <c r="Q21" s="547"/>
      <c r="R21" s="577"/>
      <c r="S21" s="578">
        <f>IF($R$16="Batiment Principal",VLOOKUP($U$16,$W$5:$Z$14,4,FALSE),IF($R$16="Caserne",VLOOKUP($U$16,$W$16:$Z$21,4,FALSE),IF($R$16="Digue de protection",VLOOKUP($U$16,$W$23:$Z$27,4,FALSE),IF($R$16="Drapeau",VLOOKUP($U$16,$W$29:$Z$29,4,FALSE),IF($R$16="Porte",VLOOKUP($U$16,$W$31:$Z$35,4,FALSE),IF($R$16="Tour Aventuriers",VLOOKUP($U$16,$W$37:$Z$41,4,FALSE),IF($R$16="Tour Ouvriers",VLOOKUP($U$16,$W$43:$Z$47,4,FALSE),IF($R$16="Tour Duellistes",VLOOKUP($U$16,$W$49:$Z$53,4,FALSE),VLOOKUP($U$16,$W$55:$Z$59,4,FALSE)))))))))</f>
        <v>48</v>
      </c>
      <c r="T21" s="578" t="str">
        <f>VLOOKUP($R$16,$W$4:$Z$59,4,FALSE)</f>
        <v>Marteaux</v>
      </c>
      <c r="U21" s="579"/>
      <c r="V21" s="548"/>
      <c r="W21" s="567">
        <v>6</v>
      </c>
      <c r="X21" s="567">
        <v>60</v>
      </c>
      <c r="Y21" s="567">
        <v>120</v>
      </c>
      <c r="Z21" s="567">
        <v>48</v>
      </c>
    </row>
    <row r="22" spans="2:26" ht="15" customHeight="1">
      <c r="B22" s="522">
        <v>8</v>
      </c>
      <c r="C22" s="522">
        <v>800</v>
      </c>
      <c r="D22" s="522"/>
      <c r="E22" s="522"/>
      <c r="H22" s="595"/>
      <c r="I22" s="781" t="s">
        <v>281</v>
      </c>
      <c r="J22" s="782"/>
      <c r="K22" s="782"/>
      <c r="L22" s="782"/>
      <c r="M22" s="782"/>
      <c r="N22" s="783"/>
      <c r="O22" s="549"/>
      <c r="Q22" s="547"/>
      <c r="R22" s="519"/>
      <c r="S22" s="519"/>
      <c r="T22" s="519"/>
      <c r="U22" s="519"/>
      <c r="V22" s="548"/>
      <c r="W22" s="569" t="s">
        <v>275</v>
      </c>
      <c r="X22" s="565" t="s">
        <v>294</v>
      </c>
      <c r="Y22" s="565" t="s">
        <v>295</v>
      </c>
      <c r="Z22" s="565" t="s">
        <v>296</v>
      </c>
    </row>
    <row r="23" spans="2:26" ht="15" customHeight="1">
      <c r="B23" s="522">
        <v>9</v>
      </c>
      <c r="C23" s="522">
        <v>900</v>
      </c>
      <c r="D23" s="522"/>
      <c r="E23" s="522"/>
      <c r="H23" s="595"/>
      <c r="I23" s="777" t="s">
        <v>255</v>
      </c>
      <c r="J23" s="779" t="s">
        <v>269</v>
      </c>
      <c r="K23" s="779" t="s">
        <v>271</v>
      </c>
      <c r="L23" s="779" t="s">
        <v>270</v>
      </c>
      <c r="M23" s="779" t="s">
        <v>283</v>
      </c>
      <c r="N23" s="790" t="s">
        <v>272</v>
      </c>
      <c r="O23" s="549"/>
      <c r="Q23" s="547"/>
      <c r="R23" s="519"/>
      <c r="S23" s="519"/>
      <c r="T23" s="519"/>
      <c r="U23" s="519"/>
      <c r="V23" s="548"/>
      <c r="W23" s="567">
        <v>1</v>
      </c>
      <c r="X23" s="567">
        <v>6</v>
      </c>
      <c r="Y23" s="567">
        <v>10</v>
      </c>
      <c r="Z23" s="567">
        <v>40</v>
      </c>
    </row>
    <row r="24" spans="2:26">
      <c r="B24" s="522">
        <v>10</v>
      </c>
      <c r="C24" s="522">
        <v>1000</v>
      </c>
      <c r="D24" s="522"/>
      <c r="E24" s="522"/>
      <c r="H24" s="595"/>
      <c r="I24" s="778"/>
      <c r="J24" s="780"/>
      <c r="K24" s="780"/>
      <c r="L24" s="780"/>
      <c r="M24" s="780"/>
      <c r="N24" s="791"/>
      <c r="O24" s="549"/>
      <c r="Q24" s="547"/>
      <c r="R24" s="796" t="s">
        <v>285</v>
      </c>
      <c r="S24" s="797"/>
      <c r="T24" s="797"/>
      <c r="U24" s="798"/>
      <c r="V24" s="548"/>
      <c r="W24" s="567">
        <v>2</v>
      </c>
      <c r="X24" s="567">
        <v>12</v>
      </c>
      <c r="Y24" s="567">
        <v>20</v>
      </c>
      <c r="Z24" s="567">
        <v>80</v>
      </c>
    </row>
    <row r="25" spans="2:26">
      <c r="B25" s="522">
        <v>11</v>
      </c>
      <c r="C25" s="522">
        <v>1100</v>
      </c>
      <c r="D25" s="522"/>
      <c r="E25" s="522"/>
      <c r="H25" s="595"/>
      <c r="I25" s="527" t="s">
        <v>273</v>
      </c>
      <c r="J25" s="525">
        <v>1</v>
      </c>
      <c r="K25" s="526">
        <f>VLOOKUP(J25,$B$14:$C$365,2,FALSE)</f>
        <v>100</v>
      </c>
      <c r="L25" s="542">
        <f>IF(J25=10,"TERMINE",(K25+100))</f>
        <v>200</v>
      </c>
      <c r="M25" s="559">
        <v>0</v>
      </c>
      <c r="N25" s="556" t="str">
        <f>IF(L25="TERMINE"," ",IF(L25&gt;=(M25+$C$11),M25+$C$11,CONCATENATE("Niv.Up ! + ",O25)))</f>
        <v>Niv.Up ! + 200</v>
      </c>
      <c r="O25" s="549">
        <f>ROUNDUP(IF(M25+$C$11&gt;=L25,M25+$C$11-L25," "),0)</f>
        <v>200</v>
      </c>
      <c r="Q25" s="547"/>
      <c r="R25" s="560" t="s">
        <v>286</v>
      </c>
      <c r="S25" s="516" t="str">
        <f>IF($D$7="30 minutes","20 Bois et 6 Pierres",IF($D$7="15 minutes","10 Bois et 3 Pierres","40 Bois et 12 Pierres"))</f>
        <v>40 Bois et 12 Pierres</v>
      </c>
      <c r="T25" s="516"/>
      <c r="U25" s="561"/>
      <c r="V25" s="548"/>
      <c r="W25" s="567">
        <v>3</v>
      </c>
      <c r="X25" s="567">
        <v>18</v>
      </c>
      <c r="Y25" s="567">
        <v>30</v>
      </c>
      <c r="Z25" s="567">
        <v>120</v>
      </c>
    </row>
    <row r="26" spans="2:26">
      <c r="B26" s="522">
        <v>12</v>
      </c>
      <c r="C26" s="522">
        <v>1200</v>
      </c>
      <c r="D26" s="522"/>
      <c r="E26" s="522"/>
      <c r="H26" s="595"/>
      <c r="I26" s="528" t="s">
        <v>274</v>
      </c>
      <c r="J26" s="529">
        <v>0</v>
      </c>
      <c r="K26" s="530">
        <f>VLOOKUP(J26,$B$14:$C$365,2,FALSE)</f>
        <v>0</v>
      </c>
      <c r="L26" s="543">
        <f>IF(J26=6,"TERMINE",(K26+100))</f>
        <v>100</v>
      </c>
      <c r="M26" s="537">
        <v>0</v>
      </c>
      <c r="N26" s="557" t="str">
        <f t="shared" ref="N26:N34" si="4">IF(L26="TERMINE"," ",IF(L26&gt;=(M26+$C$11),M26+$C$11,CONCATENATE("Niv.Up ! + ",O26)))</f>
        <v>Niv.Up ! + 300</v>
      </c>
      <c r="O26" s="549">
        <f t="shared" ref="O26:O34" si="5">ROUNDUP(IF(M26+$C$11&gt;=L26,M26+$C$11-L26," "),0)</f>
        <v>300</v>
      </c>
      <c r="Q26" s="547"/>
      <c r="R26" s="562" t="s">
        <v>286</v>
      </c>
      <c r="S26" s="563" t="str">
        <f>IF($D$7="30 minutes","20 Bois et 6 Barres de fer",IF($D$7="15 minutes","10 Bois et 3 Barres de fer","40 Bois et 12 Barres de fer"))</f>
        <v>40 Bois et 12 Barres de fer</v>
      </c>
      <c r="T26" s="563"/>
      <c r="U26" s="564"/>
      <c r="V26" s="548"/>
      <c r="W26" s="567">
        <v>4</v>
      </c>
      <c r="X26" s="567">
        <v>24</v>
      </c>
      <c r="Y26" s="567">
        <v>40</v>
      </c>
      <c r="Z26" s="567">
        <v>160</v>
      </c>
    </row>
    <row r="27" spans="2:26">
      <c r="B27" s="522">
        <v>13</v>
      </c>
      <c r="C27" s="522">
        <v>1300</v>
      </c>
      <c r="D27" s="522"/>
      <c r="E27" s="522"/>
      <c r="H27" s="595"/>
      <c r="I27" s="528" t="s">
        <v>275</v>
      </c>
      <c r="J27" s="529">
        <v>0</v>
      </c>
      <c r="K27" s="530">
        <f>VLOOKUP(J27,$B$14:$C$365,2,FALSE)</f>
        <v>0</v>
      </c>
      <c r="L27" s="543">
        <f>IF(J27=5,"TERMINE",(K27+100))</f>
        <v>100</v>
      </c>
      <c r="M27" s="537">
        <v>0</v>
      </c>
      <c r="N27" s="557" t="str">
        <f t="shared" si="4"/>
        <v>Niv.Up ! + 300</v>
      </c>
      <c r="O27" s="549">
        <f t="shared" si="5"/>
        <v>300</v>
      </c>
      <c r="Q27" s="547"/>
      <c r="R27" s="562" t="s">
        <v>286</v>
      </c>
      <c r="S27" s="563" t="str">
        <f>IF($D$7="30 minutes","10 Bois et 5 Barbelés",IF($D$7="15 minutes","5 Bois et 3 Barbelés","20 Bois et 10 Barbelés"))</f>
        <v>20 Bois et 10 Barbelés</v>
      </c>
      <c r="T27" s="563"/>
      <c r="U27" s="564"/>
      <c r="V27" s="548"/>
      <c r="W27" s="567">
        <v>5</v>
      </c>
      <c r="X27" s="567">
        <v>30</v>
      </c>
      <c r="Y27" s="567">
        <v>50</v>
      </c>
      <c r="Z27" s="567">
        <v>200</v>
      </c>
    </row>
    <row r="28" spans="2:26">
      <c r="B28" s="522">
        <v>14</v>
      </c>
      <c r="C28" s="522">
        <v>1400</v>
      </c>
      <c r="D28" s="522"/>
      <c r="E28" s="522"/>
      <c r="H28" s="595"/>
      <c r="I28" s="528" t="s">
        <v>76</v>
      </c>
      <c r="J28" s="529">
        <v>0</v>
      </c>
      <c r="K28" s="530">
        <f>VLOOKUP(J28,$B$14:$C$365,2,FALSE)</f>
        <v>0</v>
      </c>
      <c r="L28" s="543">
        <f>IF(J28=1,"TERMINE",(K28+100))</f>
        <v>100</v>
      </c>
      <c r="M28" s="537">
        <v>0</v>
      </c>
      <c r="N28" s="557" t="str">
        <f t="shared" si="4"/>
        <v>Niv.Up ! + 300</v>
      </c>
      <c r="O28" s="549">
        <f t="shared" si="5"/>
        <v>300</v>
      </c>
      <c r="Q28" s="547"/>
      <c r="R28" s="562" t="s">
        <v>286</v>
      </c>
      <c r="S28" s="563" t="str">
        <f>IF($D$7="30 minutes","20 Bois et 2 Lassos",IF($D$7="15 minutes","10 Bois et 1 Lasso","40 Bois et 4 Lassos"))</f>
        <v>40 Bois et 4 Lassos</v>
      </c>
      <c r="T28" s="563"/>
      <c r="U28" s="564"/>
      <c r="V28" s="548"/>
      <c r="W28" s="567" t="s">
        <v>76</v>
      </c>
      <c r="X28" s="565" t="s">
        <v>297</v>
      </c>
      <c r="Y28" s="565" t="s">
        <v>298</v>
      </c>
      <c r="Z28" s="565" t="s">
        <v>299</v>
      </c>
    </row>
    <row r="29" spans="2:26">
      <c r="B29" s="522">
        <v>15</v>
      </c>
      <c r="C29" s="522">
        <v>1500</v>
      </c>
      <c r="D29" s="522"/>
      <c r="E29" s="522"/>
      <c r="H29" s="595"/>
      <c r="I29" s="528" t="s">
        <v>280</v>
      </c>
      <c r="J29" s="529">
        <v>0</v>
      </c>
      <c r="K29" s="530">
        <f t="shared" ref="K29:K34" si="6">VLOOKUP(J29,$B$14:$C$365,2,FALSE)</f>
        <v>0</v>
      </c>
      <c r="L29" s="543">
        <f>IF(J29=7,"TERMINE",(K29+100))</f>
        <v>100</v>
      </c>
      <c r="M29" s="537">
        <v>0</v>
      </c>
      <c r="N29" s="557" t="str">
        <f t="shared" si="4"/>
        <v>Niv.Up ! + 300</v>
      </c>
      <c r="O29" s="549">
        <f t="shared" si="5"/>
        <v>300</v>
      </c>
      <c r="Q29" s="547"/>
      <c r="R29" s="562"/>
      <c r="S29" s="563"/>
      <c r="T29" s="563"/>
      <c r="U29" s="564"/>
      <c r="V29" s="548"/>
      <c r="W29" s="567">
        <v>1</v>
      </c>
      <c r="X29" s="567">
        <v>3</v>
      </c>
      <c r="Y29" s="567">
        <v>2</v>
      </c>
      <c r="Z29" s="567">
        <v>8</v>
      </c>
    </row>
    <row r="30" spans="2:26">
      <c r="B30" s="522">
        <v>16</v>
      </c>
      <c r="C30" s="522">
        <v>1600</v>
      </c>
      <c r="D30" s="522"/>
      <c r="E30" s="522"/>
      <c r="H30" s="595"/>
      <c r="I30" s="528" t="s">
        <v>75</v>
      </c>
      <c r="J30" s="529">
        <v>0</v>
      </c>
      <c r="K30" s="530">
        <f t="shared" si="6"/>
        <v>0</v>
      </c>
      <c r="L30" s="543">
        <f>IF(J30=5,"TERMINE",(K30+100))</f>
        <v>100</v>
      </c>
      <c r="M30" s="537">
        <v>0</v>
      </c>
      <c r="N30" s="557" t="str">
        <f t="shared" si="4"/>
        <v>Niv.Up ! + 300</v>
      </c>
      <c r="O30" s="549">
        <f t="shared" si="5"/>
        <v>300</v>
      </c>
      <c r="Q30" s="547"/>
      <c r="R30" s="562" t="s">
        <v>286</v>
      </c>
      <c r="S30" s="563" t="str">
        <f>IF($D$7="30 minutes","20 Bois, 6 Barres de fer et 5 Barbelés",IF($D$7="15 minutes","10 Bois, 3 Barres de fer et 3 Barbelés","40 Bois, 12 Barres de fer et 10 Barbelés"))</f>
        <v>40 Bois, 12 Barres de fer et 10 Barbelés</v>
      </c>
      <c r="T30" s="563"/>
      <c r="U30" s="564"/>
      <c r="V30" s="548"/>
      <c r="W30" s="567" t="s">
        <v>75</v>
      </c>
      <c r="X30" s="565" t="s">
        <v>300</v>
      </c>
      <c r="Y30" s="565" t="s">
        <v>301</v>
      </c>
      <c r="Z30" s="565" t="s">
        <v>302</v>
      </c>
    </row>
    <row r="31" spans="2:26">
      <c r="B31" s="522">
        <v>17</v>
      </c>
      <c r="C31" s="522">
        <v>1700</v>
      </c>
      <c r="D31" s="522"/>
      <c r="E31" s="522"/>
      <c r="H31" s="595"/>
      <c r="I31" s="528" t="s">
        <v>276</v>
      </c>
      <c r="J31" s="529">
        <v>0</v>
      </c>
      <c r="K31" s="530">
        <f t="shared" si="6"/>
        <v>0</v>
      </c>
      <c r="L31" s="543">
        <f>IF(J31=5,"TERMINE",(K31+100))</f>
        <v>100</v>
      </c>
      <c r="M31" s="537">
        <v>0</v>
      </c>
      <c r="N31" s="557" t="str">
        <f t="shared" si="4"/>
        <v>Niv.Up ! + 300</v>
      </c>
      <c r="O31" s="549">
        <f t="shared" si="5"/>
        <v>300</v>
      </c>
      <c r="Q31" s="547"/>
      <c r="R31" s="562" t="s">
        <v>286</v>
      </c>
      <c r="S31" s="563" t="str">
        <f t="shared" ref="S31:S34" si="7">IF($D$7="30 minutes","20 Bois, 6 Barres de fer et 5 Barbelés",IF($D$7="15 minutes","10 Bois, 3 Barres de fer et 3 Barbelés","40 Bois, 12 Barres de fer et 10 Barbelés"))</f>
        <v>40 Bois, 12 Barres de fer et 10 Barbelés</v>
      </c>
      <c r="T31" s="563"/>
      <c r="U31" s="564"/>
      <c r="V31" s="548"/>
      <c r="W31" s="567">
        <v>1</v>
      </c>
      <c r="X31" s="567">
        <v>6</v>
      </c>
      <c r="Y31" s="567">
        <v>2</v>
      </c>
      <c r="Z31" s="567">
        <v>10</v>
      </c>
    </row>
    <row r="32" spans="2:26">
      <c r="B32" s="522">
        <v>18</v>
      </c>
      <c r="C32" s="522">
        <v>1800</v>
      </c>
      <c r="D32" s="522"/>
      <c r="E32" s="522"/>
      <c r="H32" s="595"/>
      <c r="I32" s="528" t="s">
        <v>277</v>
      </c>
      <c r="J32" s="529">
        <v>0</v>
      </c>
      <c r="K32" s="530">
        <f t="shared" si="6"/>
        <v>0</v>
      </c>
      <c r="L32" s="543">
        <f>IF(J32=5,"TERMINE",(K32+100))</f>
        <v>100</v>
      </c>
      <c r="M32" s="537">
        <v>0</v>
      </c>
      <c r="N32" s="557" t="str">
        <f t="shared" si="4"/>
        <v>Niv.Up ! + 300</v>
      </c>
      <c r="O32" s="549">
        <f t="shared" si="5"/>
        <v>300</v>
      </c>
      <c r="Q32" s="547"/>
      <c r="R32" s="562" t="s">
        <v>286</v>
      </c>
      <c r="S32" s="563" t="str">
        <f t="shared" si="7"/>
        <v>40 Bois, 12 Barres de fer et 10 Barbelés</v>
      </c>
      <c r="T32" s="563"/>
      <c r="U32" s="564"/>
      <c r="V32" s="548"/>
      <c r="W32" s="567">
        <v>2</v>
      </c>
      <c r="X32" s="567">
        <v>12</v>
      </c>
      <c r="Y32" s="567">
        <v>4</v>
      </c>
      <c r="Z32" s="567">
        <v>20</v>
      </c>
    </row>
    <row r="33" spans="2:26">
      <c r="B33" s="522">
        <v>19</v>
      </c>
      <c r="C33" s="522">
        <v>1900</v>
      </c>
      <c r="D33" s="522"/>
      <c r="E33" s="522"/>
      <c r="H33" s="595"/>
      <c r="I33" s="528" t="s">
        <v>278</v>
      </c>
      <c r="J33" s="529">
        <v>0</v>
      </c>
      <c r="K33" s="530">
        <f t="shared" si="6"/>
        <v>0</v>
      </c>
      <c r="L33" s="543">
        <f>IF(J33=5,"TERMINE",(K33+100))</f>
        <v>100</v>
      </c>
      <c r="M33" s="537">
        <v>0</v>
      </c>
      <c r="N33" s="557" t="str">
        <f t="shared" si="4"/>
        <v>Niv.Up ! + 300</v>
      </c>
      <c r="O33" s="549">
        <f t="shared" si="5"/>
        <v>300</v>
      </c>
      <c r="Q33" s="547"/>
      <c r="R33" s="562" t="s">
        <v>286</v>
      </c>
      <c r="S33" s="563" t="str">
        <f t="shared" si="7"/>
        <v>40 Bois, 12 Barres de fer et 10 Barbelés</v>
      </c>
      <c r="T33" s="563"/>
      <c r="U33" s="564"/>
      <c r="V33" s="548"/>
      <c r="W33" s="567">
        <v>3</v>
      </c>
      <c r="X33" s="567">
        <v>18</v>
      </c>
      <c r="Y33" s="567">
        <v>6</v>
      </c>
      <c r="Z33" s="567">
        <v>30</v>
      </c>
    </row>
    <row r="34" spans="2:26" ht="15.75" thickBot="1">
      <c r="B34" s="522">
        <v>20</v>
      </c>
      <c r="C34" s="522">
        <v>2000</v>
      </c>
      <c r="D34" s="522"/>
      <c r="E34" s="522"/>
      <c r="H34" s="595"/>
      <c r="I34" s="531" t="s">
        <v>279</v>
      </c>
      <c r="J34" s="532">
        <v>0</v>
      </c>
      <c r="K34" s="533">
        <f t="shared" si="6"/>
        <v>0</v>
      </c>
      <c r="L34" s="544">
        <f>IF(J34=5,"TERMINE",(K34+100))</f>
        <v>100</v>
      </c>
      <c r="M34" s="538">
        <v>0</v>
      </c>
      <c r="N34" s="558" t="str">
        <f t="shared" si="4"/>
        <v>Niv.Up ! + 300</v>
      </c>
      <c r="O34" s="549">
        <f t="shared" si="5"/>
        <v>300</v>
      </c>
      <c r="Q34" s="547"/>
      <c r="R34" s="585" t="s">
        <v>286</v>
      </c>
      <c r="S34" s="586" t="str">
        <f t="shared" si="7"/>
        <v>40 Bois, 12 Barres de fer et 10 Barbelés</v>
      </c>
      <c r="T34" s="586"/>
      <c r="U34" s="587"/>
      <c r="V34" s="548"/>
      <c r="W34" s="567">
        <v>4</v>
      </c>
      <c r="X34" s="567">
        <v>24</v>
      </c>
      <c r="Y34" s="567">
        <v>8</v>
      </c>
      <c r="Z34" s="567">
        <v>40</v>
      </c>
    </row>
    <row r="35" spans="2:26" ht="15.75" thickBot="1">
      <c r="B35" s="522">
        <v>21</v>
      </c>
      <c r="C35" s="522">
        <v>2100</v>
      </c>
      <c r="D35" s="522"/>
      <c r="E35" s="522"/>
      <c r="H35" s="596"/>
      <c r="I35" s="597"/>
      <c r="J35" s="597"/>
      <c r="K35" s="597"/>
      <c r="L35" s="597"/>
      <c r="M35" s="597"/>
      <c r="N35" s="597"/>
      <c r="O35" s="591"/>
      <c r="Q35" s="550"/>
      <c r="R35" s="588"/>
      <c r="S35" s="588"/>
      <c r="T35" s="588"/>
      <c r="U35" s="588"/>
      <c r="V35" s="553"/>
      <c r="W35" s="567">
        <v>5</v>
      </c>
      <c r="X35" s="567">
        <v>30</v>
      </c>
      <c r="Y35" s="567" t="s">
        <v>303</v>
      </c>
      <c r="Z35" s="567">
        <v>50</v>
      </c>
    </row>
    <row r="36" spans="2:26" ht="15.75" thickTop="1">
      <c r="B36" s="522">
        <v>22</v>
      </c>
      <c r="C36" s="522">
        <v>2200</v>
      </c>
      <c r="D36" s="522"/>
      <c r="E36" s="522"/>
      <c r="I36" s="565"/>
      <c r="W36" s="568" t="s">
        <v>276</v>
      </c>
      <c r="X36" s="565" t="s">
        <v>304</v>
      </c>
      <c r="Y36" s="565" t="s">
        <v>305</v>
      </c>
      <c r="Z36" s="565" t="s">
        <v>306</v>
      </c>
    </row>
    <row r="37" spans="2:26">
      <c r="B37" s="522">
        <v>23</v>
      </c>
      <c r="C37" s="522">
        <v>2300</v>
      </c>
      <c r="D37" s="522"/>
      <c r="E37" s="522"/>
      <c r="I37" s="566" t="s">
        <v>273</v>
      </c>
      <c r="W37" s="567">
        <v>1</v>
      </c>
      <c r="X37" s="567">
        <v>10</v>
      </c>
      <c r="Y37" s="567">
        <v>8</v>
      </c>
      <c r="Z37" s="567">
        <v>10</v>
      </c>
    </row>
    <row r="38" spans="2:26">
      <c r="B38" s="522">
        <v>24</v>
      </c>
      <c r="C38" s="522">
        <v>2400</v>
      </c>
      <c r="D38" s="522"/>
      <c r="E38" s="522"/>
      <c r="I38" s="566" t="s">
        <v>274</v>
      </c>
      <c r="W38" s="567">
        <v>2</v>
      </c>
      <c r="X38" s="567">
        <v>20</v>
      </c>
      <c r="Y38" s="567">
        <v>16</v>
      </c>
      <c r="Z38" s="567">
        <v>20</v>
      </c>
    </row>
    <row r="39" spans="2:26">
      <c r="B39" s="522">
        <v>25</v>
      </c>
      <c r="C39" s="522">
        <v>2500</v>
      </c>
      <c r="D39" s="522"/>
      <c r="E39" s="522"/>
      <c r="I39" s="566" t="s">
        <v>275</v>
      </c>
      <c r="W39" s="567">
        <v>3</v>
      </c>
      <c r="X39" s="567">
        <v>30</v>
      </c>
      <c r="Y39" s="567">
        <v>24</v>
      </c>
      <c r="Z39" s="567">
        <v>30</v>
      </c>
    </row>
    <row r="40" spans="2:26">
      <c r="B40" s="522">
        <v>26</v>
      </c>
      <c r="C40" s="522">
        <v>2600</v>
      </c>
      <c r="D40" s="522"/>
      <c r="E40" s="522"/>
      <c r="I40" s="566" t="s">
        <v>76</v>
      </c>
      <c r="W40" s="567">
        <v>4</v>
      </c>
      <c r="X40" s="567">
        <v>40</v>
      </c>
      <c r="Y40" s="567">
        <v>32</v>
      </c>
      <c r="Z40" s="567">
        <v>40</v>
      </c>
    </row>
    <row r="41" spans="2:26">
      <c r="B41" s="522">
        <v>27</v>
      </c>
      <c r="C41" s="522">
        <v>2700</v>
      </c>
      <c r="D41" s="522"/>
      <c r="E41" s="522"/>
      <c r="I41" s="566" t="s">
        <v>75</v>
      </c>
      <c r="W41" s="567">
        <v>5</v>
      </c>
      <c r="X41" s="567">
        <v>50</v>
      </c>
      <c r="Y41" s="567">
        <v>40</v>
      </c>
      <c r="Z41" s="567">
        <v>50</v>
      </c>
    </row>
    <row r="42" spans="2:26">
      <c r="B42" s="522">
        <v>28</v>
      </c>
      <c r="C42" s="522">
        <v>2800</v>
      </c>
      <c r="D42" s="522"/>
      <c r="E42" s="522"/>
      <c r="I42" s="566" t="s">
        <v>276</v>
      </c>
      <c r="W42" s="568" t="s">
        <v>278</v>
      </c>
      <c r="X42" s="565" t="s">
        <v>304</v>
      </c>
      <c r="Y42" s="565" t="s">
        <v>305</v>
      </c>
      <c r="Z42" s="565" t="s">
        <v>307</v>
      </c>
    </row>
    <row r="43" spans="2:26">
      <c r="B43" s="522">
        <v>29</v>
      </c>
      <c r="C43" s="522">
        <v>2900</v>
      </c>
      <c r="D43" s="522"/>
      <c r="E43" s="522"/>
      <c r="I43" s="566" t="s">
        <v>277</v>
      </c>
      <c r="W43" s="567">
        <v>1</v>
      </c>
      <c r="X43" s="567">
        <v>10</v>
      </c>
      <c r="Y43" s="567">
        <v>8</v>
      </c>
      <c r="Z43" s="567">
        <v>10</v>
      </c>
    </row>
    <row r="44" spans="2:26">
      <c r="B44" s="522">
        <v>30</v>
      </c>
      <c r="C44" s="522">
        <v>3000</v>
      </c>
      <c r="D44" s="522"/>
      <c r="E44" s="522"/>
      <c r="I44" s="566" t="s">
        <v>278</v>
      </c>
      <c r="W44" s="567">
        <v>2</v>
      </c>
      <c r="X44" s="567">
        <v>20</v>
      </c>
      <c r="Y44" s="567">
        <v>16</v>
      </c>
      <c r="Z44" s="567">
        <v>20</v>
      </c>
    </row>
    <row r="45" spans="2:26">
      <c r="B45" s="522">
        <v>31</v>
      </c>
      <c r="C45" s="522">
        <v>3100</v>
      </c>
      <c r="D45" s="522"/>
      <c r="E45" s="522"/>
      <c r="I45" s="566" t="s">
        <v>279</v>
      </c>
      <c r="W45" s="567">
        <v>3</v>
      </c>
      <c r="X45" s="567">
        <v>30</v>
      </c>
      <c r="Y45" s="567">
        <v>24</v>
      </c>
      <c r="Z45" s="567">
        <v>30</v>
      </c>
    </row>
    <row r="46" spans="2:26">
      <c r="B46" s="522">
        <v>32</v>
      </c>
      <c r="C46" s="522">
        <v>3200</v>
      </c>
      <c r="D46" s="522"/>
      <c r="E46" s="522"/>
      <c r="I46" s="565"/>
      <c r="W46" s="567">
        <v>4</v>
      </c>
      <c r="X46" s="567">
        <v>40</v>
      </c>
      <c r="Y46" s="567">
        <v>32</v>
      </c>
      <c r="Z46" s="567">
        <v>40</v>
      </c>
    </row>
    <row r="47" spans="2:26">
      <c r="B47" s="522">
        <v>33</v>
      </c>
      <c r="C47" s="522">
        <v>3300</v>
      </c>
      <c r="D47" s="522"/>
      <c r="E47" s="522"/>
      <c r="I47" s="565"/>
      <c r="W47" s="567">
        <v>5</v>
      </c>
      <c r="X47" s="567">
        <v>50</v>
      </c>
      <c r="Y47" s="567">
        <v>40</v>
      </c>
      <c r="Z47" s="567">
        <v>50</v>
      </c>
    </row>
    <row r="48" spans="2:26">
      <c r="B48" s="522">
        <v>34</v>
      </c>
      <c r="C48" s="522">
        <v>3400</v>
      </c>
      <c r="D48" s="522"/>
      <c r="E48" s="522"/>
      <c r="I48" s="565"/>
      <c r="W48" s="568" t="s">
        <v>277</v>
      </c>
      <c r="X48" s="565" t="s">
        <v>304</v>
      </c>
      <c r="Y48" s="565" t="s">
        <v>305</v>
      </c>
      <c r="Z48" s="565" t="s">
        <v>308</v>
      </c>
    </row>
    <row r="49" spans="2:26">
      <c r="B49" s="522">
        <v>35</v>
      </c>
      <c r="C49" s="522">
        <v>3500</v>
      </c>
      <c r="D49" s="522"/>
      <c r="E49" s="522"/>
      <c r="I49" s="565"/>
      <c r="W49" s="567">
        <v>1</v>
      </c>
      <c r="X49" s="567" t="s">
        <v>303</v>
      </c>
      <c r="Y49" s="567">
        <v>8</v>
      </c>
      <c r="Z49" s="567">
        <v>12</v>
      </c>
    </row>
    <row r="50" spans="2:26">
      <c r="B50" s="522">
        <v>36</v>
      </c>
      <c r="C50" s="522">
        <v>3600</v>
      </c>
      <c r="D50" s="522"/>
      <c r="E50" s="522"/>
      <c r="I50" s="565"/>
      <c r="W50" s="567">
        <v>2</v>
      </c>
      <c r="X50" s="567">
        <v>20</v>
      </c>
      <c r="Y50" s="567">
        <v>16</v>
      </c>
      <c r="Z50" s="567">
        <v>24</v>
      </c>
    </row>
    <row r="51" spans="2:26">
      <c r="B51" s="522">
        <v>37</v>
      </c>
      <c r="C51" s="522">
        <v>3700</v>
      </c>
      <c r="D51" s="522"/>
      <c r="E51" s="522"/>
      <c r="I51" s="565"/>
      <c r="W51" s="567">
        <v>3</v>
      </c>
      <c r="X51" s="567">
        <v>30</v>
      </c>
      <c r="Y51" s="567">
        <v>24</v>
      </c>
      <c r="Z51" s="567">
        <v>36</v>
      </c>
    </row>
    <row r="52" spans="2:26">
      <c r="B52" s="522">
        <v>38</v>
      </c>
      <c r="C52" s="522">
        <v>3800</v>
      </c>
      <c r="D52" s="522"/>
      <c r="E52" s="522"/>
      <c r="W52" s="567">
        <v>4</v>
      </c>
      <c r="X52" s="567">
        <v>40</v>
      </c>
      <c r="Y52" s="567">
        <v>32</v>
      </c>
      <c r="Z52" s="567">
        <v>48</v>
      </c>
    </row>
    <row r="53" spans="2:26">
      <c r="B53" s="522">
        <v>39</v>
      </c>
      <c r="C53" s="522">
        <v>3900</v>
      </c>
      <c r="D53" s="522"/>
      <c r="E53" s="522"/>
      <c r="W53" s="567">
        <v>5</v>
      </c>
      <c r="X53" s="567">
        <v>50</v>
      </c>
      <c r="Y53" s="567">
        <v>40</v>
      </c>
      <c r="Z53" s="567">
        <v>60</v>
      </c>
    </row>
    <row r="54" spans="2:26">
      <c r="B54" s="522">
        <v>40</v>
      </c>
      <c r="C54" s="522">
        <v>4000</v>
      </c>
      <c r="D54" s="522"/>
      <c r="E54" s="522"/>
      <c r="W54" s="568" t="s">
        <v>279</v>
      </c>
      <c r="X54" s="565" t="s">
        <v>304</v>
      </c>
      <c r="Y54" s="565" t="s">
        <v>305</v>
      </c>
      <c r="Z54" s="565" t="s">
        <v>309</v>
      </c>
    </row>
    <row r="55" spans="2:26">
      <c r="B55" s="522">
        <v>41</v>
      </c>
      <c r="C55" s="522">
        <v>4100</v>
      </c>
      <c r="D55" s="522"/>
      <c r="E55" s="522"/>
      <c r="W55" s="567">
        <v>1</v>
      </c>
      <c r="X55" s="567" t="s">
        <v>303</v>
      </c>
      <c r="Y55" s="567">
        <v>8</v>
      </c>
      <c r="Z55" s="567">
        <v>9</v>
      </c>
    </row>
    <row r="56" spans="2:26">
      <c r="B56" s="522">
        <v>42</v>
      </c>
      <c r="C56" s="522">
        <v>4200</v>
      </c>
      <c r="D56" s="522"/>
      <c r="E56" s="522"/>
      <c r="W56" s="567">
        <v>2</v>
      </c>
      <c r="X56" s="567">
        <v>20</v>
      </c>
      <c r="Y56" s="567">
        <v>16</v>
      </c>
      <c r="Z56" s="567">
        <v>18</v>
      </c>
    </row>
    <row r="57" spans="2:26">
      <c r="B57" s="522">
        <v>43</v>
      </c>
      <c r="C57" s="522">
        <v>4300</v>
      </c>
      <c r="D57" s="522"/>
      <c r="E57" s="522"/>
      <c r="W57" s="567">
        <v>3</v>
      </c>
      <c r="X57" s="567">
        <v>30</v>
      </c>
      <c r="Y57" s="567">
        <v>24</v>
      </c>
      <c r="Z57" s="567">
        <v>27</v>
      </c>
    </row>
    <row r="58" spans="2:26">
      <c r="B58" s="522">
        <v>44</v>
      </c>
      <c r="C58" s="522">
        <v>4400</v>
      </c>
      <c r="D58" s="522"/>
      <c r="E58" s="522"/>
      <c r="W58" s="567">
        <v>4</v>
      </c>
      <c r="X58" s="567">
        <v>40</v>
      </c>
      <c r="Y58" s="567">
        <v>32</v>
      </c>
      <c r="Z58" s="567">
        <v>36</v>
      </c>
    </row>
    <row r="59" spans="2:26">
      <c r="B59" s="522">
        <v>45</v>
      </c>
      <c r="C59" s="522">
        <v>4500</v>
      </c>
      <c r="D59" s="522"/>
      <c r="E59" s="522"/>
      <c r="W59" s="567">
        <v>5</v>
      </c>
      <c r="X59" s="567">
        <v>50</v>
      </c>
      <c r="Y59" s="567">
        <v>40</v>
      </c>
      <c r="Z59" s="567">
        <v>45</v>
      </c>
    </row>
    <row r="60" spans="2:26">
      <c r="B60" s="522">
        <v>46</v>
      </c>
      <c r="C60" s="522">
        <v>4600</v>
      </c>
      <c r="D60" s="522"/>
      <c r="E60" s="522"/>
      <c r="W60" s="565"/>
      <c r="X60" s="565"/>
      <c r="Y60" s="565"/>
      <c r="Z60" s="565"/>
    </row>
    <row r="61" spans="2:26">
      <c r="B61" s="522">
        <v>47</v>
      </c>
      <c r="C61" s="522">
        <v>4700</v>
      </c>
      <c r="D61" s="522"/>
      <c r="E61" s="522"/>
    </row>
    <row r="62" spans="2:26">
      <c r="B62" s="522">
        <v>48</v>
      </c>
      <c r="C62" s="522">
        <v>4800</v>
      </c>
      <c r="D62" s="522"/>
      <c r="E62" s="522"/>
    </row>
    <row r="63" spans="2:26">
      <c r="B63" s="522">
        <v>49</v>
      </c>
      <c r="C63" s="522">
        <v>4900</v>
      </c>
      <c r="D63" s="522"/>
      <c r="E63" s="522"/>
    </row>
    <row r="64" spans="2:26">
      <c r="B64" s="522">
        <v>50</v>
      </c>
      <c r="C64" s="522">
        <v>5000</v>
      </c>
      <c r="D64" s="522"/>
      <c r="E64" s="522"/>
    </row>
    <row r="65" spans="2:5">
      <c r="B65" s="522">
        <v>51</v>
      </c>
      <c r="C65" s="522">
        <v>5100</v>
      </c>
      <c r="D65" s="522"/>
      <c r="E65" s="522"/>
    </row>
    <row r="66" spans="2:5">
      <c r="B66" s="522">
        <v>52</v>
      </c>
      <c r="C66" s="522">
        <v>5200</v>
      </c>
      <c r="D66" s="522"/>
      <c r="E66" s="522"/>
    </row>
    <row r="67" spans="2:5">
      <c r="B67" s="522">
        <v>53</v>
      </c>
      <c r="C67" s="522">
        <v>5300</v>
      </c>
      <c r="D67" s="522"/>
      <c r="E67" s="522"/>
    </row>
    <row r="68" spans="2:5">
      <c r="B68" s="522">
        <v>54</v>
      </c>
      <c r="C68" s="522">
        <v>5400</v>
      </c>
      <c r="D68" s="522"/>
      <c r="E68" s="522"/>
    </row>
    <row r="69" spans="2:5">
      <c r="B69" s="522">
        <v>55</v>
      </c>
      <c r="C69" s="522">
        <v>5500</v>
      </c>
      <c r="D69" s="522"/>
      <c r="E69" s="522"/>
    </row>
    <row r="70" spans="2:5">
      <c r="B70" s="522">
        <v>56</v>
      </c>
      <c r="C70" s="522">
        <v>5600</v>
      </c>
      <c r="D70" s="522"/>
      <c r="E70" s="522"/>
    </row>
    <row r="71" spans="2:5">
      <c r="B71" s="522">
        <v>57</v>
      </c>
      <c r="C71" s="522">
        <v>5700</v>
      </c>
      <c r="D71" s="522"/>
      <c r="E71" s="522"/>
    </row>
    <row r="72" spans="2:5">
      <c r="B72" s="522">
        <v>58</v>
      </c>
      <c r="C72" s="522">
        <v>5800</v>
      </c>
      <c r="D72" s="522"/>
      <c r="E72" s="522"/>
    </row>
    <row r="73" spans="2:5">
      <c r="B73" s="522">
        <v>59</v>
      </c>
      <c r="C73" s="522">
        <v>5900</v>
      </c>
      <c r="D73" s="522"/>
      <c r="E73" s="522"/>
    </row>
    <row r="74" spans="2:5">
      <c r="B74" s="522">
        <v>60</v>
      </c>
      <c r="C74" s="522">
        <v>6000</v>
      </c>
      <c r="D74" s="522"/>
      <c r="E74" s="522"/>
    </row>
    <row r="75" spans="2:5">
      <c r="B75" s="522">
        <v>61</v>
      </c>
      <c r="C75" s="522">
        <v>6100</v>
      </c>
      <c r="D75" s="522"/>
      <c r="E75" s="522"/>
    </row>
    <row r="76" spans="2:5">
      <c r="B76" s="522">
        <v>62</v>
      </c>
      <c r="C76" s="522">
        <v>6200</v>
      </c>
      <c r="D76" s="522"/>
      <c r="E76" s="522"/>
    </row>
    <row r="77" spans="2:5">
      <c r="B77" s="522">
        <v>63</v>
      </c>
      <c r="C77" s="522">
        <v>6300</v>
      </c>
      <c r="D77" s="522"/>
      <c r="E77" s="522"/>
    </row>
    <row r="78" spans="2:5">
      <c r="B78" s="522">
        <v>64</v>
      </c>
      <c r="C78" s="522">
        <v>6400</v>
      </c>
      <c r="D78" s="522"/>
      <c r="E78" s="522"/>
    </row>
    <row r="79" spans="2:5">
      <c r="B79" s="522">
        <v>65</v>
      </c>
      <c r="C79" s="522">
        <v>6500</v>
      </c>
      <c r="D79" s="522"/>
      <c r="E79" s="522"/>
    </row>
    <row r="80" spans="2:5">
      <c r="B80" s="522">
        <v>66</v>
      </c>
      <c r="C80" s="522">
        <v>6600</v>
      </c>
      <c r="D80" s="522"/>
      <c r="E80" s="522"/>
    </row>
    <row r="81" spans="2:5">
      <c r="B81" s="522">
        <v>67</v>
      </c>
      <c r="C81" s="522">
        <v>6700</v>
      </c>
      <c r="D81" s="522"/>
      <c r="E81" s="522"/>
    </row>
    <row r="82" spans="2:5">
      <c r="B82" s="522">
        <v>68</v>
      </c>
      <c r="C82" s="522">
        <v>6800</v>
      </c>
      <c r="D82" s="522"/>
      <c r="E82" s="522"/>
    </row>
    <row r="83" spans="2:5">
      <c r="B83" s="522">
        <v>69</v>
      </c>
      <c r="C83" s="522">
        <v>6900</v>
      </c>
      <c r="D83" s="522"/>
      <c r="E83" s="522"/>
    </row>
    <row r="84" spans="2:5">
      <c r="B84" s="522">
        <v>70</v>
      </c>
      <c r="C84" s="522">
        <v>7000</v>
      </c>
      <c r="D84" s="522"/>
      <c r="E84" s="522"/>
    </row>
    <row r="85" spans="2:5">
      <c r="B85" s="522">
        <v>71</v>
      </c>
      <c r="C85" s="522">
        <v>7100</v>
      </c>
      <c r="D85" s="522"/>
      <c r="E85" s="522"/>
    </row>
    <row r="86" spans="2:5">
      <c r="B86" s="522">
        <v>72</v>
      </c>
      <c r="C86" s="522">
        <v>7200</v>
      </c>
      <c r="D86" s="522"/>
      <c r="E86" s="522"/>
    </row>
    <row r="87" spans="2:5">
      <c r="B87" s="522">
        <v>73</v>
      </c>
      <c r="C87" s="522">
        <v>7300</v>
      </c>
      <c r="D87" s="522"/>
      <c r="E87" s="522"/>
    </row>
    <row r="88" spans="2:5">
      <c r="B88" s="522">
        <v>74</v>
      </c>
      <c r="C88" s="522">
        <v>7400</v>
      </c>
      <c r="D88" s="522"/>
      <c r="E88" s="522"/>
    </row>
    <row r="89" spans="2:5">
      <c r="B89" s="522">
        <v>75</v>
      </c>
      <c r="C89" s="522">
        <v>7500</v>
      </c>
      <c r="D89" s="522"/>
      <c r="E89" s="522"/>
    </row>
    <row r="90" spans="2:5">
      <c r="B90" s="522">
        <v>76</v>
      </c>
      <c r="C90" s="522">
        <v>7600</v>
      </c>
      <c r="D90" s="522"/>
      <c r="E90" s="522"/>
    </row>
    <row r="91" spans="2:5">
      <c r="B91" s="522">
        <v>77</v>
      </c>
      <c r="C91" s="522">
        <v>7700</v>
      </c>
      <c r="D91" s="522"/>
      <c r="E91" s="522"/>
    </row>
    <row r="92" spans="2:5">
      <c r="B92" s="522">
        <v>78</v>
      </c>
      <c r="C92" s="522">
        <v>7800</v>
      </c>
      <c r="D92" s="522"/>
      <c r="E92" s="522"/>
    </row>
    <row r="93" spans="2:5">
      <c r="B93" s="522">
        <v>79</v>
      </c>
      <c r="C93" s="522">
        <v>7900</v>
      </c>
      <c r="D93" s="522"/>
      <c r="E93" s="522"/>
    </row>
    <row r="94" spans="2:5">
      <c r="B94" s="522">
        <v>80</v>
      </c>
      <c r="C94" s="522">
        <v>8000</v>
      </c>
      <c r="D94" s="522"/>
      <c r="E94" s="522"/>
    </row>
    <row r="95" spans="2:5">
      <c r="B95" s="522">
        <v>81</v>
      </c>
      <c r="C95" s="522">
        <v>8100</v>
      </c>
      <c r="D95" s="522"/>
      <c r="E95" s="522"/>
    </row>
    <row r="96" spans="2:5">
      <c r="B96" s="522">
        <v>82</v>
      </c>
      <c r="C96" s="522">
        <v>8200</v>
      </c>
      <c r="D96" s="522"/>
      <c r="E96" s="522"/>
    </row>
    <row r="97" spans="2:5">
      <c r="B97" s="522">
        <v>83</v>
      </c>
      <c r="C97" s="522">
        <v>8300</v>
      </c>
      <c r="D97" s="522"/>
      <c r="E97" s="522"/>
    </row>
    <row r="98" spans="2:5">
      <c r="B98" s="522">
        <v>84</v>
      </c>
      <c r="C98" s="522">
        <v>8400</v>
      </c>
      <c r="D98" s="522"/>
      <c r="E98" s="522"/>
    </row>
    <row r="99" spans="2:5">
      <c r="B99" s="522">
        <v>85</v>
      </c>
      <c r="C99" s="522">
        <v>8500</v>
      </c>
      <c r="D99" s="522"/>
      <c r="E99" s="522"/>
    </row>
    <row r="100" spans="2:5">
      <c r="B100" s="522">
        <v>86</v>
      </c>
      <c r="C100" s="522">
        <v>8600</v>
      </c>
      <c r="D100" s="522"/>
      <c r="E100" s="522"/>
    </row>
    <row r="101" spans="2:5">
      <c r="B101" s="522">
        <v>87</v>
      </c>
      <c r="C101" s="522">
        <v>8700</v>
      </c>
      <c r="D101" s="522"/>
      <c r="E101" s="522"/>
    </row>
    <row r="102" spans="2:5">
      <c r="B102" s="522">
        <v>88</v>
      </c>
      <c r="C102" s="522">
        <v>8800</v>
      </c>
      <c r="D102" s="522"/>
      <c r="E102" s="522"/>
    </row>
    <row r="103" spans="2:5">
      <c r="B103" s="522">
        <v>89</v>
      </c>
      <c r="C103" s="522">
        <v>8900</v>
      </c>
      <c r="D103" s="522"/>
      <c r="E103" s="522"/>
    </row>
    <row r="104" spans="2:5">
      <c r="B104" s="522">
        <v>90</v>
      </c>
      <c r="C104" s="522">
        <v>9000</v>
      </c>
      <c r="D104" s="522"/>
      <c r="E104" s="522"/>
    </row>
    <row r="105" spans="2:5">
      <c r="B105" s="522">
        <v>91</v>
      </c>
      <c r="C105" s="522">
        <v>9100</v>
      </c>
      <c r="D105" s="522"/>
      <c r="E105" s="522"/>
    </row>
    <row r="106" spans="2:5">
      <c r="B106" s="522">
        <v>92</v>
      </c>
      <c r="C106" s="522">
        <v>9200</v>
      </c>
      <c r="D106" s="522"/>
      <c r="E106" s="522"/>
    </row>
    <row r="107" spans="2:5">
      <c r="B107" s="522">
        <v>93</v>
      </c>
      <c r="C107" s="522">
        <v>9300</v>
      </c>
      <c r="D107" s="522"/>
      <c r="E107" s="522"/>
    </row>
    <row r="108" spans="2:5">
      <c r="B108" s="522">
        <v>94</v>
      </c>
      <c r="C108" s="522">
        <v>9400</v>
      </c>
      <c r="D108" s="522"/>
      <c r="E108" s="522"/>
    </row>
    <row r="109" spans="2:5">
      <c r="B109" s="522">
        <v>95</v>
      </c>
      <c r="C109" s="522">
        <v>9500</v>
      </c>
      <c r="D109" s="522"/>
      <c r="E109" s="522"/>
    </row>
    <row r="110" spans="2:5">
      <c r="B110" s="522">
        <v>96</v>
      </c>
      <c r="C110" s="522">
        <v>9600</v>
      </c>
      <c r="D110" s="522"/>
      <c r="E110" s="522"/>
    </row>
    <row r="111" spans="2:5">
      <c r="B111" s="522">
        <v>97</v>
      </c>
      <c r="C111" s="522">
        <v>9700</v>
      </c>
      <c r="D111" s="522"/>
      <c r="E111" s="522"/>
    </row>
    <row r="112" spans="2:5">
      <c r="B112" s="522">
        <v>98</v>
      </c>
      <c r="C112" s="522">
        <v>9800</v>
      </c>
      <c r="D112" s="522"/>
      <c r="E112" s="522"/>
    </row>
    <row r="113" spans="2:5">
      <c r="B113" s="522">
        <v>99</v>
      </c>
      <c r="C113" s="522">
        <v>9900</v>
      </c>
      <c r="D113" s="522"/>
      <c r="E113" s="522"/>
    </row>
    <row r="114" spans="2:5">
      <c r="B114" s="522">
        <v>100</v>
      </c>
      <c r="C114" s="522">
        <v>10000</v>
      </c>
      <c r="D114" s="522"/>
      <c r="E114" s="522"/>
    </row>
    <row r="115" spans="2:5">
      <c r="B115" s="522">
        <v>101</v>
      </c>
      <c r="C115" s="522">
        <v>10100</v>
      </c>
      <c r="D115" s="522"/>
      <c r="E115" s="522"/>
    </row>
    <row r="116" spans="2:5">
      <c r="B116" s="522">
        <v>102</v>
      </c>
      <c r="C116" s="522">
        <v>10200</v>
      </c>
      <c r="D116" s="522"/>
      <c r="E116" s="522"/>
    </row>
    <row r="117" spans="2:5">
      <c r="B117" s="522">
        <v>103</v>
      </c>
      <c r="C117" s="522">
        <v>10300</v>
      </c>
      <c r="D117" s="522"/>
      <c r="E117" s="522"/>
    </row>
    <row r="118" spans="2:5">
      <c r="B118" s="522">
        <v>104</v>
      </c>
      <c r="C118" s="522">
        <v>10400</v>
      </c>
      <c r="D118" s="522"/>
      <c r="E118" s="522"/>
    </row>
    <row r="119" spans="2:5">
      <c r="B119" s="522">
        <v>105</v>
      </c>
      <c r="C119" s="522">
        <v>10500</v>
      </c>
      <c r="D119" s="522"/>
      <c r="E119" s="522"/>
    </row>
    <row r="120" spans="2:5">
      <c r="B120" s="522">
        <v>106</v>
      </c>
      <c r="C120" s="522">
        <v>10600</v>
      </c>
      <c r="D120" s="522"/>
      <c r="E120" s="522"/>
    </row>
    <row r="121" spans="2:5">
      <c r="B121" s="522">
        <v>107</v>
      </c>
      <c r="C121" s="522">
        <v>10700</v>
      </c>
      <c r="D121" s="522"/>
      <c r="E121" s="522"/>
    </row>
    <row r="122" spans="2:5">
      <c r="B122" s="522">
        <v>108</v>
      </c>
      <c r="C122" s="522">
        <v>10800</v>
      </c>
      <c r="D122" s="522"/>
      <c r="E122" s="522"/>
    </row>
    <row r="123" spans="2:5">
      <c r="B123" s="522">
        <v>109</v>
      </c>
      <c r="C123" s="522">
        <v>10900</v>
      </c>
      <c r="D123" s="522"/>
      <c r="E123" s="522"/>
    </row>
    <row r="124" spans="2:5">
      <c r="B124" s="522">
        <v>110</v>
      </c>
      <c r="C124" s="522">
        <v>11000</v>
      </c>
      <c r="D124" s="522"/>
      <c r="E124" s="522"/>
    </row>
    <row r="125" spans="2:5">
      <c r="B125" s="522">
        <v>111</v>
      </c>
      <c r="C125" s="522">
        <v>11100</v>
      </c>
      <c r="D125" s="522"/>
      <c r="E125" s="522"/>
    </row>
    <row r="126" spans="2:5">
      <c r="B126" s="522">
        <v>112</v>
      </c>
      <c r="C126" s="522">
        <v>11200</v>
      </c>
      <c r="D126" s="522"/>
      <c r="E126" s="522"/>
    </row>
    <row r="127" spans="2:5">
      <c r="B127" s="522">
        <v>113</v>
      </c>
      <c r="C127" s="522">
        <v>11300</v>
      </c>
      <c r="D127" s="522"/>
      <c r="E127" s="522"/>
    </row>
    <row r="128" spans="2:5">
      <c r="B128" s="522">
        <v>114</v>
      </c>
      <c r="C128" s="522">
        <v>11400</v>
      </c>
      <c r="D128" s="522"/>
      <c r="E128" s="522"/>
    </row>
    <row r="129" spans="2:5">
      <c r="B129" s="522">
        <v>115</v>
      </c>
      <c r="C129" s="522">
        <v>11500</v>
      </c>
      <c r="D129" s="522"/>
      <c r="E129" s="522"/>
    </row>
    <row r="130" spans="2:5">
      <c r="B130" s="522">
        <v>116</v>
      </c>
      <c r="C130" s="522">
        <v>11600</v>
      </c>
      <c r="D130" s="522"/>
      <c r="E130" s="522"/>
    </row>
    <row r="131" spans="2:5">
      <c r="B131" s="522">
        <v>117</v>
      </c>
      <c r="C131" s="522">
        <v>11700</v>
      </c>
      <c r="D131" s="522"/>
      <c r="E131" s="522"/>
    </row>
    <row r="132" spans="2:5">
      <c r="B132" s="522">
        <v>118</v>
      </c>
      <c r="C132" s="522">
        <v>11800</v>
      </c>
      <c r="D132" s="522"/>
      <c r="E132" s="522"/>
    </row>
    <row r="133" spans="2:5">
      <c r="B133" s="522">
        <v>119</v>
      </c>
      <c r="C133" s="522">
        <v>11900</v>
      </c>
      <c r="D133" s="522"/>
      <c r="E133" s="522"/>
    </row>
    <row r="134" spans="2:5">
      <c r="B134" s="522">
        <v>120</v>
      </c>
      <c r="C134" s="522">
        <v>12000</v>
      </c>
      <c r="D134" s="522"/>
      <c r="E134" s="522"/>
    </row>
    <row r="135" spans="2:5">
      <c r="B135" s="522">
        <v>121</v>
      </c>
      <c r="C135" s="522">
        <v>12100</v>
      </c>
      <c r="D135" s="522"/>
      <c r="E135" s="522"/>
    </row>
    <row r="136" spans="2:5">
      <c r="B136" s="522">
        <v>122</v>
      </c>
      <c r="C136" s="522">
        <v>12200</v>
      </c>
      <c r="D136" s="522"/>
      <c r="E136" s="522"/>
    </row>
    <row r="137" spans="2:5">
      <c r="B137" s="522">
        <v>123</v>
      </c>
      <c r="C137" s="522">
        <v>12300</v>
      </c>
      <c r="D137" s="522"/>
      <c r="E137" s="522"/>
    </row>
    <row r="138" spans="2:5">
      <c r="B138" s="522">
        <v>124</v>
      </c>
      <c r="C138" s="522">
        <v>12400</v>
      </c>
      <c r="D138" s="522"/>
      <c r="E138" s="522"/>
    </row>
    <row r="139" spans="2:5">
      <c r="B139" s="522">
        <v>125</v>
      </c>
      <c r="C139" s="522">
        <v>12500</v>
      </c>
      <c r="D139" s="522"/>
      <c r="E139" s="522"/>
    </row>
    <row r="140" spans="2:5">
      <c r="B140" s="522">
        <v>126</v>
      </c>
      <c r="C140" s="522">
        <v>12600</v>
      </c>
      <c r="D140" s="522"/>
      <c r="E140" s="522"/>
    </row>
    <row r="141" spans="2:5">
      <c r="B141" s="522">
        <v>127</v>
      </c>
      <c r="C141" s="522">
        <v>12700</v>
      </c>
      <c r="D141" s="522"/>
      <c r="E141" s="522"/>
    </row>
    <row r="142" spans="2:5">
      <c r="B142" s="522">
        <v>128</v>
      </c>
      <c r="C142" s="522">
        <v>12800</v>
      </c>
      <c r="D142" s="522"/>
      <c r="E142" s="522"/>
    </row>
    <row r="143" spans="2:5">
      <c r="B143" s="522">
        <v>129</v>
      </c>
      <c r="C143" s="522">
        <v>12900</v>
      </c>
      <c r="D143" s="522"/>
      <c r="E143" s="522"/>
    </row>
    <row r="144" spans="2:5">
      <c r="B144" s="522">
        <v>130</v>
      </c>
      <c r="C144" s="522">
        <v>13000</v>
      </c>
      <c r="D144" s="522"/>
      <c r="E144" s="522"/>
    </row>
    <row r="145" spans="2:5">
      <c r="B145" s="522">
        <v>131</v>
      </c>
      <c r="C145" s="522">
        <v>13100</v>
      </c>
      <c r="D145" s="522"/>
      <c r="E145" s="522"/>
    </row>
    <row r="146" spans="2:5">
      <c r="B146" s="522">
        <v>132</v>
      </c>
      <c r="C146" s="522">
        <v>13200</v>
      </c>
      <c r="D146" s="522"/>
      <c r="E146" s="522"/>
    </row>
    <row r="147" spans="2:5">
      <c r="B147" s="522">
        <v>133</v>
      </c>
      <c r="C147" s="522">
        <v>13300</v>
      </c>
      <c r="D147" s="522"/>
      <c r="E147" s="522"/>
    </row>
    <row r="148" spans="2:5">
      <c r="B148" s="522">
        <v>134</v>
      </c>
      <c r="C148" s="522">
        <v>13400</v>
      </c>
      <c r="D148" s="522"/>
      <c r="E148" s="522"/>
    </row>
    <row r="149" spans="2:5">
      <c r="B149" s="522">
        <v>135</v>
      </c>
      <c r="C149" s="522">
        <v>13500</v>
      </c>
      <c r="D149" s="522"/>
      <c r="E149" s="522"/>
    </row>
    <row r="150" spans="2:5">
      <c r="B150" s="522">
        <v>136</v>
      </c>
      <c r="C150" s="522">
        <v>13600</v>
      </c>
      <c r="D150" s="522"/>
      <c r="E150" s="522"/>
    </row>
    <row r="151" spans="2:5">
      <c r="B151" s="522">
        <v>137</v>
      </c>
      <c r="C151" s="522">
        <v>13700</v>
      </c>
      <c r="D151" s="522"/>
      <c r="E151" s="522"/>
    </row>
    <row r="152" spans="2:5">
      <c r="B152" s="522">
        <v>138</v>
      </c>
      <c r="C152" s="522">
        <v>13800</v>
      </c>
      <c r="D152" s="522"/>
      <c r="E152" s="522"/>
    </row>
    <row r="153" spans="2:5">
      <c r="B153" s="522">
        <v>139</v>
      </c>
      <c r="C153" s="522">
        <v>13900</v>
      </c>
      <c r="D153" s="522"/>
      <c r="E153" s="522"/>
    </row>
    <row r="154" spans="2:5">
      <c r="B154" s="522">
        <v>140</v>
      </c>
      <c r="C154" s="522">
        <v>14000</v>
      </c>
      <c r="D154" s="522"/>
      <c r="E154" s="522"/>
    </row>
    <row r="155" spans="2:5">
      <c r="B155" s="522">
        <v>141</v>
      </c>
      <c r="C155" s="522">
        <v>14100</v>
      </c>
      <c r="D155" s="522"/>
      <c r="E155" s="522"/>
    </row>
    <row r="156" spans="2:5">
      <c r="B156" s="522">
        <v>142</v>
      </c>
      <c r="C156" s="522">
        <v>14200</v>
      </c>
      <c r="D156" s="522"/>
      <c r="E156" s="522"/>
    </row>
    <row r="157" spans="2:5">
      <c r="B157" s="522">
        <v>143</v>
      </c>
      <c r="C157" s="522">
        <v>14300</v>
      </c>
      <c r="D157" s="522"/>
      <c r="E157" s="522"/>
    </row>
    <row r="158" spans="2:5">
      <c r="B158" s="522">
        <v>144</v>
      </c>
      <c r="C158" s="522">
        <v>14400</v>
      </c>
      <c r="D158" s="522"/>
      <c r="E158" s="522"/>
    </row>
    <row r="159" spans="2:5">
      <c r="B159" s="522">
        <v>145</v>
      </c>
      <c r="C159" s="522">
        <v>14500</v>
      </c>
      <c r="D159" s="522"/>
      <c r="E159" s="522"/>
    </row>
    <row r="160" spans="2:5">
      <c r="B160" s="522">
        <v>146</v>
      </c>
      <c r="C160" s="522">
        <v>14600</v>
      </c>
      <c r="D160" s="522"/>
      <c r="E160" s="522"/>
    </row>
    <row r="161" spans="2:5">
      <c r="B161" s="522">
        <v>147</v>
      </c>
      <c r="C161" s="522">
        <v>14700</v>
      </c>
      <c r="D161" s="522"/>
      <c r="E161" s="522"/>
    </row>
    <row r="162" spans="2:5">
      <c r="B162" s="522">
        <v>148</v>
      </c>
      <c r="C162" s="522">
        <v>14800</v>
      </c>
      <c r="D162" s="522"/>
      <c r="E162" s="522"/>
    </row>
    <row r="163" spans="2:5">
      <c r="B163" s="522">
        <v>149</v>
      </c>
      <c r="C163" s="522">
        <v>14900</v>
      </c>
      <c r="D163" s="522"/>
      <c r="E163" s="522"/>
    </row>
    <row r="164" spans="2:5">
      <c r="B164" s="522">
        <v>150</v>
      </c>
      <c r="C164" s="522">
        <v>15000</v>
      </c>
      <c r="D164" s="522"/>
      <c r="E164" s="522"/>
    </row>
    <row r="165" spans="2:5">
      <c r="B165" s="522">
        <v>151</v>
      </c>
      <c r="C165" s="522">
        <v>15100</v>
      </c>
      <c r="D165" s="522"/>
      <c r="E165" s="522"/>
    </row>
    <row r="166" spans="2:5">
      <c r="B166" s="522">
        <v>152</v>
      </c>
      <c r="C166" s="522">
        <v>15200</v>
      </c>
      <c r="D166" s="522"/>
      <c r="E166" s="522"/>
    </row>
    <row r="167" spans="2:5">
      <c r="B167" s="522">
        <v>153</v>
      </c>
      <c r="C167" s="522">
        <v>15300</v>
      </c>
      <c r="D167" s="522"/>
      <c r="E167" s="522"/>
    </row>
    <row r="168" spans="2:5">
      <c r="B168" s="522">
        <v>154</v>
      </c>
      <c r="C168" s="522">
        <v>15400</v>
      </c>
      <c r="D168" s="522"/>
      <c r="E168" s="522"/>
    </row>
    <row r="169" spans="2:5">
      <c r="B169" s="522">
        <v>155</v>
      </c>
      <c r="C169" s="522">
        <v>15500</v>
      </c>
      <c r="D169" s="522"/>
      <c r="E169" s="522"/>
    </row>
    <row r="170" spans="2:5">
      <c r="B170" s="522">
        <v>156</v>
      </c>
      <c r="C170" s="522">
        <v>15600</v>
      </c>
      <c r="D170" s="522"/>
      <c r="E170" s="522"/>
    </row>
    <row r="171" spans="2:5">
      <c r="B171" s="522">
        <v>157</v>
      </c>
      <c r="C171" s="522">
        <v>15700</v>
      </c>
      <c r="D171" s="522"/>
      <c r="E171" s="522"/>
    </row>
    <row r="172" spans="2:5">
      <c r="B172" s="522">
        <v>158</v>
      </c>
      <c r="C172" s="522">
        <v>15800</v>
      </c>
      <c r="D172" s="522"/>
      <c r="E172" s="522"/>
    </row>
    <row r="173" spans="2:5">
      <c r="B173" s="522">
        <v>159</v>
      </c>
      <c r="C173" s="522">
        <v>15900</v>
      </c>
      <c r="D173" s="522"/>
      <c r="E173" s="522"/>
    </row>
    <row r="174" spans="2:5">
      <c r="B174" s="522">
        <v>160</v>
      </c>
      <c r="C174" s="522">
        <v>16000</v>
      </c>
      <c r="D174" s="522"/>
      <c r="E174" s="522"/>
    </row>
    <row r="175" spans="2:5">
      <c r="B175" s="522">
        <v>161</v>
      </c>
      <c r="C175" s="522">
        <v>16100</v>
      </c>
      <c r="D175" s="522"/>
      <c r="E175" s="522"/>
    </row>
    <row r="176" spans="2:5">
      <c r="B176" s="522">
        <v>162</v>
      </c>
      <c r="C176" s="522">
        <v>16200</v>
      </c>
      <c r="D176" s="522"/>
      <c r="E176" s="522"/>
    </row>
    <row r="177" spans="2:5">
      <c r="B177" s="522">
        <v>163</v>
      </c>
      <c r="C177" s="522">
        <v>16300</v>
      </c>
      <c r="D177" s="522"/>
      <c r="E177" s="522"/>
    </row>
    <row r="178" spans="2:5">
      <c r="B178" s="522">
        <v>164</v>
      </c>
      <c r="C178" s="522">
        <v>16400</v>
      </c>
      <c r="D178" s="522"/>
      <c r="E178" s="522"/>
    </row>
    <row r="179" spans="2:5">
      <c r="B179" s="522">
        <v>165</v>
      </c>
      <c r="C179" s="522">
        <v>16500</v>
      </c>
      <c r="D179" s="522"/>
      <c r="E179" s="522"/>
    </row>
    <row r="180" spans="2:5">
      <c r="B180" s="522">
        <v>166</v>
      </c>
      <c r="C180" s="522">
        <v>16600</v>
      </c>
      <c r="D180" s="522"/>
      <c r="E180" s="522"/>
    </row>
    <row r="181" spans="2:5">
      <c r="B181" s="522">
        <v>167</v>
      </c>
      <c r="C181" s="522">
        <v>16700</v>
      </c>
      <c r="D181" s="522"/>
      <c r="E181" s="522"/>
    </row>
    <row r="182" spans="2:5">
      <c r="B182" s="522">
        <v>168</v>
      </c>
      <c r="C182" s="522">
        <v>16800</v>
      </c>
      <c r="D182" s="522"/>
      <c r="E182" s="522"/>
    </row>
    <row r="183" spans="2:5">
      <c r="B183" s="522">
        <v>169</v>
      </c>
      <c r="C183" s="522">
        <v>16900</v>
      </c>
      <c r="D183" s="522"/>
      <c r="E183" s="522"/>
    </row>
    <row r="184" spans="2:5">
      <c r="B184" s="522">
        <v>170</v>
      </c>
      <c r="C184" s="522">
        <v>17000</v>
      </c>
      <c r="D184" s="522"/>
      <c r="E184" s="522"/>
    </row>
    <row r="185" spans="2:5">
      <c r="B185" s="522">
        <v>171</v>
      </c>
      <c r="C185" s="522">
        <v>17100</v>
      </c>
      <c r="D185" s="522"/>
      <c r="E185" s="522"/>
    </row>
    <row r="186" spans="2:5">
      <c r="B186" s="522">
        <v>172</v>
      </c>
      <c r="C186" s="522">
        <v>17200</v>
      </c>
      <c r="D186" s="522"/>
      <c r="E186" s="522"/>
    </row>
    <row r="187" spans="2:5">
      <c r="B187" s="522">
        <v>173</v>
      </c>
      <c r="C187" s="522">
        <v>17300</v>
      </c>
      <c r="D187" s="522"/>
      <c r="E187" s="522"/>
    </row>
    <row r="188" spans="2:5">
      <c r="B188" s="522">
        <v>174</v>
      </c>
      <c r="C188" s="522">
        <v>17400</v>
      </c>
      <c r="D188" s="522"/>
      <c r="E188" s="522"/>
    </row>
    <row r="189" spans="2:5">
      <c r="B189" s="522">
        <v>175</v>
      </c>
      <c r="C189" s="522">
        <v>17500</v>
      </c>
      <c r="D189" s="522"/>
      <c r="E189" s="522"/>
    </row>
    <row r="190" spans="2:5">
      <c r="B190" s="522">
        <v>176</v>
      </c>
      <c r="C190" s="522">
        <v>17600</v>
      </c>
      <c r="D190" s="522"/>
      <c r="E190" s="522"/>
    </row>
    <row r="191" spans="2:5">
      <c r="B191" s="522">
        <v>177</v>
      </c>
      <c r="C191" s="522">
        <v>17700</v>
      </c>
      <c r="D191" s="522"/>
      <c r="E191" s="522"/>
    </row>
    <row r="192" spans="2:5">
      <c r="B192" s="522">
        <v>178</v>
      </c>
      <c r="C192" s="522">
        <v>17800</v>
      </c>
      <c r="D192" s="522"/>
      <c r="E192" s="522"/>
    </row>
    <row r="193" spans="2:5">
      <c r="B193" s="522">
        <v>179</v>
      </c>
      <c r="C193" s="522">
        <v>17900</v>
      </c>
      <c r="D193" s="522"/>
      <c r="E193" s="522"/>
    </row>
    <row r="194" spans="2:5">
      <c r="B194" s="522">
        <v>180</v>
      </c>
      <c r="C194" s="522">
        <v>18000</v>
      </c>
      <c r="D194" s="522"/>
      <c r="E194" s="522"/>
    </row>
    <row r="195" spans="2:5">
      <c r="B195" s="522">
        <v>181</v>
      </c>
      <c r="C195" s="522">
        <v>18100</v>
      </c>
      <c r="D195" s="522"/>
      <c r="E195" s="522"/>
    </row>
    <row r="196" spans="2:5">
      <c r="B196" s="522">
        <v>182</v>
      </c>
      <c r="C196" s="522">
        <v>18200</v>
      </c>
      <c r="D196" s="522"/>
      <c r="E196" s="522"/>
    </row>
    <row r="197" spans="2:5">
      <c r="B197" s="522">
        <v>183</v>
      </c>
      <c r="C197" s="522">
        <v>18300</v>
      </c>
      <c r="D197" s="522"/>
      <c r="E197" s="522"/>
    </row>
    <row r="198" spans="2:5">
      <c r="B198" s="522">
        <v>184</v>
      </c>
      <c r="C198" s="522">
        <v>18400</v>
      </c>
      <c r="D198" s="522"/>
      <c r="E198" s="522"/>
    </row>
    <row r="199" spans="2:5">
      <c r="B199" s="522">
        <v>185</v>
      </c>
      <c r="C199" s="522">
        <v>18500</v>
      </c>
      <c r="D199" s="522"/>
      <c r="E199" s="522"/>
    </row>
    <row r="200" spans="2:5">
      <c r="B200" s="522">
        <v>186</v>
      </c>
      <c r="C200" s="522">
        <v>18600</v>
      </c>
      <c r="D200" s="522"/>
      <c r="E200" s="522"/>
    </row>
    <row r="201" spans="2:5">
      <c r="B201" s="522">
        <v>187</v>
      </c>
      <c r="C201" s="522">
        <v>18700</v>
      </c>
      <c r="D201" s="522"/>
      <c r="E201" s="522"/>
    </row>
    <row r="202" spans="2:5">
      <c r="B202" s="522">
        <v>188</v>
      </c>
      <c r="C202" s="522">
        <v>18800</v>
      </c>
      <c r="D202" s="522"/>
      <c r="E202" s="522"/>
    </row>
    <row r="203" spans="2:5">
      <c r="B203" s="522">
        <v>189</v>
      </c>
      <c r="C203" s="522">
        <v>18900</v>
      </c>
      <c r="D203" s="522"/>
      <c r="E203" s="522"/>
    </row>
    <row r="204" spans="2:5">
      <c r="B204" s="522">
        <v>190</v>
      </c>
      <c r="C204" s="522">
        <v>19000</v>
      </c>
      <c r="D204" s="522"/>
      <c r="E204" s="522"/>
    </row>
    <row r="205" spans="2:5">
      <c r="B205" s="522">
        <v>191</v>
      </c>
      <c r="C205" s="522">
        <v>19100</v>
      </c>
      <c r="D205" s="522"/>
      <c r="E205" s="522"/>
    </row>
    <row r="206" spans="2:5">
      <c r="B206" s="522">
        <v>192</v>
      </c>
      <c r="C206" s="522">
        <v>19200</v>
      </c>
      <c r="D206" s="522"/>
      <c r="E206" s="522"/>
    </row>
    <row r="207" spans="2:5">
      <c r="B207" s="522">
        <v>193</v>
      </c>
      <c r="C207" s="522">
        <v>19300</v>
      </c>
      <c r="D207" s="522"/>
      <c r="E207" s="522"/>
    </row>
    <row r="208" spans="2:5">
      <c r="B208" s="522">
        <v>194</v>
      </c>
      <c r="C208" s="522">
        <v>19400</v>
      </c>
      <c r="D208" s="522"/>
      <c r="E208" s="522"/>
    </row>
    <row r="209" spans="2:5">
      <c r="B209" s="522">
        <v>195</v>
      </c>
      <c r="C209" s="522">
        <v>19500</v>
      </c>
      <c r="D209" s="522"/>
      <c r="E209" s="522"/>
    </row>
    <row r="210" spans="2:5">
      <c r="B210" s="522">
        <v>196</v>
      </c>
      <c r="C210" s="522">
        <v>19600</v>
      </c>
      <c r="D210" s="522"/>
      <c r="E210" s="522"/>
    </row>
    <row r="211" spans="2:5">
      <c r="B211" s="522">
        <v>197</v>
      </c>
      <c r="C211" s="522">
        <v>19700</v>
      </c>
      <c r="D211" s="522"/>
      <c r="E211" s="522"/>
    </row>
    <row r="212" spans="2:5">
      <c r="B212" s="522">
        <v>198</v>
      </c>
      <c r="C212" s="522">
        <v>19800</v>
      </c>
      <c r="D212" s="522"/>
      <c r="E212" s="522"/>
    </row>
    <row r="213" spans="2:5">
      <c r="B213" s="522">
        <v>199</v>
      </c>
      <c r="C213" s="522">
        <v>19900</v>
      </c>
      <c r="D213" s="522"/>
      <c r="E213" s="522"/>
    </row>
    <row r="214" spans="2:5">
      <c r="B214" s="522">
        <v>200</v>
      </c>
      <c r="C214" s="522">
        <v>20000</v>
      </c>
      <c r="D214" s="522"/>
      <c r="E214" s="522"/>
    </row>
    <row r="215" spans="2:5">
      <c r="B215" s="522">
        <v>201</v>
      </c>
      <c r="C215" s="522">
        <v>20100</v>
      </c>
      <c r="D215" s="522"/>
      <c r="E215" s="522"/>
    </row>
    <row r="216" spans="2:5">
      <c r="B216" s="522">
        <v>202</v>
      </c>
      <c r="C216" s="522">
        <v>20200</v>
      </c>
      <c r="D216" s="522"/>
      <c r="E216" s="522"/>
    </row>
    <row r="217" spans="2:5">
      <c r="B217" s="522">
        <v>203</v>
      </c>
      <c r="C217" s="522">
        <v>20300</v>
      </c>
      <c r="D217" s="522"/>
      <c r="E217" s="522"/>
    </row>
    <row r="218" spans="2:5">
      <c r="B218" s="522">
        <v>204</v>
      </c>
      <c r="C218" s="522">
        <v>20400</v>
      </c>
      <c r="D218" s="522"/>
      <c r="E218" s="522"/>
    </row>
    <row r="219" spans="2:5">
      <c r="B219" s="522">
        <v>205</v>
      </c>
      <c r="C219" s="522">
        <v>20500</v>
      </c>
      <c r="D219" s="522"/>
      <c r="E219" s="522"/>
    </row>
    <row r="220" spans="2:5">
      <c r="B220" s="522">
        <v>206</v>
      </c>
      <c r="C220" s="522">
        <v>20600</v>
      </c>
      <c r="D220" s="522"/>
      <c r="E220" s="522"/>
    </row>
    <row r="221" spans="2:5">
      <c r="B221" s="522">
        <v>207</v>
      </c>
      <c r="C221" s="522">
        <v>20700</v>
      </c>
      <c r="D221" s="522"/>
      <c r="E221" s="522"/>
    </row>
    <row r="222" spans="2:5">
      <c r="B222" s="522">
        <v>208</v>
      </c>
      <c r="C222" s="522">
        <v>20800</v>
      </c>
      <c r="D222" s="522"/>
      <c r="E222" s="522"/>
    </row>
    <row r="223" spans="2:5">
      <c r="B223" s="522">
        <v>209</v>
      </c>
      <c r="C223" s="522">
        <v>20900</v>
      </c>
      <c r="D223" s="522"/>
      <c r="E223" s="522"/>
    </row>
    <row r="224" spans="2:5">
      <c r="B224" s="522">
        <v>210</v>
      </c>
      <c r="C224" s="522">
        <v>21000</v>
      </c>
      <c r="D224" s="522"/>
      <c r="E224" s="522"/>
    </row>
    <row r="225" spans="2:5">
      <c r="B225" s="522">
        <v>211</v>
      </c>
      <c r="C225" s="522">
        <v>21100</v>
      </c>
      <c r="D225" s="522"/>
      <c r="E225" s="522"/>
    </row>
    <row r="226" spans="2:5">
      <c r="B226" s="522">
        <v>212</v>
      </c>
      <c r="C226" s="522">
        <v>21200</v>
      </c>
      <c r="D226" s="522"/>
      <c r="E226" s="522"/>
    </row>
    <row r="227" spans="2:5">
      <c r="B227" s="522">
        <v>213</v>
      </c>
      <c r="C227" s="522">
        <v>21300</v>
      </c>
      <c r="D227" s="522"/>
      <c r="E227" s="522"/>
    </row>
    <row r="228" spans="2:5">
      <c r="B228" s="522">
        <v>214</v>
      </c>
      <c r="C228" s="522">
        <v>21400</v>
      </c>
      <c r="D228" s="522"/>
      <c r="E228" s="522"/>
    </row>
    <row r="229" spans="2:5">
      <c r="B229" s="522">
        <v>215</v>
      </c>
      <c r="C229" s="522">
        <v>21500</v>
      </c>
      <c r="D229" s="522"/>
      <c r="E229" s="522"/>
    </row>
    <row r="230" spans="2:5">
      <c r="B230" s="522">
        <v>216</v>
      </c>
      <c r="C230" s="522">
        <v>21600</v>
      </c>
      <c r="D230" s="522"/>
      <c r="E230" s="522"/>
    </row>
    <row r="231" spans="2:5">
      <c r="B231" s="522">
        <v>217</v>
      </c>
      <c r="C231" s="522">
        <v>21700</v>
      </c>
      <c r="D231" s="522"/>
      <c r="E231" s="522"/>
    </row>
    <row r="232" spans="2:5">
      <c r="B232" s="522">
        <v>218</v>
      </c>
      <c r="C232" s="522">
        <v>21800</v>
      </c>
      <c r="D232" s="522"/>
      <c r="E232" s="522"/>
    </row>
    <row r="233" spans="2:5">
      <c r="B233" s="522">
        <v>219</v>
      </c>
      <c r="C233" s="522">
        <v>21900</v>
      </c>
      <c r="D233" s="522"/>
      <c r="E233" s="522"/>
    </row>
    <row r="234" spans="2:5">
      <c r="B234" s="522">
        <v>220</v>
      </c>
      <c r="C234" s="522">
        <v>22000</v>
      </c>
      <c r="D234" s="522"/>
      <c r="E234" s="522"/>
    </row>
    <row r="235" spans="2:5">
      <c r="B235" s="522">
        <v>221</v>
      </c>
      <c r="C235" s="522">
        <v>22100</v>
      </c>
      <c r="D235" s="522"/>
      <c r="E235" s="522"/>
    </row>
    <row r="236" spans="2:5">
      <c r="B236" s="522">
        <v>222</v>
      </c>
      <c r="C236" s="522">
        <v>22200</v>
      </c>
      <c r="D236" s="522"/>
      <c r="E236" s="522"/>
    </row>
    <row r="237" spans="2:5">
      <c r="B237" s="522">
        <v>223</v>
      </c>
      <c r="C237" s="522">
        <v>22300</v>
      </c>
      <c r="D237" s="522"/>
      <c r="E237" s="522"/>
    </row>
    <row r="238" spans="2:5">
      <c r="B238" s="522">
        <v>224</v>
      </c>
      <c r="C238" s="522">
        <v>22400</v>
      </c>
      <c r="D238" s="522"/>
      <c r="E238" s="522"/>
    </row>
    <row r="239" spans="2:5">
      <c r="B239" s="522">
        <v>225</v>
      </c>
      <c r="C239" s="522">
        <v>22500</v>
      </c>
      <c r="D239" s="522"/>
      <c r="E239" s="522"/>
    </row>
    <row r="240" spans="2:5">
      <c r="B240" s="522">
        <v>226</v>
      </c>
      <c r="C240" s="522">
        <v>22600</v>
      </c>
      <c r="D240" s="522"/>
      <c r="E240" s="522"/>
    </row>
    <row r="241" spans="2:5">
      <c r="B241" s="522">
        <v>227</v>
      </c>
      <c r="C241" s="522">
        <v>22700</v>
      </c>
      <c r="D241" s="522"/>
      <c r="E241" s="522"/>
    </row>
    <row r="242" spans="2:5">
      <c r="B242" s="522">
        <v>228</v>
      </c>
      <c r="C242" s="522">
        <v>22800</v>
      </c>
      <c r="D242" s="522"/>
      <c r="E242" s="522"/>
    </row>
    <row r="243" spans="2:5">
      <c r="B243" s="522">
        <v>229</v>
      </c>
      <c r="C243" s="522">
        <v>22900</v>
      </c>
      <c r="D243" s="522"/>
      <c r="E243" s="522"/>
    </row>
    <row r="244" spans="2:5">
      <c r="B244" s="522">
        <v>230</v>
      </c>
      <c r="C244" s="522">
        <v>23000</v>
      </c>
      <c r="D244" s="522"/>
      <c r="E244" s="522"/>
    </row>
    <row r="245" spans="2:5">
      <c r="B245" s="522">
        <v>231</v>
      </c>
      <c r="C245" s="522">
        <v>23100</v>
      </c>
      <c r="D245" s="522"/>
      <c r="E245" s="522"/>
    </row>
    <row r="246" spans="2:5">
      <c r="B246" s="522">
        <v>232</v>
      </c>
      <c r="C246" s="522">
        <v>23200</v>
      </c>
      <c r="D246" s="522"/>
      <c r="E246" s="522"/>
    </row>
    <row r="247" spans="2:5">
      <c r="B247" s="522">
        <v>233</v>
      </c>
      <c r="C247" s="522">
        <v>23300</v>
      </c>
      <c r="D247" s="522"/>
      <c r="E247" s="522"/>
    </row>
    <row r="248" spans="2:5">
      <c r="B248" s="522">
        <v>234</v>
      </c>
      <c r="C248" s="522">
        <v>23400</v>
      </c>
      <c r="D248" s="522"/>
      <c r="E248" s="522"/>
    </row>
    <row r="249" spans="2:5">
      <c r="B249" s="522">
        <v>235</v>
      </c>
      <c r="C249" s="522">
        <v>23500</v>
      </c>
      <c r="D249" s="522"/>
      <c r="E249" s="522"/>
    </row>
    <row r="250" spans="2:5">
      <c r="B250" s="522">
        <v>236</v>
      </c>
      <c r="C250" s="522">
        <v>23600</v>
      </c>
      <c r="D250" s="522"/>
      <c r="E250" s="522"/>
    </row>
    <row r="251" spans="2:5">
      <c r="B251" s="522">
        <v>237</v>
      </c>
      <c r="C251" s="522">
        <v>23700</v>
      </c>
      <c r="D251" s="522"/>
      <c r="E251" s="522"/>
    </row>
    <row r="252" spans="2:5">
      <c r="B252" s="522">
        <v>238</v>
      </c>
      <c r="C252" s="522">
        <v>23800</v>
      </c>
      <c r="D252" s="522"/>
      <c r="E252" s="522"/>
    </row>
    <row r="253" spans="2:5">
      <c r="B253" s="522">
        <v>239</v>
      </c>
      <c r="C253" s="522">
        <v>23900</v>
      </c>
      <c r="D253" s="522"/>
      <c r="E253" s="522"/>
    </row>
    <row r="254" spans="2:5">
      <c r="B254" s="522">
        <v>240</v>
      </c>
      <c r="C254" s="522">
        <v>24000</v>
      </c>
      <c r="D254" s="522"/>
      <c r="E254" s="522"/>
    </row>
    <row r="255" spans="2:5">
      <c r="B255" s="522">
        <v>241</v>
      </c>
      <c r="C255" s="522">
        <v>24100</v>
      </c>
      <c r="D255" s="522"/>
      <c r="E255" s="522"/>
    </row>
    <row r="256" spans="2:5">
      <c r="B256" s="522">
        <v>242</v>
      </c>
      <c r="C256" s="522">
        <v>24200</v>
      </c>
      <c r="D256" s="522"/>
      <c r="E256" s="522"/>
    </row>
    <row r="257" spans="2:5">
      <c r="B257" s="522">
        <v>243</v>
      </c>
      <c r="C257" s="522">
        <v>24300</v>
      </c>
      <c r="D257" s="522"/>
      <c r="E257" s="522"/>
    </row>
    <row r="258" spans="2:5">
      <c r="B258" s="522">
        <v>244</v>
      </c>
      <c r="C258" s="522">
        <v>24400</v>
      </c>
      <c r="D258" s="522"/>
      <c r="E258" s="522"/>
    </row>
    <row r="259" spans="2:5">
      <c r="B259" s="522">
        <v>245</v>
      </c>
      <c r="C259" s="522">
        <v>24500</v>
      </c>
      <c r="D259" s="522"/>
      <c r="E259" s="522"/>
    </row>
    <row r="260" spans="2:5">
      <c r="B260" s="522">
        <v>246</v>
      </c>
      <c r="C260" s="522">
        <v>24600</v>
      </c>
      <c r="D260" s="522"/>
      <c r="E260" s="522"/>
    </row>
    <row r="261" spans="2:5">
      <c r="B261" s="522">
        <v>247</v>
      </c>
      <c r="C261" s="522">
        <v>24700</v>
      </c>
      <c r="D261" s="522"/>
      <c r="E261" s="522"/>
    </row>
    <row r="262" spans="2:5">
      <c r="B262" s="522">
        <v>248</v>
      </c>
      <c r="C262" s="522">
        <v>24800</v>
      </c>
      <c r="D262" s="522"/>
      <c r="E262" s="522"/>
    </row>
    <row r="263" spans="2:5">
      <c r="B263" s="522">
        <v>249</v>
      </c>
      <c r="C263" s="522">
        <v>24900</v>
      </c>
      <c r="D263" s="522"/>
      <c r="E263" s="522"/>
    </row>
    <row r="264" spans="2:5">
      <c r="B264" s="522">
        <v>250</v>
      </c>
      <c r="C264" s="522">
        <v>25000</v>
      </c>
      <c r="D264" s="522"/>
      <c r="E264" s="522"/>
    </row>
    <row r="265" spans="2:5">
      <c r="B265" s="522">
        <v>251</v>
      </c>
      <c r="C265" s="522">
        <v>25100</v>
      </c>
      <c r="D265" s="522"/>
      <c r="E265" s="522"/>
    </row>
    <row r="266" spans="2:5">
      <c r="B266" s="522">
        <v>252</v>
      </c>
      <c r="C266" s="522">
        <v>25200</v>
      </c>
      <c r="D266" s="522"/>
      <c r="E266" s="522"/>
    </row>
    <row r="267" spans="2:5">
      <c r="B267" s="522">
        <v>253</v>
      </c>
      <c r="C267" s="522">
        <v>25300</v>
      </c>
      <c r="D267" s="522"/>
      <c r="E267" s="522"/>
    </row>
    <row r="268" spans="2:5">
      <c r="B268" s="522">
        <v>254</v>
      </c>
      <c r="C268" s="522">
        <v>25400</v>
      </c>
      <c r="D268" s="522"/>
      <c r="E268" s="522"/>
    </row>
    <row r="269" spans="2:5">
      <c r="B269" s="522">
        <v>255</v>
      </c>
      <c r="C269" s="522">
        <v>25500</v>
      </c>
      <c r="D269" s="522"/>
      <c r="E269" s="522"/>
    </row>
    <row r="270" spans="2:5">
      <c r="B270" s="522">
        <v>256</v>
      </c>
      <c r="C270" s="522">
        <v>25600</v>
      </c>
      <c r="D270" s="522"/>
      <c r="E270" s="522"/>
    </row>
    <row r="271" spans="2:5">
      <c r="B271" s="522">
        <v>257</v>
      </c>
      <c r="C271" s="522">
        <v>25700</v>
      </c>
      <c r="D271" s="522"/>
      <c r="E271" s="522"/>
    </row>
    <row r="272" spans="2:5">
      <c r="B272" s="522">
        <v>258</v>
      </c>
      <c r="C272" s="522">
        <v>25800</v>
      </c>
      <c r="D272" s="522"/>
      <c r="E272" s="522"/>
    </row>
    <row r="273" spans="2:5">
      <c r="B273" s="522">
        <v>259</v>
      </c>
      <c r="C273" s="522">
        <v>25900</v>
      </c>
      <c r="D273" s="522"/>
      <c r="E273" s="522"/>
    </row>
    <row r="274" spans="2:5">
      <c r="B274" s="522">
        <v>260</v>
      </c>
      <c r="C274" s="522">
        <v>26000</v>
      </c>
      <c r="D274" s="522"/>
      <c r="E274" s="522"/>
    </row>
    <row r="275" spans="2:5">
      <c r="B275" s="522">
        <v>261</v>
      </c>
      <c r="C275" s="522">
        <v>26100</v>
      </c>
      <c r="D275" s="522"/>
      <c r="E275" s="522"/>
    </row>
    <row r="276" spans="2:5">
      <c r="B276" s="522">
        <v>262</v>
      </c>
      <c r="C276" s="522">
        <v>26200</v>
      </c>
      <c r="D276" s="522"/>
      <c r="E276" s="522"/>
    </row>
    <row r="277" spans="2:5">
      <c r="B277" s="522">
        <v>263</v>
      </c>
      <c r="C277" s="522">
        <v>26300</v>
      </c>
      <c r="D277" s="522"/>
      <c r="E277" s="522"/>
    </row>
    <row r="278" spans="2:5">
      <c r="B278" s="522">
        <v>264</v>
      </c>
      <c r="C278" s="522">
        <v>26400</v>
      </c>
      <c r="D278" s="522"/>
      <c r="E278" s="522"/>
    </row>
    <row r="279" spans="2:5">
      <c r="B279" s="522">
        <v>265</v>
      </c>
      <c r="C279" s="522">
        <v>26500</v>
      </c>
      <c r="D279" s="522"/>
      <c r="E279" s="522"/>
    </row>
    <row r="280" spans="2:5">
      <c r="B280" s="522">
        <v>266</v>
      </c>
      <c r="C280" s="522">
        <v>26600</v>
      </c>
      <c r="D280" s="522"/>
      <c r="E280" s="522"/>
    </row>
    <row r="281" spans="2:5">
      <c r="B281" s="522">
        <v>267</v>
      </c>
      <c r="C281" s="522">
        <v>26700</v>
      </c>
      <c r="D281" s="522"/>
      <c r="E281" s="522"/>
    </row>
    <row r="282" spans="2:5">
      <c r="B282" s="522">
        <v>268</v>
      </c>
      <c r="C282" s="522">
        <v>26800</v>
      </c>
      <c r="D282" s="522"/>
      <c r="E282" s="522"/>
    </row>
    <row r="283" spans="2:5">
      <c r="B283" s="522">
        <v>269</v>
      </c>
      <c r="C283" s="522">
        <v>26900</v>
      </c>
      <c r="D283" s="522"/>
      <c r="E283" s="522"/>
    </row>
    <row r="284" spans="2:5">
      <c r="B284" s="522">
        <v>270</v>
      </c>
      <c r="C284" s="522">
        <v>27000</v>
      </c>
      <c r="D284" s="522"/>
      <c r="E284" s="522"/>
    </row>
    <row r="285" spans="2:5">
      <c r="B285" s="522">
        <v>271</v>
      </c>
      <c r="C285" s="522">
        <v>27100</v>
      </c>
      <c r="D285" s="522"/>
      <c r="E285" s="522"/>
    </row>
    <row r="286" spans="2:5">
      <c r="B286" s="522">
        <v>272</v>
      </c>
      <c r="C286" s="522">
        <v>27200</v>
      </c>
      <c r="D286" s="522"/>
      <c r="E286" s="522"/>
    </row>
    <row r="287" spans="2:5">
      <c r="B287" s="522">
        <v>273</v>
      </c>
      <c r="C287" s="522">
        <v>27300</v>
      </c>
      <c r="D287" s="522"/>
      <c r="E287" s="522"/>
    </row>
    <row r="288" spans="2:5">
      <c r="B288" s="522">
        <v>274</v>
      </c>
      <c r="C288" s="522">
        <v>27400</v>
      </c>
      <c r="D288" s="522"/>
      <c r="E288" s="522"/>
    </row>
    <row r="289" spans="2:5">
      <c r="B289" s="522">
        <v>275</v>
      </c>
      <c r="C289" s="522">
        <v>27500</v>
      </c>
      <c r="D289" s="522"/>
      <c r="E289" s="522"/>
    </row>
    <row r="290" spans="2:5">
      <c r="B290" s="522">
        <v>276</v>
      </c>
      <c r="C290" s="522">
        <v>27600</v>
      </c>
      <c r="D290" s="522"/>
      <c r="E290" s="522"/>
    </row>
    <row r="291" spans="2:5">
      <c r="B291" s="522">
        <v>277</v>
      </c>
      <c r="C291" s="522">
        <v>27700</v>
      </c>
      <c r="D291" s="522"/>
      <c r="E291" s="522"/>
    </row>
    <row r="292" spans="2:5">
      <c r="B292" s="522">
        <v>278</v>
      </c>
      <c r="C292" s="522">
        <v>27800</v>
      </c>
      <c r="D292" s="522"/>
      <c r="E292" s="522"/>
    </row>
    <row r="293" spans="2:5">
      <c r="B293" s="522">
        <v>279</v>
      </c>
      <c r="C293" s="522">
        <v>27900</v>
      </c>
      <c r="D293" s="522"/>
      <c r="E293" s="522"/>
    </row>
    <row r="294" spans="2:5">
      <c r="B294" s="522">
        <v>280</v>
      </c>
      <c r="C294" s="522">
        <v>28000</v>
      </c>
      <c r="D294" s="522"/>
      <c r="E294" s="522"/>
    </row>
    <row r="295" spans="2:5">
      <c r="B295" s="522">
        <v>281</v>
      </c>
      <c r="C295" s="522">
        <v>28100</v>
      </c>
      <c r="D295" s="522"/>
      <c r="E295" s="522"/>
    </row>
    <row r="296" spans="2:5">
      <c r="B296" s="522">
        <v>282</v>
      </c>
      <c r="C296" s="522">
        <v>28200</v>
      </c>
      <c r="D296" s="522"/>
      <c r="E296" s="522"/>
    </row>
    <row r="297" spans="2:5">
      <c r="B297" s="522">
        <v>283</v>
      </c>
      <c r="C297" s="522">
        <v>28300</v>
      </c>
      <c r="D297" s="522"/>
      <c r="E297" s="522"/>
    </row>
    <row r="298" spans="2:5">
      <c r="B298" s="522">
        <v>284</v>
      </c>
      <c r="C298" s="522">
        <v>28400</v>
      </c>
      <c r="D298" s="522"/>
      <c r="E298" s="522"/>
    </row>
    <row r="299" spans="2:5">
      <c r="B299" s="522">
        <v>285</v>
      </c>
      <c r="C299" s="522">
        <v>28500</v>
      </c>
      <c r="D299" s="522"/>
      <c r="E299" s="522"/>
    </row>
    <row r="300" spans="2:5">
      <c r="B300" s="522">
        <v>286</v>
      </c>
      <c r="C300" s="522">
        <v>28600</v>
      </c>
      <c r="D300" s="522"/>
      <c r="E300" s="522"/>
    </row>
    <row r="301" spans="2:5">
      <c r="B301" s="522">
        <v>287</v>
      </c>
      <c r="C301" s="522">
        <v>28700</v>
      </c>
      <c r="D301" s="522"/>
      <c r="E301" s="522"/>
    </row>
    <row r="302" spans="2:5">
      <c r="B302" s="522">
        <v>288</v>
      </c>
      <c r="C302" s="522">
        <v>28800</v>
      </c>
      <c r="D302" s="522"/>
      <c r="E302" s="522"/>
    </row>
    <row r="303" spans="2:5">
      <c r="B303" s="522">
        <v>289</v>
      </c>
      <c r="C303" s="522">
        <v>28900</v>
      </c>
      <c r="D303" s="522"/>
      <c r="E303" s="522"/>
    </row>
    <row r="304" spans="2:5">
      <c r="B304" s="522">
        <v>290</v>
      </c>
      <c r="C304" s="522">
        <v>29000</v>
      </c>
      <c r="D304" s="522"/>
      <c r="E304" s="522"/>
    </row>
    <row r="305" spans="2:5">
      <c r="B305" s="522">
        <v>291</v>
      </c>
      <c r="C305" s="522">
        <v>29100</v>
      </c>
      <c r="D305" s="522"/>
      <c r="E305" s="522"/>
    </row>
    <row r="306" spans="2:5">
      <c r="B306" s="522">
        <v>292</v>
      </c>
      <c r="C306" s="522">
        <v>29200</v>
      </c>
      <c r="D306" s="522"/>
      <c r="E306" s="522"/>
    </row>
    <row r="307" spans="2:5">
      <c r="B307" s="522">
        <v>293</v>
      </c>
      <c r="C307" s="522">
        <v>29300</v>
      </c>
      <c r="D307" s="522"/>
      <c r="E307" s="522"/>
    </row>
    <row r="308" spans="2:5">
      <c r="B308" s="522">
        <v>294</v>
      </c>
      <c r="C308" s="522">
        <v>29400</v>
      </c>
      <c r="D308" s="522"/>
      <c r="E308" s="522"/>
    </row>
    <row r="309" spans="2:5">
      <c r="B309" s="522">
        <v>295</v>
      </c>
      <c r="C309" s="522">
        <v>29500</v>
      </c>
      <c r="D309" s="522"/>
      <c r="E309" s="522"/>
    </row>
    <row r="310" spans="2:5">
      <c r="B310" s="522">
        <v>296</v>
      </c>
      <c r="C310" s="522">
        <v>29600</v>
      </c>
      <c r="D310" s="522"/>
      <c r="E310" s="522"/>
    </row>
    <row r="311" spans="2:5">
      <c r="B311" s="522">
        <v>297</v>
      </c>
      <c r="C311" s="522">
        <v>29700</v>
      </c>
      <c r="D311" s="522"/>
      <c r="E311" s="522"/>
    </row>
    <row r="312" spans="2:5">
      <c r="B312" s="522">
        <v>298</v>
      </c>
      <c r="C312" s="522">
        <v>29800</v>
      </c>
      <c r="D312" s="522"/>
      <c r="E312" s="522"/>
    </row>
    <row r="313" spans="2:5">
      <c r="B313" s="522">
        <v>299</v>
      </c>
      <c r="C313" s="522">
        <v>29900</v>
      </c>
      <c r="D313" s="522"/>
      <c r="E313" s="522"/>
    </row>
    <row r="314" spans="2:5">
      <c r="B314" s="522">
        <v>300</v>
      </c>
      <c r="C314" s="522">
        <v>30000</v>
      </c>
      <c r="D314" s="522"/>
      <c r="E314" s="522"/>
    </row>
    <row r="315" spans="2:5">
      <c r="B315" s="522">
        <v>301</v>
      </c>
      <c r="C315" s="522">
        <v>30100</v>
      </c>
      <c r="D315" s="522"/>
      <c r="E315" s="522"/>
    </row>
    <row r="316" spans="2:5">
      <c r="B316" s="522">
        <v>302</v>
      </c>
      <c r="C316" s="522">
        <v>30200</v>
      </c>
      <c r="D316" s="522"/>
      <c r="E316" s="522"/>
    </row>
    <row r="317" spans="2:5">
      <c r="B317" s="522">
        <v>303</v>
      </c>
      <c r="C317" s="522">
        <v>30300</v>
      </c>
      <c r="D317" s="522"/>
      <c r="E317" s="522"/>
    </row>
    <row r="318" spans="2:5">
      <c r="B318" s="522">
        <v>304</v>
      </c>
      <c r="C318" s="522">
        <v>30400</v>
      </c>
      <c r="D318" s="522"/>
      <c r="E318" s="522"/>
    </row>
    <row r="319" spans="2:5">
      <c r="B319" s="522">
        <v>305</v>
      </c>
      <c r="C319" s="522">
        <v>30500</v>
      </c>
      <c r="D319" s="522"/>
      <c r="E319" s="522"/>
    </row>
    <row r="320" spans="2:5">
      <c r="B320" s="522">
        <v>306</v>
      </c>
      <c r="C320" s="522">
        <v>30600</v>
      </c>
      <c r="D320" s="522"/>
      <c r="E320" s="522"/>
    </row>
    <row r="321" spans="2:5">
      <c r="B321" s="522">
        <v>307</v>
      </c>
      <c r="C321" s="522">
        <v>30700</v>
      </c>
      <c r="D321" s="522"/>
      <c r="E321" s="522"/>
    </row>
    <row r="322" spans="2:5">
      <c r="B322" s="522">
        <v>308</v>
      </c>
      <c r="C322" s="522">
        <v>30800</v>
      </c>
      <c r="D322" s="522"/>
      <c r="E322" s="522"/>
    </row>
    <row r="323" spans="2:5">
      <c r="B323" s="522">
        <v>309</v>
      </c>
      <c r="C323" s="522">
        <v>30900</v>
      </c>
      <c r="D323" s="522"/>
      <c r="E323" s="522"/>
    </row>
    <row r="324" spans="2:5">
      <c r="B324" s="522">
        <v>310</v>
      </c>
      <c r="C324" s="522">
        <v>31000</v>
      </c>
      <c r="D324" s="522"/>
      <c r="E324" s="522"/>
    </row>
    <row r="325" spans="2:5">
      <c r="B325" s="522">
        <v>311</v>
      </c>
      <c r="C325" s="522">
        <v>31100</v>
      </c>
      <c r="D325" s="522"/>
      <c r="E325" s="522"/>
    </row>
    <row r="326" spans="2:5">
      <c r="B326" s="522">
        <v>312</v>
      </c>
      <c r="C326" s="522">
        <v>31200</v>
      </c>
      <c r="D326" s="522"/>
      <c r="E326" s="522"/>
    </row>
    <row r="327" spans="2:5">
      <c r="B327" s="522">
        <v>313</v>
      </c>
      <c r="C327" s="522">
        <v>31300</v>
      </c>
      <c r="D327" s="522"/>
      <c r="E327" s="522"/>
    </row>
    <row r="328" spans="2:5">
      <c r="B328" s="522">
        <v>314</v>
      </c>
      <c r="C328" s="522">
        <v>31400</v>
      </c>
      <c r="D328" s="522"/>
      <c r="E328" s="522"/>
    </row>
    <row r="329" spans="2:5">
      <c r="B329" s="522">
        <v>315</v>
      </c>
      <c r="C329" s="522">
        <v>31500</v>
      </c>
      <c r="D329" s="522"/>
      <c r="E329" s="522"/>
    </row>
    <row r="330" spans="2:5">
      <c r="B330" s="522">
        <v>316</v>
      </c>
      <c r="C330" s="522">
        <v>31600</v>
      </c>
      <c r="D330" s="522"/>
      <c r="E330" s="522"/>
    </row>
    <row r="331" spans="2:5">
      <c r="B331" s="522">
        <v>317</v>
      </c>
      <c r="C331" s="522">
        <v>31700</v>
      </c>
      <c r="D331" s="522"/>
      <c r="E331" s="522"/>
    </row>
    <row r="332" spans="2:5">
      <c r="B332" s="522">
        <v>318</v>
      </c>
      <c r="C332" s="522">
        <v>31800</v>
      </c>
      <c r="D332" s="522"/>
      <c r="E332" s="522"/>
    </row>
    <row r="333" spans="2:5">
      <c r="B333" s="522">
        <v>319</v>
      </c>
      <c r="C333" s="522">
        <v>31900</v>
      </c>
      <c r="D333" s="522"/>
      <c r="E333" s="522"/>
    </row>
    <row r="334" spans="2:5">
      <c r="B334" s="522">
        <v>320</v>
      </c>
      <c r="C334" s="522">
        <v>32000</v>
      </c>
      <c r="D334" s="522"/>
      <c r="E334" s="522"/>
    </row>
    <row r="335" spans="2:5">
      <c r="B335" s="522">
        <v>321</v>
      </c>
      <c r="C335" s="522">
        <v>32100</v>
      </c>
      <c r="D335" s="522"/>
      <c r="E335" s="522"/>
    </row>
    <row r="336" spans="2:5">
      <c r="B336" s="522">
        <v>322</v>
      </c>
      <c r="C336" s="522">
        <v>32200</v>
      </c>
      <c r="D336" s="522"/>
      <c r="E336" s="522"/>
    </row>
    <row r="337" spans="2:5">
      <c r="B337" s="522">
        <v>323</v>
      </c>
      <c r="C337" s="522">
        <v>32300</v>
      </c>
      <c r="D337" s="522"/>
      <c r="E337" s="522"/>
    </row>
    <row r="338" spans="2:5">
      <c r="B338" s="522">
        <v>324</v>
      </c>
      <c r="C338" s="522">
        <v>32400</v>
      </c>
      <c r="D338" s="522"/>
      <c r="E338" s="522"/>
    </row>
    <row r="339" spans="2:5">
      <c r="B339" s="522">
        <v>325</v>
      </c>
      <c r="C339" s="522">
        <v>32500</v>
      </c>
      <c r="D339" s="522"/>
      <c r="E339" s="522"/>
    </row>
    <row r="340" spans="2:5">
      <c r="B340" s="522">
        <v>326</v>
      </c>
      <c r="C340" s="522">
        <v>32600</v>
      </c>
      <c r="D340" s="522"/>
      <c r="E340" s="522"/>
    </row>
    <row r="341" spans="2:5">
      <c r="B341" s="522">
        <v>327</v>
      </c>
      <c r="C341" s="522">
        <v>32700</v>
      </c>
      <c r="D341" s="522"/>
      <c r="E341" s="522"/>
    </row>
    <row r="342" spans="2:5">
      <c r="B342" s="522">
        <v>328</v>
      </c>
      <c r="C342" s="522">
        <v>32800</v>
      </c>
      <c r="D342" s="522"/>
      <c r="E342" s="522"/>
    </row>
    <row r="343" spans="2:5">
      <c r="B343" s="522">
        <v>329</v>
      </c>
      <c r="C343" s="522">
        <v>32900</v>
      </c>
      <c r="D343" s="522"/>
      <c r="E343" s="522"/>
    </row>
    <row r="344" spans="2:5">
      <c r="B344" s="522">
        <v>330</v>
      </c>
      <c r="C344" s="522">
        <v>33000</v>
      </c>
      <c r="D344" s="522"/>
      <c r="E344" s="522"/>
    </row>
    <row r="345" spans="2:5">
      <c r="B345" s="522">
        <v>331</v>
      </c>
      <c r="C345" s="522">
        <v>33100</v>
      </c>
      <c r="D345" s="522"/>
      <c r="E345" s="522"/>
    </row>
    <row r="346" spans="2:5">
      <c r="B346" s="522">
        <v>332</v>
      </c>
      <c r="C346" s="522">
        <v>33200</v>
      </c>
      <c r="D346" s="522"/>
      <c r="E346" s="522"/>
    </row>
    <row r="347" spans="2:5">
      <c r="B347" s="522">
        <v>333</v>
      </c>
      <c r="C347" s="522">
        <v>33300</v>
      </c>
      <c r="D347" s="522"/>
      <c r="E347" s="522"/>
    </row>
    <row r="348" spans="2:5">
      <c r="B348" s="522">
        <v>334</v>
      </c>
      <c r="C348" s="522">
        <v>33400</v>
      </c>
      <c r="D348" s="522"/>
      <c r="E348" s="522"/>
    </row>
    <row r="349" spans="2:5">
      <c r="B349" s="522">
        <v>335</v>
      </c>
      <c r="C349" s="522">
        <v>33500</v>
      </c>
      <c r="D349" s="522"/>
      <c r="E349" s="522"/>
    </row>
    <row r="350" spans="2:5">
      <c r="B350" s="522">
        <v>336</v>
      </c>
      <c r="C350" s="522">
        <v>33600</v>
      </c>
      <c r="D350" s="522"/>
      <c r="E350" s="522"/>
    </row>
    <row r="351" spans="2:5">
      <c r="B351" s="522">
        <v>337</v>
      </c>
      <c r="C351" s="522">
        <v>33700</v>
      </c>
      <c r="D351" s="522"/>
      <c r="E351" s="522"/>
    </row>
    <row r="352" spans="2:5">
      <c r="B352" s="522">
        <v>338</v>
      </c>
      <c r="C352" s="522">
        <v>33800</v>
      </c>
      <c r="D352" s="522"/>
      <c r="E352" s="522"/>
    </row>
    <row r="353" spans="2:5">
      <c r="B353" s="522">
        <v>339</v>
      </c>
      <c r="C353" s="522">
        <v>33900</v>
      </c>
      <c r="D353" s="522"/>
      <c r="E353" s="522"/>
    </row>
    <row r="354" spans="2:5">
      <c r="B354" s="522">
        <v>340</v>
      </c>
      <c r="C354" s="522">
        <v>34000</v>
      </c>
      <c r="D354" s="522"/>
      <c r="E354" s="522"/>
    </row>
    <row r="355" spans="2:5">
      <c r="B355" s="522">
        <v>341</v>
      </c>
      <c r="C355" s="522">
        <v>34100</v>
      </c>
      <c r="D355" s="522"/>
      <c r="E355" s="522"/>
    </row>
    <row r="356" spans="2:5">
      <c r="B356" s="522">
        <v>342</v>
      </c>
      <c r="C356" s="522">
        <v>34200</v>
      </c>
      <c r="D356" s="522"/>
      <c r="E356" s="522"/>
    </row>
    <row r="357" spans="2:5">
      <c r="B357" s="522">
        <v>343</v>
      </c>
      <c r="C357" s="522">
        <v>34300</v>
      </c>
      <c r="D357" s="522"/>
      <c r="E357" s="522"/>
    </row>
    <row r="358" spans="2:5">
      <c r="B358" s="522">
        <v>344</v>
      </c>
      <c r="C358" s="522">
        <v>34400</v>
      </c>
      <c r="D358" s="522"/>
      <c r="E358" s="522"/>
    </row>
    <row r="359" spans="2:5">
      <c r="B359" s="522">
        <v>345</v>
      </c>
      <c r="C359" s="522">
        <v>34500</v>
      </c>
      <c r="D359" s="522"/>
      <c r="E359" s="522"/>
    </row>
    <row r="360" spans="2:5">
      <c r="B360" s="522">
        <v>346</v>
      </c>
      <c r="C360" s="522">
        <v>34600</v>
      </c>
      <c r="D360" s="522"/>
      <c r="E360" s="522"/>
    </row>
    <row r="361" spans="2:5">
      <c r="B361" s="522">
        <v>347</v>
      </c>
      <c r="C361" s="522">
        <v>34700</v>
      </c>
      <c r="D361" s="522"/>
      <c r="E361" s="522"/>
    </row>
    <row r="362" spans="2:5">
      <c r="B362" s="522">
        <v>348</v>
      </c>
      <c r="C362" s="522">
        <v>34800</v>
      </c>
      <c r="D362" s="522"/>
      <c r="E362" s="522"/>
    </row>
    <row r="363" spans="2:5">
      <c r="B363" s="522">
        <v>349</v>
      </c>
      <c r="C363" s="522">
        <v>34900</v>
      </c>
      <c r="D363" s="522"/>
      <c r="E363" s="522"/>
    </row>
    <row r="364" spans="2:5">
      <c r="B364" s="522">
        <v>350</v>
      </c>
      <c r="C364" s="522">
        <v>35000</v>
      </c>
      <c r="D364" s="522"/>
      <c r="E364" s="522"/>
    </row>
    <row r="365" spans="2:5">
      <c r="B365" s="522">
        <v>351</v>
      </c>
      <c r="C365" s="522">
        <v>35100</v>
      </c>
      <c r="D365" s="522"/>
      <c r="E365" s="522"/>
    </row>
    <row r="366" spans="2:5">
      <c r="B366" s="522"/>
      <c r="C366" s="522"/>
      <c r="D366" s="522"/>
      <c r="E366" s="522"/>
    </row>
    <row r="367" spans="2:5">
      <c r="B367" s="522"/>
      <c r="C367" s="522"/>
      <c r="D367" s="522"/>
      <c r="E367" s="522"/>
    </row>
  </sheetData>
  <sheetProtection password="CD0C" sheet="1" objects="1" scenarios="1" selectLockedCells="1"/>
  <mergeCells count="23">
    <mergeCell ref="R24:U24"/>
    <mergeCell ref="R10:U11"/>
    <mergeCell ref="R15:T15"/>
    <mergeCell ref="R16:T16"/>
    <mergeCell ref="N23:N24"/>
    <mergeCell ref="I6:N6"/>
    <mergeCell ref="I22:N22"/>
    <mergeCell ref="C3:E4"/>
    <mergeCell ref="C10:E10"/>
    <mergeCell ref="I2:N3"/>
    <mergeCell ref="M7:M8"/>
    <mergeCell ref="N7:N8"/>
    <mergeCell ref="D7:E7"/>
    <mergeCell ref="C9:E9"/>
    <mergeCell ref="J7:J8"/>
    <mergeCell ref="K7:K8"/>
    <mergeCell ref="L7:L8"/>
    <mergeCell ref="I7:I8"/>
    <mergeCell ref="I23:I24"/>
    <mergeCell ref="J23:J24"/>
    <mergeCell ref="K23:K24"/>
    <mergeCell ref="L23:L24"/>
    <mergeCell ref="M23:M24"/>
  </mergeCells>
  <conditionalFormatting sqref="M9">
    <cfRule type="expression" dxfId="24" priority="21">
      <formula>L9="TERMINE"</formula>
    </cfRule>
  </conditionalFormatting>
  <conditionalFormatting sqref="M10">
    <cfRule type="expression" dxfId="23" priority="20">
      <formula>L10="TERMINE"</formula>
    </cfRule>
  </conditionalFormatting>
  <conditionalFormatting sqref="M11">
    <cfRule type="expression" dxfId="22" priority="19">
      <formula>L11="TERMINE"</formula>
    </cfRule>
  </conditionalFormatting>
  <conditionalFormatting sqref="M12">
    <cfRule type="expression" dxfId="21" priority="18">
      <formula>L12="TERMINE"</formula>
    </cfRule>
  </conditionalFormatting>
  <conditionalFormatting sqref="M13">
    <cfRule type="expression" dxfId="20" priority="17">
      <formula>L13="TERMINE"</formula>
    </cfRule>
  </conditionalFormatting>
  <conditionalFormatting sqref="M14">
    <cfRule type="expression" dxfId="19" priority="16">
      <formula>L14="TERMINE"</formula>
    </cfRule>
  </conditionalFormatting>
  <conditionalFormatting sqref="M15">
    <cfRule type="expression" dxfId="18" priority="15">
      <formula>L15="TERMINE"</formula>
    </cfRule>
  </conditionalFormatting>
  <conditionalFormatting sqref="M16">
    <cfRule type="expression" dxfId="17" priority="14">
      <formula>L16="TERMINE"</formula>
    </cfRule>
  </conditionalFormatting>
  <conditionalFormatting sqref="M17">
    <cfRule type="expression" dxfId="16" priority="13">
      <formula>L17="TERMINE"</formula>
    </cfRule>
  </conditionalFormatting>
  <conditionalFormatting sqref="M19">
    <cfRule type="expression" dxfId="15" priority="12">
      <formula>L19="TERMINE"</formula>
    </cfRule>
  </conditionalFormatting>
  <conditionalFormatting sqref="M20">
    <cfRule type="expression" dxfId="14" priority="11">
      <formula>L20="TERMINE"</formula>
    </cfRule>
  </conditionalFormatting>
  <conditionalFormatting sqref="M25">
    <cfRule type="expression" dxfId="13" priority="10">
      <formula>L25="TERMINE"</formula>
    </cfRule>
  </conditionalFormatting>
  <conditionalFormatting sqref="M28">
    <cfRule type="expression" dxfId="12" priority="9">
      <formula>L28="TERMINE"</formula>
    </cfRule>
  </conditionalFormatting>
  <conditionalFormatting sqref="M26">
    <cfRule type="expression" dxfId="11" priority="8">
      <formula>L26="TERMINE"</formula>
    </cfRule>
  </conditionalFormatting>
  <conditionalFormatting sqref="M27">
    <cfRule type="expression" dxfId="10" priority="7">
      <formula>L27="TERMINE"</formula>
    </cfRule>
  </conditionalFormatting>
  <conditionalFormatting sqref="M29">
    <cfRule type="expression" dxfId="9" priority="6">
      <formula>L29="TERMINE"</formula>
    </cfRule>
  </conditionalFormatting>
  <conditionalFormatting sqref="M30">
    <cfRule type="expression" dxfId="8" priority="5">
      <formula>L30="TERMINE"</formula>
    </cfRule>
  </conditionalFormatting>
  <conditionalFormatting sqref="M31">
    <cfRule type="expression" dxfId="7" priority="4">
      <formula>L31="TERMINE"</formula>
    </cfRule>
  </conditionalFormatting>
  <conditionalFormatting sqref="M32">
    <cfRule type="expression" dxfId="6" priority="3">
      <formula>L32="TERMINE"</formula>
    </cfRule>
  </conditionalFormatting>
  <conditionalFormatting sqref="M33">
    <cfRule type="expression" dxfId="5" priority="2">
      <formula>L33="TERMINE"</formula>
    </cfRule>
  </conditionalFormatting>
  <conditionalFormatting sqref="M34">
    <cfRule type="expression" dxfId="4" priority="1">
      <formula>L34="TERMINE"</formula>
    </cfRule>
  </conditionalFormatting>
  <dataValidations count="11">
    <dataValidation type="list" allowBlank="1" showInputMessage="1" showErrorMessage="1" sqref="U16 J11:J12 J25 J9">
      <formula1>"1,2,3,4,5,6,7,8,9,10"</formula1>
    </dataValidation>
    <dataValidation type="list" allowBlank="1" showInputMessage="1" showErrorMessage="1" sqref="R16:T16">
      <formula1>$I$37:$I$44</formula1>
    </dataValidation>
    <dataValidation type="list" allowBlank="1" showInputMessage="1" showErrorMessage="1" sqref="J13">
      <formula1>"1,2,3,4,5"</formula1>
    </dataValidation>
    <dataValidation type="list" allowBlank="1" showInputMessage="1" showErrorMessage="1" sqref="D7">
      <formula1>"15 minutes,30 minutes,1 heure"</formula1>
    </dataValidation>
    <dataValidation type="list" allowBlank="1" showInputMessage="1" showErrorMessage="1" sqref="J14">
      <formula1>"1,2,3,4,5,6,7,8,9,10,11,12,13,14,15,16,17,18,19,20"</formula1>
    </dataValidation>
    <dataValidation type="list" allowBlank="1" showInputMessage="1" showErrorMessage="1" sqref="J10">
      <formula1>"0,1,2,3,4,5,6,7,8,9,10"</formula1>
    </dataValidation>
    <dataValidation type="list" allowBlank="1" showInputMessage="1" showErrorMessage="1" sqref="J15:J16">
      <formula1>"1,2,3,4,5,6,7,8,9,10,11,12,13,14,15"</formula1>
    </dataValidation>
    <dataValidation type="list" allowBlank="1" showInputMessage="1" showErrorMessage="1" sqref="J17 J28">
      <formula1>"0,1"</formula1>
    </dataValidation>
    <dataValidation type="list" allowBlank="1" showInputMessage="1" showErrorMessage="1" sqref="J19:J20 J27 J30:J34">
      <formula1>"0,1,2,3,4,5"</formula1>
    </dataValidation>
    <dataValidation type="list" allowBlank="1" showInputMessage="1" showErrorMessage="1" sqref="J26">
      <formula1>"0,1,2,3,4,5,6"</formula1>
    </dataValidation>
    <dataValidation type="list" allowBlank="1" showInputMessage="1" showErrorMessage="1" sqref="J29">
      <formula1>"0,1,2,3,4,5,6,7"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T899"/>
  <sheetViews>
    <sheetView workbookViewId="0">
      <selection activeCell="I26" sqref="I26"/>
    </sheetView>
  </sheetViews>
  <sheetFormatPr baseColWidth="10" defaultRowHeight="15"/>
  <cols>
    <col min="17" max="18" width="11.42578125" style="407"/>
    <col min="20" max="20" width="11.42578125" style="407"/>
  </cols>
  <sheetData>
    <row r="1" spans="1:20">
      <c r="A1" s="426"/>
      <c r="B1" s="427"/>
      <c r="C1" s="408"/>
      <c r="D1" s="408"/>
      <c r="E1" s="408"/>
      <c r="F1" s="408"/>
      <c r="H1" t="s">
        <v>170</v>
      </c>
      <c r="I1">
        <v>150</v>
      </c>
    </row>
    <row r="2" spans="1:20">
      <c r="A2" s="428"/>
      <c r="B2" s="429"/>
      <c r="C2" s="408"/>
      <c r="D2" s="408"/>
      <c r="E2" s="408"/>
      <c r="F2" s="408"/>
      <c r="H2" t="s">
        <v>176</v>
      </c>
      <c r="I2">
        <v>450</v>
      </c>
      <c r="P2" t="s">
        <v>172</v>
      </c>
      <c r="R2" s="417"/>
      <c r="S2" s="408"/>
      <c r="T2" s="417"/>
    </row>
    <row r="3" spans="1:20">
      <c r="A3" s="426"/>
      <c r="B3" s="427"/>
      <c r="C3" s="426"/>
      <c r="D3" s="426"/>
      <c r="E3" s="426"/>
      <c r="F3" s="426"/>
      <c r="H3" s="413" t="s">
        <v>171</v>
      </c>
      <c r="I3" s="88" t="s">
        <v>32</v>
      </c>
      <c r="J3" s="390" t="s">
        <v>29</v>
      </c>
      <c r="K3" s="391" t="s">
        <v>14</v>
      </c>
      <c r="L3" s="392" t="s">
        <v>16</v>
      </c>
      <c r="M3" s="69" t="s">
        <v>30</v>
      </c>
      <c r="N3" s="409" t="s">
        <v>15</v>
      </c>
      <c r="O3" s="410" t="s">
        <v>38</v>
      </c>
      <c r="P3" t="s">
        <v>173</v>
      </c>
      <c r="R3" s="420"/>
      <c r="S3" s="408"/>
      <c r="T3" s="418"/>
    </row>
    <row r="4" spans="1:20">
      <c r="A4" s="428"/>
      <c r="B4" s="429"/>
      <c r="C4" s="428"/>
      <c r="D4" s="428"/>
      <c r="E4" s="428"/>
      <c r="F4" s="428"/>
      <c r="G4">
        <v>600</v>
      </c>
      <c r="H4" s="414">
        <f>'| BdF | Créat. &amp; Estim MJ 2.134'!F9</f>
        <v>370</v>
      </c>
      <c r="I4" s="91">
        <f>'| BdF | Créat. &amp; Estim MJ 2.134'!V30+(Feuil2!J4*10)</f>
        <v>1430</v>
      </c>
      <c r="J4" s="393">
        <f>'| BdF | Créat. &amp; Estim MJ 2.134'!M20</f>
        <v>0</v>
      </c>
      <c r="K4" s="394">
        <f>'| BdF | Créat. &amp; Estim MJ 2.134'!O20</f>
        <v>975</v>
      </c>
      <c r="L4" s="395">
        <f>'| BdF | Créat. &amp; Estim MJ 2.134'!Q20</f>
        <v>119</v>
      </c>
      <c r="M4" s="114">
        <f>'| BdF | Créat. &amp; Estim MJ 2.134'!S20</f>
        <v>1179</v>
      </c>
      <c r="N4" s="411">
        <f>'| BdF | Créat. &amp; Estim MJ 2.134'!T20</f>
        <v>619</v>
      </c>
      <c r="O4" s="412">
        <f>'| BdF | Créat. &amp; Estim MJ 2.134'!V20</f>
        <v>150</v>
      </c>
      <c r="P4" t="s">
        <v>174</v>
      </c>
      <c r="R4" s="421"/>
      <c r="S4" s="408"/>
      <c r="T4" s="419"/>
    </row>
    <row r="5" spans="1:20">
      <c r="P5" t="s">
        <v>175</v>
      </c>
    </row>
    <row r="6" spans="1:20">
      <c r="I6">
        <f>I4</f>
        <v>1430</v>
      </c>
      <c r="J6">
        <f t="shared" ref="J6" si="0">J4</f>
        <v>0</v>
      </c>
      <c r="K6">
        <f>K4</f>
        <v>975</v>
      </c>
      <c r="L6">
        <f>L4</f>
        <v>119</v>
      </c>
      <c r="M6">
        <f>M4</f>
        <v>1179</v>
      </c>
      <c r="N6">
        <f>N4</f>
        <v>619</v>
      </c>
      <c r="O6">
        <f>O4</f>
        <v>150</v>
      </c>
    </row>
    <row r="7" spans="1:20">
      <c r="G7" s="405"/>
      <c r="H7" s="405"/>
      <c r="Q7"/>
    </row>
    <row r="8" spans="1:20">
      <c r="D8" s="415" t="s">
        <v>177</v>
      </c>
      <c r="E8">
        <f>(G4*10)+I4</f>
        <v>7430</v>
      </c>
      <c r="F8" t="s">
        <v>185</v>
      </c>
      <c r="G8" t="str">
        <f>I4 &amp;" PV min"</f>
        <v>1430 PV min</v>
      </c>
      <c r="H8" s="406"/>
      <c r="Q8"/>
    </row>
    <row r="9" spans="1:20">
      <c r="D9" s="415" t="s">
        <v>178</v>
      </c>
      <c r="E9">
        <v>7000</v>
      </c>
      <c r="G9" s="405"/>
      <c r="H9" s="405"/>
      <c r="K9" s="405"/>
      <c r="Q9"/>
    </row>
    <row r="10" spans="1:20">
      <c r="D10" s="415" t="s">
        <v>179</v>
      </c>
      <c r="E10">
        <f>IF((E9/10)-(I4/10)&lt;=G4,IF(E9&gt;=I4,(E9/10)-(I4/10),"IMPOSSIBLE"),"IMPOSSIBLE")</f>
        <v>557</v>
      </c>
      <c r="F10" t="str">
        <f>IF(E10="IMPOSSIBLE"," non compris entre PV Min Max","point en PV")</f>
        <v>point en PV</v>
      </c>
      <c r="G10" s="396"/>
      <c r="H10" s="396"/>
      <c r="Q10"/>
    </row>
    <row r="11" spans="1:20">
      <c r="D11" s="415" t="s">
        <v>180</v>
      </c>
      <c r="E11">
        <f>(300*($M$6+$G$4-$E$10))/$E$9</f>
        <v>52.371428571428574</v>
      </c>
      <c r="F11" t="s">
        <v>181</v>
      </c>
      <c r="G11" s="416" t="str">
        <f>(G4-E10) &amp; " En SC"</f>
        <v>43 En SC</v>
      </c>
      <c r="H11" s="396"/>
      <c r="K11" s="405"/>
      <c r="Q11"/>
    </row>
    <row r="12" spans="1:20">
      <c r="C12" s="415"/>
      <c r="D12" s="415" t="s">
        <v>182</v>
      </c>
      <c r="E12">
        <f>(300*($O$6+$G$4-$E$10))/$E$9</f>
        <v>8.2714285714285722</v>
      </c>
      <c r="F12" t="s">
        <v>181</v>
      </c>
      <c r="G12" s="416" t="str">
        <f>G4-E10 &amp;" En PI"</f>
        <v>43 En PI</v>
      </c>
      <c r="H12" s="396"/>
      <c r="J12" s="396"/>
      <c r="Q12" s="396"/>
    </row>
    <row r="13" spans="1:20">
      <c r="D13" s="415" t="s">
        <v>183</v>
      </c>
      <c r="E13">
        <f>ROUNDDOWN($H$4+(($H$4*($K$6+$G$4-$E$10))/$E$9),0)</f>
        <v>423</v>
      </c>
      <c r="F13" t="s">
        <v>184</v>
      </c>
      <c r="G13" s="425" t="str">
        <f>G4-E10 &amp;" En DI"</f>
        <v>43 En DI</v>
      </c>
      <c r="H13" s="396"/>
      <c r="J13" s="396"/>
      <c r="K13" s="405"/>
      <c r="Q13" s="396"/>
    </row>
    <row r="14" spans="1:20">
      <c r="D14" s="415" t="s">
        <v>186</v>
      </c>
      <c r="E14" s="407">
        <f>E13/H4</f>
        <v>1.1432432432432433</v>
      </c>
      <c r="G14" s="396"/>
      <c r="H14" s="396"/>
      <c r="J14" s="396"/>
      <c r="Q14" s="396"/>
    </row>
    <row r="15" spans="1:20">
      <c r="G15" s="396"/>
      <c r="H15" s="396">
        <f>G4-E10</f>
        <v>43</v>
      </c>
      <c r="J15" s="396"/>
      <c r="K15" s="405"/>
      <c r="Q15" s="396"/>
    </row>
    <row r="16" spans="1:20">
      <c r="C16" t="s">
        <v>187</v>
      </c>
      <c r="G16" s="396">
        <f>ROUNDDOWN((G4-E10)*0.25,0)</f>
        <v>10</v>
      </c>
      <c r="H16" s="396">
        <f>0.25*H15</f>
        <v>10.75</v>
      </c>
      <c r="J16" s="396"/>
      <c r="Q16" s="396"/>
    </row>
    <row r="17" spans="3:17">
      <c r="D17" s="415" t="s">
        <v>180</v>
      </c>
      <c r="E17">
        <f>(300*(M6+G16))/E9</f>
        <v>50.957142857142856</v>
      </c>
      <c r="F17" t="s">
        <v>181</v>
      </c>
      <c r="G17" s="416" t="str">
        <f>(G16) &amp; " En SC"</f>
        <v>10 En SC</v>
      </c>
      <c r="H17" s="404"/>
      <c r="J17" s="404"/>
      <c r="K17" s="405"/>
      <c r="Q17" s="404"/>
    </row>
    <row r="18" spans="3:17">
      <c r="D18" s="415" t="s">
        <v>182</v>
      </c>
      <c r="E18">
        <f>(300*(O6+G16))/E9</f>
        <v>6.8571428571428568</v>
      </c>
      <c r="F18" t="s">
        <v>181</v>
      </c>
      <c r="G18" s="416" t="str">
        <f>G16 &amp;" En PI"</f>
        <v>10 En PI</v>
      </c>
      <c r="H18" s="404"/>
      <c r="J18" s="404"/>
      <c r="K18">
        <v>3</v>
      </c>
      <c r="Q18" s="404"/>
    </row>
    <row r="19" spans="3:17">
      <c r="D19" s="415" t="s">
        <v>183</v>
      </c>
      <c r="E19">
        <f>ROUNDDOWN($H$4+(($H$4*(K6+G16))/E9),0)</f>
        <v>422</v>
      </c>
      <c r="F19" t="s">
        <v>184</v>
      </c>
      <c r="G19" s="425" t="str">
        <f>G16 &amp;" En DI"</f>
        <v>10 En DI</v>
      </c>
      <c r="H19" s="404"/>
      <c r="J19" s="404"/>
      <c r="K19" s="405">
        <v>9</v>
      </c>
      <c r="Q19" s="404"/>
    </row>
    <row r="20" spans="3:17">
      <c r="D20" s="415" t="s">
        <v>186</v>
      </c>
      <c r="E20" s="407">
        <f>E19/H4</f>
        <v>1.1405405405405404</v>
      </c>
      <c r="G20" s="396"/>
      <c r="K20">
        <v>27</v>
      </c>
      <c r="L20">
        <f>27-9</f>
        <v>18</v>
      </c>
      <c r="M20">
        <f>18-6</f>
        <v>12</v>
      </c>
      <c r="Q20"/>
    </row>
    <row r="21" spans="3:17">
      <c r="K21" s="405"/>
      <c r="Q21"/>
    </row>
    <row r="22" spans="3:17">
      <c r="D22" s="415" t="s">
        <v>188</v>
      </c>
      <c r="E22">
        <f>(G4*10)+I4</f>
        <v>7430</v>
      </c>
      <c r="F22" t="s">
        <v>189</v>
      </c>
      <c r="G22" t="str">
        <f>G4 &amp;" point en PV"</f>
        <v>600 point en PV</v>
      </c>
      <c r="Q22"/>
    </row>
    <row r="23" spans="3:17">
      <c r="D23" s="415" t="s">
        <v>180</v>
      </c>
      <c r="E23">
        <f>(300*($M$6))/E22</f>
        <v>47.604306864064604</v>
      </c>
      <c r="F23" t="s">
        <v>181</v>
      </c>
      <c r="G23" s="416" t="s">
        <v>191</v>
      </c>
      <c r="Q23"/>
    </row>
    <row r="24" spans="3:17">
      <c r="C24" s="415"/>
      <c r="D24" s="415" t="s">
        <v>182</v>
      </c>
      <c r="E24">
        <f>(300*($O$6))/E22</f>
        <v>6.0565275908479137</v>
      </c>
      <c r="F24" t="s">
        <v>181</v>
      </c>
      <c r="G24" s="416" t="s">
        <v>190</v>
      </c>
      <c r="K24" s="405"/>
      <c r="Q24"/>
    </row>
    <row r="25" spans="3:17">
      <c r="D25" s="415" t="s">
        <v>183</v>
      </c>
      <c r="E25">
        <f>ROUNDDOWN(($H$4+($H$4*K6)/E22),0)</f>
        <v>418</v>
      </c>
      <c r="F25" t="s">
        <v>184</v>
      </c>
      <c r="G25" s="425" t="s">
        <v>192</v>
      </c>
      <c r="K25" s="405"/>
      <c r="Q25"/>
    </row>
    <row r="26" spans="3:17">
      <c r="D26" s="415" t="s">
        <v>186</v>
      </c>
      <c r="E26" s="407">
        <f>E25/H4</f>
        <v>1.1297297297297297</v>
      </c>
      <c r="G26" s="396"/>
      <c r="K26" s="405"/>
      <c r="Q26"/>
    </row>
    <row r="27" spans="3:17">
      <c r="K27" s="405"/>
      <c r="Q27"/>
    </row>
    <row r="28" spans="3:17">
      <c r="D28" s="415" t="s">
        <v>193</v>
      </c>
      <c r="E28">
        <f>I4</f>
        <v>1430</v>
      </c>
      <c r="F28" t="s">
        <v>189</v>
      </c>
      <c r="G28" t="s">
        <v>194</v>
      </c>
      <c r="K28" s="405"/>
      <c r="Q28"/>
    </row>
    <row r="29" spans="3:17">
      <c r="D29" s="415" t="s">
        <v>180</v>
      </c>
      <c r="E29">
        <f>(300*($M$6+$G$4))/E28</f>
        <v>373.2167832167832</v>
      </c>
      <c r="F29" t="s">
        <v>181</v>
      </c>
      <c r="G29" s="416" t="s">
        <v>191</v>
      </c>
      <c r="K29" s="405"/>
      <c r="Q29"/>
    </row>
    <row r="30" spans="3:17">
      <c r="C30" s="415"/>
      <c r="D30" s="415" t="s">
        <v>182</v>
      </c>
      <c r="E30">
        <f>(300*($O$6+$G$4))/E28</f>
        <v>157.34265734265733</v>
      </c>
      <c r="F30" t="s">
        <v>181</v>
      </c>
      <c r="G30" s="416" t="s">
        <v>190</v>
      </c>
      <c r="K30" s="405"/>
      <c r="Q30"/>
    </row>
    <row r="31" spans="3:17">
      <c r="D31" s="415" t="s">
        <v>183</v>
      </c>
      <c r="E31">
        <f>ROUNDDOWN(($H$4+($H$4*(G4+K6))/E28),0)</f>
        <v>777</v>
      </c>
      <c r="F31" t="s">
        <v>184</v>
      </c>
      <c r="G31" s="425" t="str">
        <f>(G4)&amp;" En DI"</f>
        <v>600 En DI</v>
      </c>
      <c r="K31" s="405"/>
      <c r="Q31"/>
    </row>
    <row r="32" spans="3:17">
      <c r="D32" s="415" t="s">
        <v>186</v>
      </c>
      <c r="E32" s="407">
        <f>E31/H4</f>
        <v>2.1</v>
      </c>
      <c r="G32" s="396"/>
      <c r="K32" s="405"/>
      <c r="Q32"/>
    </row>
    <row r="33" spans="11:17">
      <c r="K33" s="405"/>
      <c r="Q33"/>
    </row>
    <row r="34" spans="11:17">
      <c r="K34" s="405"/>
      <c r="Q34"/>
    </row>
    <row r="35" spans="11:17">
      <c r="K35" s="405"/>
      <c r="Q35"/>
    </row>
    <row r="36" spans="11:17">
      <c r="K36" s="405"/>
      <c r="Q36"/>
    </row>
    <row r="37" spans="11:17">
      <c r="K37" s="405"/>
      <c r="Q37"/>
    </row>
    <row r="38" spans="11:17">
      <c r="K38" s="405"/>
      <c r="Q38"/>
    </row>
    <row r="39" spans="11:17">
      <c r="K39" s="405"/>
      <c r="Q39"/>
    </row>
    <row r="40" spans="11:17">
      <c r="K40" s="405"/>
      <c r="Q40"/>
    </row>
    <row r="41" spans="11:17">
      <c r="K41" s="405"/>
      <c r="Q41"/>
    </row>
    <row r="42" spans="11:17">
      <c r="K42" s="405"/>
      <c r="Q42"/>
    </row>
    <row r="43" spans="11:17">
      <c r="K43" s="405"/>
      <c r="Q43"/>
    </row>
    <row r="44" spans="11:17">
      <c r="K44" s="405"/>
      <c r="Q44"/>
    </row>
    <row r="45" spans="11:17">
      <c r="K45" s="405"/>
      <c r="Q45"/>
    </row>
    <row r="46" spans="11:17">
      <c r="K46" s="405"/>
      <c r="Q46"/>
    </row>
    <row r="47" spans="11:17">
      <c r="K47" s="405"/>
      <c r="Q47"/>
    </row>
    <row r="48" spans="11:17">
      <c r="K48" s="405"/>
      <c r="Q48"/>
    </row>
    <row r="49" spans="11:17">
      <c r="K49" s="405"/>
      <c r="Q49"/>
    </row>
    <row r="50" spans="11:17">
      <c r="K50" s="405"/>
      <c r="Q50"/>
    </row>
    <row r="51" spans="11:17">
      <c r="K51" s="405"/>
      <c r="Q51"/>
    </row>
    <row r="52" spans="11:17">
      <c r="K52" s="405"/>
      <c r="Q52"/>
    </row>
    <row r="53" spans="11:17">
      <c r="K53" s="405"/>
      <c r="Q53"/>
    </row>
    <row r="54" spans="11:17">
      <c r="K54" s="405"/>
      <c r="Q54"/>
    </row>
    <row r="55" spans="11:17">
      <c r="K55" s="405"/>
      <c r="Q55"/>
    </row>
    <row r="56" spans="11:17">
      <c r="K56" s="405"/>
      <c r="Q56"/>
    </row>
    <row r="57" spans="11:17">
      <c r="K57" s="405"/>
      <c r="Q57"/>
    </row>
    <row r="58" spans="11:17">
      <c r="K58" s="405"/>
      <c r="Q58"/>
    </row>
    <row r="59" spans="11:17">
      <c r="K59" s="405"/>
      <c r="Q59"/>
    </row>
    <row r="60" spans="11:17">
      <c r="K60" s="405"/>
      <c r="Q60"/>
    </row>
    <row r="61" spans="11:17">
      <c r="K61" s="405"/>
      <c r="Q61"/>
    </row>
    <row r="62" spans="11:17">
      <c r="K62" s="405"/>
      <c r="Q62"/>
    </row>
    <row r="63" spans="11:17">
      <c r="K63" s="405"/>
      <c r="Q63"/>
    </row>
    <row r="64" spans="11:17">
      <c r="K64" s="405"/>
      <c r="Q64"/>
    </row>
    <row r="65" spans="11:17">
      <c r="K65" s="405"/>
      <c r="Q65"/>
    </row>
    <row r="66" spans="11:17">
      <c r="K66" s="405"/>
      <c r="Q66"/>
    </row>
    <row r="67" spans="11:17">
      <c r="K67" s="405"/>
      <c r="Q67"/>
    </row>
    <row r="68" spans="11:17">
      <c r="K68" s="405"/>
      <c r="Q68"/>
    </row>
    <row r="69" spans="11:17">
      <c r="K69" s="405"/>
      <c r="Q69"/>
    </row>
    <row r="70" spans="11:17">
      <c r="K70" s="405"/>
      <c r="Q70"/>
    </row>
    <row r="71" spans="11:17">
      <c r="K71" s="405"/>
      <c r="Q71"/>
    </row>
    <row r="72" spans="11:17">
      <c r="K72" s="405"/>
      <c r="Q72"/>
    </row>
    <row r="73" spans="11:17">
      <c r="K73" s="405"/>
      <c r="Q73"/>
    </row>
    <row r="74" spans="11:17">
      <c r="K74" s="405"/>
      <c r="Q74"/>
    </row>
    <row r="75" spans="11:17">
      <c r="K75" s="405"/>
      <c r="Q75"/>
    </row>
    <row r="76" spans="11:17">
      <c r="K76" s="405"/>
      <c r="Q76"/>
    </row>
    <row r="77" spans="11:17">
      <c r="K77" s="405"/>
      <c r="Q77"/>
    </row>
    <row r="78" spans="11:17">
      <c r="K78" s="405"/>
      <c r="Q78"/>
    </row>
    <row r="79" spans="11:17">
      <c r="K79" s="405"/>
      <c r="Q79"/>
    </row>
    <row r="80" spans="11:17">
      <c r="K80" s="405"/>
      <c r="Q80"/>
    </row>
    <row r="81" spans="11:17">
      <c r="K81" s="405"/>
      <c r="Q81"/>
    </row>
    <row r="82" spans="11:17">
      <c r="K82" s="405"/>
      <c r="Q82"/>
    </row>
    <row r="83" spans="11:17">
      <c r="K83" s="405"/>
      <c r="Q83"/>
    </row>
    <row r="84" spans="11:17">
      <c r="K84" s="405"/>
      <c r="Q84"/>
    </row>
    <row r="85" spans="11:17">
      <c r="K85" s="405"/>
      <c r="Q85"/>
    </row>
    <row r="86" spans="11:17">
      <c r="K86" s="405"/>
      <c r="Q86"/>
    </row>
    <row r="87" spans="11:17">
      <c r="K87" s="405"/>
      <c r="Q87"/>
    </row>
    <row r="88" spans="11:17">
      <c r="K88" s="405"/>
      <c r="Q88"/>
    </row>
    <row r="89" spans="11:17">
      <c r="K89" s="405"/>
      <c r="Q89"/>
    </row>
    <row r="90" spans="11:17">
      <c r="K90" s="405"/>
      <c r="Q90"/>
    </row>
    <row r="91" spans="11:17">
      <c r="K91" s="405"/>
      <c r="Q91"/>
    </row>
    <row r="92" spans="11:17">
      <c r="K92" s="405"/>
      <c r="Q92"/>
    </row>
    <row r="93" spans="11:17">
      <c r="K93" s="405"/>
      <c r="Q93"/>
    </row>
    <row r="94" spans="11:17">
      <c r="K94" s="405"/>
      <c r="Q94"/>
    </row>
    <row r="95" spans="11:17">
      <c r="K95" s="405"/>
      <c r="Q95"/>
    </row>
    <row r="96" spans="11:17">
      <c r="K96" s="405"/>
      <c r="Q96"/>
    </row>
    <row r="97" spans="11:17">
      <c r="K97" s="405"/>
      <c r="Q97"/>
    </row>
    <row r="98" spans="11:17">
      <c r="K98" s="405"/>
      <c r="Q98"/>
    </row>
    <row r="99" spans="11:17">
      <c r="K99" s="405"/>
      <c r="Q99"/>
    </row>
    <row r="100" spans="11:17">
      <c r="K100" s="405"/>
      <c r="Q100"/>
    </row>
    <row r="101" spans="11:17">
      <c r="K101" s="405"/>
      <c r="Q101"/>
    </row>
    <row r="102" spans="11:17">
      <c r="K102" s="405"/>
      <c r="Q102"/>
    </row>
    <row r="103" spans="11:17">
      <c r="K103" s="405"/>
      <c r="Q103"/>
    </row>
    <row r="104" spans="11:17">
      <c r="K104" s="405"/>
      <c r="Q104"/>
    </row>
    <row r="105" spans="11:17">
      <c r="K105" s="405"/>
      <c r="Q105"/>
    </row>
    <row r="106" spans="11:17">
      <c r="K106" s="405"/>
      <c r="Q106"/>
    </row>
    <row r="107" spans="11:17">
      <c r="K107" s="405"/>
      <c r="Q107"/>
    </row>
    <row r="108" spans="11:17">
      <c r="K108" s="405"/>
      <c r="Q108"/>
    </row>
    <row r="109" spans="11:17">
      <c r="K109" s="405"/>
      <c r="Q109"/>
    </row>
    <row r="110" spans="11:17">
      <c r="K110" s="405"/>
      <c r="Q110"/>
    </row>
    <row r="111" spans="11:17">
      <c r="K111" s="405"/>
      <c r="Q111"/>
    </row>
    <row r="112" spans="11:17">
      <c r="K112" s="405"/>
      <c r="Q112"/>
    </row>
    <row r="113" spans="11:17">
      <c r="K113" s="405"/>
      <c r="Q113"/>
    </row>
    <row r="114" spans="11:17">
      <c r="K114" s="405"/>
      <c r="Q114"/>
    </row>
    <row r="115" spans="11:17">
      <c r="K115" s="405"/>
      <c r="Q115"/>
    </row>
    <row r="116" spans="11:17">
      <c r="K116" s="405"/>
      <c r="Q116"/>
    </row>
    <row r="117" spans="11:17">
      <c r="K117" s="405"/>
      <c r="Q117"/>
    </row>
    <row r="118" spans="11:17">
      <c r="K118" s="405"/>
      <c r="Q118"/>
    </row>
    <row r="119" spans="11:17">
      <c r="K119" s="405"/>
      <c r="Q119"/>
    </row>
    <row r="120" spans="11:17">
      <c r="K120" s="405"/>
      <c r="Q120"/>
    </row>
    <row r="121" spans="11:17">
      <c r="K121" s="405"/>
      <c r="Q121"/>
    </row>
    <row r="122" spans="11:17">
      <c r="K122" s="405"/>
      <c r="Q122"/>
    </row>
    <row r="123" spans="11:17">
      <c r="K123" s="405"/>
      <c r="Q123"/>
    </row>
    <row r="124" spans="11:17">
      <c r="K124" s="405"/>
      <c r="Q124"/>
    </row>
    <row r="125" spans="11:17">
      <c r="K125" s="405"/>
      <c r="Q125"/>
    </row>
    <row r="126" spans="11:17">
      <c r="K126" s="405"/>
      <c r="Q126"/>
    </row>
    <row r="127" spans="11:17">
      <c r="K127" s="405"/>
      <c r="Q127"/>
    </row>
    <row r="128" spans="11:17">
      <c r="K128" s="405"/>
      <c r="Q128"/>
    </row>
    <row r="129" spans="11:17">
      <c r="K129" s="405"/>
      <c r="Q129"/>
    </row>
    <row r="130" spans="11:17">
      <c r="K130" s="405"/>
      <c r="Q130"/>
    </row>
    <row r="131" spans="11:17">
      <c r="K131" s="405"/>
      <c r="Q131"/>
    </row>
    <row r="132" spans="11:17">
      <c r="K132" s="405"/>
      <c r="Q132"/>
    </row>
    <row r="133" spans="11:17">
      <c r="K133" s="405"/>
      <c r="Q133"/>
    </row>
    <row r="134" spans="11:17">
      <c r="K134" s="405"/>
      <c r="Q134"/>
    </row>
    <row r="135" spans="11:17">
      <c r="K135" s="405"/>
      <c r="Q135"/>
    </row>
    <row r="136" spans="11:17">
      <c r="K136" s="405"/>
      <c r="Q136"/>
    </row>
    <row r="137" spans="11:17">
      <c r="K137" s="405"/>
      <c r="Q137"/>
    </row>
    <row r="138" spans="11:17">
      <c r="K138" s="405"/>
      <c r="Q138"/>
    </row>
    <row r="139" spans="11:17">
      <c r="K139" s="405"/>
      <c r="Q139"/>
    </row>
    <row r="140" spans="11:17">
      <c r="K140" s="405"/>
      <c r="Q140"/>
    </row>
    <row r="141" spans="11:17">
      <c r="K141" s="405"/>
      <c r="Q141"/>
    </row>
    <row r="142" spans="11:17">
      <c r="K142" s="405"/>
      <c r="Q142"/>
    </row>
    <row r="143" spans="11:17">
      <c r="K143" s="405"/>
      <c r="Q143"/>
    </row>
    <row r="144" spans="11:17">
      <c r="K144" s="405"/>
      <c r="Q144"/>
    </row>
    <row r="145" spans="11:17">
      <c r="K145" s="405"/>
      <c r="Q145"/>
    </row>
    <row r="146" spans="11:17">
      <c r="K146" s="405"/>
      <c r="Q146"/>
    </row>
    <row r="147" spans="11:17">
      <c r="K147" s="405"/>
      <c r="Q147"/>
    </row>
    <row r="148" spans="11:17">
      <c r="K148" s="405"/>
      <c r="Q148"/>
    </row>
    <row r="149" spans="11:17">
      <c r="K149" s="405"/>
      <c r="Q149"/>
    </row>
    <row r="150" spans="11:17">
      <c r="K150" s="405"/>
      <c r="Q150"/>
    </row>
    <row r="151" spans="11:17">
      <c r="K151" s="405"/>
      <c r="Q151"/>
    </row>
    <row r="152" spans="11:17">
      <c r="K152" s="405"/>
      <c r="Q152"/>
    </row>
    <row r="153" spans="11:17">
      <c r="K153" s="405"/>
      <c r="Q153"/>
    </row>
    <row r="154" spans="11:17">
      <c r="K154" s="405"/>
      <c r="Q154"/>
    </row>
    <row r="155" spans="11:17">
      <c r="K155" s="405"/>
      <c r="Q155"/>
    </row>
    <row r="156" spans="11:17">
      <c r="K156" s="405"/>
      <c r="Q156"/>
    </row>
    <row r="157" spans="11:17">
      <c r="K157" s="405"/>
      <c r="Q157"/>
    </row>
    <row r="158" spans="11:17">
      <c r="K158" s="405"/>
      <c r="Q158"/>
    </row>
    <row r="159" spans="11:17">
      <c r="K159" s="405"/>
      <c r="Q159"/>
    </row>
    <row r="160" spans="11:17">
      <c r="K160" s="405"/>
      <c r="Q160"/>
    </row>
    <row r="161" spans="11:17">
      <c r="K161" s="405"/>
      <c r="Q161"/>
    </row>
    <row r="162" spans="11:17">
      <c r="K162" s="405"/>
      <c r="Q162"/>
    </row>
    <row r="163" spans="11:17">
      <c r="K163" s="405"/>
      <c r="Q163"/>
    </row>
    <row r="164" spans="11:17">
      <c r="K164" s="405"/>
      <c r="Q164"/>
    </row>
    <row r="165" spans="11:17">
      <c r="K165" s="405"/>
      <c r="Q165"/>
    </row>
    <row r="166" spans="11:17">
      <c r="K166" s="405"/>
      <c r="Q166"/>
    </row>
    <row r="167" spans="11:17">
      <c r="K167" s="405"/>
      <c r="Q167"/>
    </row>
    <row r="168" spans="11:17">
      <c r="K168" s="405"/>
      <c r="Q168"/>
    </row>
    <row r="169" spans="11:17">
      <c r="K169" s="405"/>
      <c r="Q169"/>
    </row>
    <row r="170" spans="11:17">
      <c r="K170" s="405"/>
      <c r="Q170"/>
    </row>
    <row r="171" spans="11:17">
      <c r="K171" s="405"/>
      <c r="Q171"/>
    </row>
    <row r="172" spans="11:17">
      <c r="K172" s="405"/>
      <c r="Q172"/>
    </row>
    <row r="173" spans="11:17">
      <c r="K173" s="405"/>
      <c r="Q173"/>
    </row>
    <row r="174" spans="11:17">
      <c r="K174" s="405"/>
      <c r="Q174"/>
    </row>
    <row r="175" spans="11:17">
      <c r="K175" s="405"/>
      <c r="Q175"/>
    </row>
    <row r="176" spans="11:17">
      <c r="K176" s="405"/>
      <c r="Q176"/>
    </row>
    <row r="177" spans="11:17">
      <c r="K177" s="405"/>
      <c r="Q177"/>
    </row>
    <row r="178" spans="11:17">
      <c r="K178" s="405"/>
      <c r="Q178"/>
    </row>
    <row r="179" spans="11:17">
      <c r="K179" s="405"/>
      <c r="Q179"/>
    </row>
    <row r="180" spans="11:17">
      <c r="K180" s="405"/>
      <c r="Q180"/>
    </row>
    <row r="181" spans="11:17">
      <c r="K181" s="405"/>
      <c r="Q181"/>
    </row>
    <row r="182" spans="11:17">
      <c r="K182" s="405"/>
      <c r="Q182"/>
    </row>
    <row r="183" spans="11:17">
      <c r="K183" s="405"/>
      <c r="Q183"/>
    </row>
    <row r="184" spans="11:17">
      <c r="K184" s="405"/>
      <c r="Q184"/>
    </row>
    <row r="185" spans="11:17">
      <c r="K185" s="405"/>
      <c r="Q185"/>
    </row>
    <row r="186" spans="11:17">
      <c r="K186" s="405"/>
      <c r="Q186"/>
    </row>
    <row r="187" spans="11:17">
      <c r="K187" s="405"/>
      <c r="Q187"/>
    </row>
    <row r="188" spans="11:17">
      <c r="K188" s="405"/>
      <c r="Q188"/>
    </row>
    <row r="189" spans="11:17">
      <c r="K189" s="405"/>
      <c r="Q189"/>
    </row>
    <row r="190" spans="11:17">
      <c r="K190" s="405"/>
      <c r="Q190"/>
    </row>
    <row r="191" spans="11:17">
      <c r="K191" s="405"/>
      <c r="Q191"/>
    </row>
    <row r="192" spans="11:17">
      <c r="K192" s="405"/>
      <c r="Q192"/>
    </row>
    <row r="193" spans="11:17">
      <c r="K193" s="405"/>
      <c r="Q193"/>
    </row>
    <row r="194" spans="11:17">
      <c r="K194" s="405"/>
      <c r="Q194"/>
    </row>
    <row r="195" spans="11:17">
      <c r="K195" s="405"/>
      <c r="Q195"/>
    </row>
    <row r="196" spans="11:17">
      <c r="K196" s="405"/>
      <c r="Q196"/>
    </row>
    <row r="197" spans="11:17">
      <c r="K197" s="405"/>
      <c r="Q197"/>
    </row>
    <row r="198" spans="11:17">
      <c r="K198" s="405"/>
      <c r="Q198"/>
    </row>
    <row r="199" spans="11:17">
      <c r="K199" s="405"/>
      <c r="Q199"/>
    </row>
    <row r="200" spans="11:17">
      <c r="K200" s="405"/>
      <c r="Q200"/>
    </row>
    <row r="201" spans="11:17">
      <c r="K201" s="405"/>
      <c r="Q201"/>
    </row>
    <row r="202" spans="11:17">
      <c r="K202" s="405"/>
      <c r="Q202"/>
    </row>
    <row r="203" spans="11:17">
      <c r="K203" s="405"/>
      <c r="Q203"/>
    </row>
    <row r="204" spans="11:17">
      <c r="K204" s="405"/>
      <c r="Q204"/>
    </row>
    <row r="205" spans="11:17">
      <c r="K205" s="405"/>
      <c r="Q205"/>
    </row>
    <row r="206" spans="11:17">
      <c r="K206" s="405"/>
      <c r="Q206"/>
    </row>
    <row r="207" spans="11:17">
      <c r="K207" s="405"/>
      <c r="Q207"/>
    </row>
    <row r="208" spans="11:17">
      <c r="K208" s="405"/>
      <c r="Q208"/>
    </row>
    <row r="209" spans="11:17">
      <c r="K209" s="405"/>
      <c r="Q209"/>
    </row>
    <row r="210" spans="11:17">
      <c r="K210" s="405"/>
      <c r="Q210"/>
    </row>
    <row r="211" spans="11:17">
      <c r="K211" s="405"/>
      <c r="Q211"/>
    </row>
    <row r="212" spans="11:17">
      <c r="K212" s="405"/>
      <c r="Q212"/>
    </row>
    <row r="213" spans="11:17">
      <c r="K213" s="405"/>
      <c r="Q213"/>
    </row>
    <row r="214" spans="11:17">
      <c r="K214" s="405"/>
      <c r="Q214"/>
    </row>
    <row r="215" spans="11:17">
      <c r="K215" s="405"/>
      <c r="Q215"/>
    </row>
    <row r="216" spans="11:17">
      <c r="K216" s="405"/>
      <c r="Q216"/>
    </row>
    <row r="217" spans="11:17">
      <c r="K217" s="405"/>
      <c r="Q217"/>
    </row>
    <row r="218" spans="11:17">
      <c r="K218" s="405"/>
      <c r="Q218"/>
    </row>
    <row r="219" spans="11:17">
      <c r="K219" s="405"/>
      <c r="Q219"/>
    </row>
    <row r="220" spans="11:17">
      <c r="K220" s="405"/>
      <c r="Q220"/>
    </row>
    <row r="221" spans="11:17">
      <c r="K221" s="405"/>
      <c r="Q221"/>
    </row>
    <row r="222" spans="11:17">
      <c r="K222" s="405"/>
      <c r="Q222"/>
    </row>
    <row r="223" spans="11:17">
      <c r="K223" s="405"/>
      <c r="Q223"/>
    </row>
    <row r="224" spans="11:17">
      <c r="K224" s="405"/>
      <c r="Q224"/>
    </row>
    <row r="225" spans="11:17">
      <c r="K225" s="405"/>
      <c r="Q225"/>
    </row>
    <row r="226" spans="11:17">
      <c r="K226" s="405"/>
      <c r="Q226"/>
    </row>
    <row r="227" spans="11:17">
      <c r="K227" s="405"/>
      <c r="Q227"/>
    </row>
    <row r="228" spans="11:17">
      <c r="K228" s="405"/>
      <c r="Q228"/>
    </row>
    <row r="229" spans="11:17">
      <c r="K229" s="405"/>
      <c r="Q229"/>
    </row>
    <row r="230" spans="11:17">
      <c r="K230" s="405"/>
      <c r="Q230"/>
    </row>
    <row r="231" spans="11:17">
      <c r="K231" s="405"/>
      <c r="Q231"/>
    </row>
    <row r="232" spans="11:17">
      <c r="K232" s="405"/>
      <c r="Q232"/>
    </row>
    <row r="233" spans="11:17">
      <c r="K233" s="405"/>
      <c r="Q233"/>
    </row>
    <row r="234" spans="11:17">
      <c r="K234" s="405"/>
      <c r="Q234"/>
    </row>
    <row r="235" spans="11:17">
      <c r="K235" s="405"/>
      <c r="Q235"/>
    </row>
    <row r="236" spans="11:17">
      <c r="K236" s="405"/>
      <c r="Q236"/>
    </row>
    <row r="237" spans="11:17">
      <c r="K237" s="405"/>
      <c r="Q237"/>
    </row>
    <row r="238" spans="11:17">
      <c r="K238" s="405"/>
      <c r="Q238"/>
    </row>
    <row r="239" spans="11:17">
      <c r="K239" s="405"/>
      <c r="Q239"/>
    </row>
    <row r="240" spans="11:17">
      <c r="K240" s="405"/>
      <c r="Q240"/>
    </row>
    <row r="241" spans="11:17">
      <c r="K241" s="405"/>
      <c r="Q241"/>
    </row>
    <row r="242" spans="11:17">
      <c r="K242" s="405"/>
      <c r="Q242"/>
    </row>
    <row r="243" spans="11:17">
      <c r="K243" s="405"/>
      <c r="Q243"/>
    </row>
    <row r="244" spans="11:17">
      <c r="K244" s="405"/>
      <c r="Q244"/>
    </row>
    <row r="245" spans="11:17">
      <c r="K245" s="405"/>
      <c r="Q245"/>
    </row>
    <row r="246" spans="11:17">
      <c r="K246" s="405"/>
      <c r="Q246"/>
    </row>
    <row r="247" spans="11:17">
      <c r="K247" s="405"/>
      <c r="Q247"/>
    </row>
    <row r="248" spans="11:17">
      <c r="K248" s="405"/>
      <c r="Q248"/>
    </row>
    <row r="249" spans="11:17">
      <c r="K249" s="405"/>
      <c r="Q249"/>
    </row>
    <row r="250" spans="11:17">
      <c r="K250" s="405"/>
      <c r="Q250"/>
    </row>
    <row r="251" spans="11:17">
      <c r="K251" s="405"/>
      <c r="Q251"/>
    </row>
    <row r="252" spans="11:17">
      <c r="K252" s="405"/>
      <c r="Q252"/>
    </row>
    <row r="253" spans="11:17">
      <c r="K253" s="405"/>
      <c r="Q253"/>
    </row>
    <row r="254" spans="11:17">
      <c r="K254" s="405"/>
      <c r="Q254"/>
    </row>
    <row r="255" spans="11:17">
      <c r="K255" s="405"/>
      <c r="Q255"/>
    </row>
    <row r="256" spans="11:17">
      <c r="K256" s="405"/>
      <c r="Q256"/>
    </row>
    <row r="257" spans="11:17">
      <c r="K257" s="405"/>
      <c r="Q257"/>
    </row>
    <row r="258" spans="11:17">
      <c r="K258" s="405"/>
      <c r="Q258"/>
    </row>
    <row r="259" spans="11:17">
      <c r="K259" s="405"/>
      <c r="Q259"/>
    </row>
    <row r="260" spans="11:17">
      <c r="K260" s="405"/>
      <c r="Q260"/>
    </row>
    <row r="261" spans="11:17">
      <c r="K261" s="405"/>
      <c r="Q261"/>
    </row>
    <row r="262" spans="11:17">
      <c r="K262" s="405"/>
      <c r="Q262"/>
    </row>
    <row r="263" spans="11:17">
      <c r="K263" s="405"/>
      <c r="Q263"/>
    </row>
    <row r="264" spans="11:17">
      <c r="K264" s="405"/>
      <c r="Q264"/>
    </row>
    <row r="265" spans="11:17">
      <c r="K265" s="405"/>
      <c r="Q265"/>
    </row>
    <row r="266" spans="11:17">
      <c r="K266" s="405"/>
      <c r="Q266"/>
    </row>
    <row r="267" spans="11:17">
      <c r="K267" s="405"/>
      <c r="Q267"/>
    </row>
    <row r="268" spans="11:17">
      <c r="K268" s="405"/>
      <c r="Q268"/>
    </row>
    <row r="269" spans="11:17">
      <c r="K269" s="405"/>
      <c r="Q269"/>
    </row>
    <row r="270" spans="11:17">
      <c r="K270" s="405"/>
      <c r="Q270"/>
    </row>
    <row r="271" spans="11:17">
      <c r="K271" s="405"/>
      <c r="Q271"/>
    </row>
    <row r="272" spans="11:17">
      <c r="K272" s="405"/>
      <c r="Q272"/>
    </row>
    <row r="273" spans="11:17">
      <c r="K273" s="405"/>
      <c r="Q273"/>
    </row>
    <row r="274" spans="11:17">
      <c r="K274" s="405"/>
      <c r="Q274"/>
    </row>
    <row r="275" spans="11:17">
      <c r="K275" s="405"/>
      <c r="Q275"/>
    </row>
    <row r="276" spans="11:17">
      <c r="K276" s="405"/>
      <c r="Q276"/>
    </row>
    <row r="277" spans="11:17">
      <c r="K277" s="405"/>
      <c r="Q277"/>
    </row>
    <row r="278" spans="11:17">
      <c r="K278" s="405"/>
      <c r="Q278"/>
    </row>
    <row r="279" spans="11:17">
      <c r="K279" s="405"/>
      <c r="Q279"/>
    </row>
    <row r="280" spans="11:17">
      <c r="K280" s="405"/>
      <c r="Q280"/>
    </row>
    <row r="281" spans="11:17">
      <c r="K281" s="405"/>
      <c r="Q281"/>
    </row>
    <row r="282" spans="11:17">
      <c r="K282" s="405"/>
      <c r="Q282"/>
    </row>
    <row r="283" spans="11:17">
      <c r="K283" s="405"/>
      <c r="Q283"/>
    </row>
    <row r="284" spans="11:17">
      <c r="K284" s="405"/>
      <c r="Q284"/>
    </row>
    <row r="285" spans="11:17">
      <c r="K285" s="405"/>
      <c r="Q285"/>
    </row>
    <row r="286" spans="11:17">
      <c r="K286" s="405"/>
      <c r="Q286"/>
    </row>
    <row r="287" spans="11:17">
      <c r="K287" s="405"/>
      <c r="Q287"/>
    </row>
    <row r="288" spans="11:17">
      <c r="K288" s="405"/>
      <c r="Q288"/>
    </row>
    <row r="289" spans="11:17">
      <c r="K289" s="405"/>
      <c r="Q289"/>
    </row>
    <row r="290" spans="11:17">
      <c r="K290" s="405"/>
      <c r="Q290"/>
    </row>
    <row r="291" spans="11:17">
      <c r="K291" s="405"/>
      <c r="Q291"/>
    </row>
    <row r="292" spans="11:17">
      <c r="K292" s="405"/>
      <c r="Q292"/>
    </row>
    <row r="293" spans="11:17">
      <c r="K293" s="405"/>
      <c r="Q293"/>
    </row>
    <row r="294" spans="11:17">
      <c r="K294" s="405"/>
      <c r="Q294"/>
    </row>
    <row r="295" spans="11:17">
      <c r="K295" s="405"/>
      <c r="Q295"/>
    </row>
    <row r="296" spans="11:17">
      <c r="K296" s="405"/>
      <c r="Q296"/>
    </row>
    <row r="297" spans="11:17">
      <c r="K297" s="405"/>
      <c r="Q297"/>
    </row>
    <row r="298" spans="11:17">
      <c r="K298" s="405"/>
      <c r="Q298"/>
    </row>
    <row r="299" spans="11:17">
      <c r="K299" s="405"/>
      <c r="Q299"/>
    </row>
    <row r="300" spans="11:17">
      <c r="K300" s="405"/>
      <c r="Q300"/>
    </row>
    <row r="301" spans="11:17">
      <c r="K301" s="405"/>
      <c r="Q301"/>
    </row>
    <row r="302" spans="11:17">
      <c r="K302" s="405"/>
      <c r="Q302"/>
    </row>
    <row r="303" spans="11:17">
      <c r="K303" s="405"/>
      <c r="Q303"/>
    </row>
    <row r="304" spans="11:17">
      <c r="K304" s="405"/>
      <c r="Q304"/>
    </row>
    <row r="305" spans="11:17">
      <c r="K305" s="405"/>
      <c r="Q305"/>
    </row>
    <row r="306" spans="11:17">
      <c r="K306" s="405"/>
      <c r="Q306"/>
    </row>
    <row r="307" spans="11:17">
      <c r="K307" s="405"/>
      <c r="Q307"/>
    </row>
    <row r="308" spans="11:17">
      <c r="K308" s="405"/>
      <c r="Q308"/>
    </row>
    <row r="309" spans="11:17">
      <c r="K309" s="405"/>
      <c r="Q309"/>
    </row>
    <row r="310" spans="11:17">
      <c r="K310" s="405"/>
      <c r="Q310"/>
    </row>
    <row r="311" spans="11:17">
      <c r="K311" s="405"/>
      <c r="Q311"/>
    </row>
    <row r="312" spans="11:17">
      <c r="K312" s="405"/>
      <c r="Q312"/>
    </row>
    <row r="313" spans="11:17">
      <c r="K313" s="405"/>
      <c r="Q313"/>
    </row>
    <row r="314" spans="11:17">
      <c r="K314" s="405"/>
      <c r="Q314"/>
    </row>
    <row r="315" spans="11:17">
      <c r="K315" s="405"/>
      <c r="Q315"/>
    </row>
    <row r="316" spans="11:17">
      <c r="K316" s="405"/>
      <c r="Q316"/>
    </row>
    <row r="317" spans="11:17">
      <c r="K317" s="405"/>
      <c r="Q317"/>
    </row>
    <row r="318" spans="11:17">
      <c r="K318" s="405"/>
      <c r="Q318"/>
    </row>
    <row r="319" spans="11:17">
      <c r="K319" s="405"/>
      <c r="Q319"/>
    </row>
    <row r="320" spans="11:17">
      <c r="K320" s="405"/>
      <c r="Q320"/>
    </row>
    <row r="321" spans="11:17">
      <c r="K321" s="405"/>
      <c r="Q321"/>
    </row>
    <row r="322" spans="11:17">
      <c r="K322" s="405"/>
      <c r="Q322"/>
    </row>
    <row r="323" spans="11:17">
      <c r="K323" s="405"/>
      <c r="Q323"/>
    </row>
    <row r="324" spans="11:17">
      <c r="K324" s="405"/>
      <c r="Q324"/>
    </row>
    <row r="325" spans="11:17">
      <c r="K325" s="405"/>
      <c r="Q325"/>
    </row>
    <row r="326" spans="11:17">
      <c r="K326" s="405"/>
      <c r="Q326"/>
    </row>
    <row r="327" spans="11:17">
      <c r="K327" s="405"/>
      <c r="Q327"/>
    </row>
    <row r="328" spans="11:17">
      <c r="K328" s="405"/>
      <c r="Q328"/>
    </row>
    <row r="329" spans="11:17">
      <c r="K329" s="405"/>
      <c r="Q329"/>
    </row>
    <row r="330" spans="11:17">
      <c r="K330" s="405"/>
      <c r="Q330"/>
    </row>
    <row r="331" spans="11:17">
      <c r="K331" s="405"/>
      <c r="Q331"/>
    </row>
    <row r="332" spans="11:17">
      <c r="K332" s="405"/>
      <c r="Q332"/>
    </row>
    <row r="333" spans="11:17">
      <c r="K333" s="405"/>
      <c r="Q333"/>
    </row>
    <row r="334" spans="11:17">
      <c r="K334" s="405"/>
      <c r="Q334"/>
    </row>
    <row r="335" spans="11:17">
      <c r="K335" s="405"/>
      <c r="Q335"/>
    </row>
    <row r="336" spans="11:17">
      <c r="K336" s="405"/>
      <c r="Q336"/>
    </row>
    <row r="337" spans="11:17">
      <c r="K337" s="405"/>
      <c r="Q337"/>
    </row>
    <row r="338" spans="11:17">
      <c r="K338" s="405"/>
      <c r="Q338"/>
    </row>
    <row r="339" spans="11:17">
      <c r="K339" s="405"/>
      <c r="Q339"/>
    </row>
    <row r="340" spans="11:17">
      <c r="K340" s="405"/>
      <c r="Q340"/>
    </row>
    <row r="341" spans="11:17">
      <c r="K341" s="405"/>
      <c r="Q341"/>
    </row>
    <row r="342" spans="11:17">
      <c r="K342" s="405"/>
      <c r="Q342"/>
    </row>
    <row r="343" spans="11:17">
      <c r="K343" s="405"/>
      <c r="Q343"/>
    </row>
    <row r="344" spans="11:17">
      <c r="K344" s="405"/>
      <c r="Q344"/>
    </row>
    <row r="345" spans="11:17">
      <c r="K345" s="405"/>
      <c r="Q345"/>
    </row>
    <row r="346" spans="11:17">
      <c r="K346" s="405"/>
      <c r="Q346"/>
    </row>
    <row r="347" spans="11:17">
      <c r="K347" s="405"/>
      <c r="Q347"/>
    </row>
    <row r="348" spans="11:17">
      <c r="K348" s="405"/>
      <c r="Q348"/>
    </row>
    <row r="349" spans="11:17">
      <c r="K349" s="405"/>
      <c r="Q349"/>
    </row>
    <row r="350" spans="11:17">
      <c r="K350" s="405"/>
      <c r="Q350"/>
    </row>
    <row r="351" spans="11:17">
      <c r="K351" s="405"/>
      <c r="Q351"/>
    </row>
    <row r="352" spans="11:17">
      <c r="K352" s="405"/>
      <c r="Q352"/>
    </row>
    <row r="353" spans="11:17">
      <c r="K353" s="405"/>
      <c r="Q353"/>
    </row>
    <row r="354" spans="11:17">
      <c r="K354" s="405"/>
      <c r="Q354"/>
    </row>
    <row r="355" spans="11:17">
      <c r="K355" s="405"/>
      <c r="Q355"/>
    </row>
    <row r="356" spans="11:17">
      <c r="K356" s="405"/>
      <c r="Q356"/>
    </row>
    <row r="357" spans="11:17">
      <c r="K357" s="405"/>
      <c r="Q357"/>
    </row>
    <row r="358" spans="11:17">
      <c r="K358" s="405"/>
      <c r="Q358"/>
    </row>
    <row r="359" spans="11:17">
      <c r="K359" s="405"/>
      <c r="Q359"/>
    </row>
    <row r="360" spans="11:17">
      <c r="K360" s="405"/>
      <c r="Q360"/>
    </row>
    <row r="361" spans="11:17">
      <c r="K361" s="405"/>
      <c r="Q361"/>
    </row>
    <row r="362" spans="11:17">
      <c r="K362" s="405"/>
      <c r="Q362"/>
    </row>
    <row r="363" spans="11:17">
      <c r="K363" s="405"/>
      <c r="Q363"/>
    </row>
    <row r="364" spans="11:17">
      <c r="K364" s="405"/>
      <c r="Q364"/>
    </row>
    <row r="365" spans="11:17">
      <c r="K365" s="405"/>
      <c r="Q365"/>
    </row>
    <row r="366" spans="11:17">
      <c r="K366" s="405"/>
      <c r="Q366"/>
    </row>
    <row r="367" spans="11:17">
      <c r="K367" s="405"/>
      <c r="Q367"/>
    </row>
    <row r="368" spans="11:17">
      <c r="K368" s="405"/>
      <c r="Q368"/>
    </row>
    <row r="369" spans="11:17">
      <c r="K369" s="405"/>
      <c r="Q369"/>
    </row>
    <row r="370" spans="11:17">
      <c r="K370" s="405"/>
      <c r="Q370"/>
    </row>
    <row r="371" spans="11:17">
      <c r="K371" s="405"/>
      <c r="Q371"/>
    </row>
    <row r="372" spans="11:17">
      <c r="K372" s="405"/>
      <c r="Q372"/>
    </row>
    <row r="373" spans="11:17">
      <c r="K373" s="405"/>
      <c r="Q373"/>
    </row>
    <row r="374" spans="11:17">
      <c r="K374" s="405"/>
      <c r="Q374"/>
    </row>
    <row r="375" spans="11:17">
      <c r="K375" s="405"/>
      <c r="Q375"/>
    </row>
    <row r="376" spans="11:17">
      <c r="K376" s="405"/>
      <c r="Q376"/>
    </row>
    <row r="377" spans="11:17">
      <c r="K377" s="405"/>
      <c r="Q377"/>
    </row>
    <row r="378" spans="11:17">
      <c r="K378" s="405"/>
      <c r="Q378"/>
    </row>
    <row r="379" spans="11:17">
      <c r="K379" s="405"/>
      <c r="Q379"/>
    </row>
    <row r="380" spans="11:17">
      <c r="K380" s="405"/>
      <c r="Q380"/>
    </row>
    <row r="381" spans="11:17">
      <c r="K381" s="405"/>
      <c r="Q381"/>
    </row>
    <row r="382" spans="11:17">
      <c r="K382" s="405"/>
      <c r="Q382"/>
    </row>
    <row r="383" spans="11:17">
      <c r="K383" s="405"/>
      <c r="Q383"/>
    </row>
    <row r="384" spans="11:17">
      <c r="K384" s="405"/>
      <c r="Q384"/>
    </row>
    <row r="385" spans="11:17">
      <c r="K385" s="405"/>
      <c r="Q385"/>
    </row>
    <row r="386" spans="11:17">
      <c r="K386" s="405"/>
      <c r="Q386"/>
    </row>
    <row r="387" spans="11:17">
      <c r="K387" s="405"/>
      <c r="Q387"/>
    </row>
    <row r="388" spans="11:17">
      <c r="K388" s="405"/>
      <c r="Q388"/>
    </row>
    <row r="389" spans="11:17">
      <c r="K389" s="405"/>
      <c r="Q389"/>
    </row>
    <row r="390" spans="11:17">
      <c r="K390" s="405"/>
      <c r="Q390"/>
    </row>
    <row r="391" spans="11:17">
      <c r="K391" s="405"/>
      <c r="Q391"/>
    </row>
    <row r="392" spans="11:17">
      <c r="K392" s="405"/>
      <c r="Q392"/>
    </row>
    <row r="393" spans="11:17">
      <c r="K393" s="405"/>
      <c r="Q393"/>
    </row>
    <row r="394" spans="11:17">
      <c r="K394" s="405"/>
      <c r="Q394"/>
    </row>
    <row r="395" spans="11:17">
      <c r="K395" s="405"/>
      <c r="Q395"/>
    </row>
    <row r="396" spans="11:17">
      <c r="K396" s="405"/>
      <c r="Q396"/>
    </row>
    <row r="397" spans="11:17">
      <c r="K397" s="405"/>
      <c r="Q397"/>
    </row>
    <row r="398" spans="11:17">
      <c r="K398" s="405"/>
      <c r="Q398"/>
    </row>
    <row r="399" spans="11:17">
      <c r="K399" s="405"/>
      <c r="Q399"/>
    </row>
    <row r="400" spans="11:17">
      <c r="K400" s="405"/>
      <c r="Q400"/>
    </row>
    <row r="401" spans="11:17">
      <c r="K401" s="405"/>
      <c r="Q401"/>
    </row>
    <row r="402" spans="11:17">
      <c r="K402" s="405"/>
      <c r="Q402"/>
    </row>
    <row r="403" spans="11:17">
      <c r="K403" s="405"/>
      <c r="Q403"/>
    </row>
    <row r="404" spans="11:17">
      <c r="K404" s="405"/>
      <c r="Q404"/>
    </row>
    <row r="405" spans="11:17">
      <c r="K405" s="405"/>
      <c r="Q405"/>
    </row>
    <row r="406" spans="11:17">
      <c r="K406" s="405"/>
      <c r="Q406"/>
    </row>
    <row r="407" spans="11:17">
      <c r="K407" s="405"/>
      <c r="Q407"/>
    </row>
    <row r="408" spans="11:17">
      <c r="K408" s="405"/>
      <c r="Q408"/>
    </row>
    <row r="409" spans="11:17">
      <c r="K409" s="405"/>
      <c r="Q409"/>
    </row>
    <row r="410" spans="11:17">
      <c r="K410" s="405"/>
      <c r="Q410"/>
    </row>
    <row r="411" spans="11:17">
      <c r="K411" s="405"/>
      <c r="Q411"/>
    </row>
    <row r="412" spans="11:17">
      <c r="K412" s="405"/>
      <c r="Q412"/>
    </row>
    <row r="413" spans="11:17">
      <c r="K413" s="405"/>
      <c r="Q413"/>
    </row>
    <row r="414" spans="11:17">
      <c r="K414" s="405"/>
      <c r="Q414"/>
    </row>
    <row r="415" spans="11:17">
      <c r="K415" s="405"/>
      <c r="Q415"/>
    </row>
    <row r="416" spans="11:17">
      <c r="K416" s="405"/>
      <c r="Q416"/>
    </row>
    <row r="417" spans="11:17">
      <c r="K417" s="405"/>
      <c r="Q417"/>
    </row>
    <row r="418" spans="11:17">
      <c r="K418" s="405"/>
      <c r="Q418"/>
    </row>
    <row r="419" spans="11:17">
      <c r="K419" s="405"/>
      <c r="Q419"/>
    </row>
    <row r="420" spans="11:17">
      <c r="K420" s="405"/>
      <c r="Q420"/>
    </row>
    <row r="421" spans="11:17">
      <c r="K421" s="405"/>
      <c r="Q421"/>
    </row>
    <row r="422" spans="11:17">
      <c r="K422" s="405"/>
      <c r="Q422"/>
    </row>
    <row r="423" spans="11:17">
      <c r="K423" s="405"/>
      <c r="Q423"/>
    </row>
    <row r="424" spans="11:17">
      <c r="K424" s="405"/>
      <c r="Q424"/>
    </row>
    <row r="425" spans="11:17">
      <c r="K425" s="405"/>
      <c r="Q425"/>
    </row>
    <row r="426" spans="11:17">
      <c r="K426" s="405"/>
      <c r="Q426"/>
    </row>
    <row r="427" spans="11:17">
      <c r="K427" s="405"/>
      <c r="Q427"/>
    </row>
    <row r="428" spans="11:17">
      <c r="K428" s="405"/>
      <c r="Q428"/>
    </row>
    <row r="429" spans="11:17">
      <c r="K429" s="405"/>
      <c r="Q429"/>
    </row>
    <row r="430" spans="11:17">
      <c r="K430" s="405"/>
      <c r="Q430"/>
    </row>
    <row r="431" spans="11:17">
      <c r="K431" s="405"/>
      <c r="Q431"/>
    </row>
    <row r="432" spans="11:17">
      <c r="K432" s="405"/>
      <c r="Q432"/>
    </row>
    <row r="433" spans="11:17">
      <c r="K433" s="405"/>
      <c r="Q433"/>
    </row>
    <row r="434" spans="11:17">
      <c r="K434" s="405"/>
      <c r="Q434"/>
    </row>
    <row r="435" spans="11:17">
      <c r="K435" s="405"/>
      <c r="Q435"/>
    </row>
    <row r="436" spans="11:17">
      <c r="K436" s="405"/>
      <c r="Q436"/>
    </row>
    <row r="437" spans="11:17">
      <c r="K437" s="405"/>
      <c r="Q437"/>
    </row>
    <row r="438" spans="11:17">
      <c r="K438" s="405"/>
      <c r="Q438"/>
    </row>
    <row r="439" spans="11:17">
      <c r="K439" s="405"/>
      <c r="Q439"/>
    </row>
    <row r="440" spans="11:17">
      <c r="K440" s="405"/>
      <c r="Q440"/>
    </row>
    <row r="441" spans="11:17">
      <c r="K441" s="405"/>
      <c r="Q441"/>
    </row>
    <row r="442" spans="11:17">
      <c r="K442" s="405"/>
      <c r="Q442"/>
    </row>
    <row r="443" spans="11:17">
      <c r="K443" s="405"/>
      <c r="Q443"/>
    </row>
    <row r="444" spans="11:17">
      <c r="K444" s="405"/>
      <c r="Q444"/>
    </row>
    <row r="445" spans="11:17">
      <c r="K445" s="405"/>
      <c r="Q445"/>
    </row>
    <row r="446" spans="11:17">
      <c r="K446" s="405"/>
      <c r="Q446"/>
    </row>
    <row r="447" spans="11:17">
      <c r="K447" s="405"/>
      <c r="Q447"/>
    </row>
    <row r="448" spans="11:17">
      <c r="K448" s="405"/>
      <c r="Q448"/>
    </row>
    <row r="449" spans="11:17">
      <c r="K449" s="405"/>
      <c r="Q449"/>
    </row>
    <row r="450" spans="11:17">
      <c r="K450" s="405"/>
      <c r="Q450"/>
    </row>
    <row r="451" spans="11:17">
      <c r="K451" s="405"/>
      <c r="Q451"/>
    </row>
    <row r="452" spans="11:17">
      <c r="K452" s="405"/>
      <c r="Q452"/>
    </row>
    <row r="453" spans="11:17">
      <c r="K453" s="405"/>
      <c r="Q453"/>
    </row>
    <row r="454" spans="11:17">
      <c r="K454" s="405"/>
      <c r="Q454"/>
    </row>
    <row r="455" spans="11:17">
      <c r="K455" s="405"/>
      <c r="Q455"/>
    </row>
    <row r="456" spans="11:17">
      <c r="K456" s="405"/>
      <c r="Q456"/>
    </row>
    <row r="457" spans="11:17">
      <c r="K457" s="405"/>
      <c r="Q457"/>
    </row>
    <row r="458" spans="11:17">
      <c r="K458" s="405"/>
      <c r="Q458"/>
    </row>
    <row r="459" spans="11:17">
      <c r="K459" s="405"/>
      <c r="Q459"/>
    </row>
    <row r="460" spans="11:17">
      <c r="K460" s="405"/>
      <c r="Q460"/>
    </row>
    <row r="461" spans="11:17">
      <c r="K461" s="405"/>
      <c r="Q461"/>
    </row>
    <row r="462" spans="11:17">
      <c r="K462" s="405"/>
      <c r="Q462"/>
    </row>
    <row r="463" spans="11:17">
      <c r="K463" s="405"/>
      <c r="Q463"/>
    </row>
    <row r="464" spans="11:17">
      <c r="K464" s="405"/>
      <c r="Q464"/>
    </row>
    <row r="465" spans="11:17">
      <c r="K465" s="405"/>
      <c r="Q465"/>
    </row>
    <row r="466" spans="11:17">
      <c r="K466" s="405"/>
      <c r="Q466"/>
    </row>
    <row r="467" spans="11:17">
      <c r="K467" s="405"/>
      <c r="Q467"/>
    </row>
    <row r="468" spans="11:17">
      <c r="K468" s="405"/>
      <c r="Q468"/>
    </row>
    <row r="469" spans="11:17">
      <c r="K469" s="405"/>
      <c r="Q469"/>
    </row>
    <row r="470" spans="11:17">
      <c r="K470" s="405"/>
      <c r="Q470"/>
    </row>
    <row r="471" spans="11:17">
      <c r="K471" s="405"/>
      <c r="Q471"/>
    </row>
    <row r="472" spans="11:17">
      <c r="K472" s="405"/>
      <c r="Q472"/>
    </row>
    <row r="473" spans="11:17">
      <c r="K473" s="405"/>
      <c r="Q473"/>
    </row>
    <row r="474" spans="11:17">
      <c r="K474" s="405"/>
      <c r="Q474"/>
    </row>
    <row r="475" spans="11:17">
      <c r="K475" s="405"/>
      <c r="Q475"/>
    </row>
    <row r="476" spans="11:17">
      <c r="K476" s="405"/>
      <c r="Q476"/>
    </row>
    <row r="477" spans="11:17">
      <c r="K477" s="405"/>
      <c r="Q477"/>
    </row>
    <row r="478" spans="11:17">
      <c r="K478" s="405"/>
      <c r="Q478"/>
    </row>
    <row r="479" spans="11:17">
      <c r="K479" s="405"/>
      <c r="Q479"/>
    </row>
    <row r="480" spans="11:17">
      <c r="K480" s="405"/>
      <c r="Q480"/>
    </row>
    <row r="481" spans="11:17">
      <c r="K481" s="405"/>
      <c r="Q481"/>
    </row>
    <row r="482" spans="11:17">
      <c r="K482" s="405"/>
      <c r="Q482"/>
    </row>
    <row r="483" spans="11:17">
      <c r="K483" s="405"/>
      <c r="Q483"/>
    </row>
    <row r="484" spans="11:17">
      <c r="K484" s="405"/>
      <c r="Q484"/>
    </row>
    <row r="485" spans="11:17">
      <c r="K485" s="405"/>
      <c r="Q485"/>
    </row>
    <row r="486" spans="11:17">
      <c r="K486" s="405"/>
      <c r="Q486"/>
    </row>
    <row r="487" spans="11:17">
      <c r="K487" s="405"/>
      <c r="Q487"/>
    </row>
    <row r="488" spans="11:17">
      <c r="K488" s="405"/>
      <c r="Q488"/>
    </row>
    <row r="489" spans="11:17">
      <c r="K489" s="405"/>
      <c r="Q489"/>
    </row>
    <row r="490" spans="11:17">
      <c r="K490" s="405"/>
      <c r="Q490"/>
    </row>
    <row r="491" spans="11:17">
      <c r="K491" s="405"/>
      <c r="Q491"/>
    </row>
    <row r="492" spans="11:17">
      <c r="K492" s="405"/>
      <c r="Q492"/>
    </row>
    <row r="493" spans="11:17">
      <c r="K493" s="405"/>
      <c r="Q493"/>
    </row>
    <row r="494" spans="11:17">
      <c r="K494" s="405"/>
      <c r="Q494"/>
    </row>
    <row r="495" spans="11:17">
      <c r="K495" s="405"/>
      <c r="Q495"/>
    </row>
    <row r="496" spans="11:17">
      <c r="K496" s="405"/>
      <c r="Q496"/>
    </row>
    <row r="497" spans="11:17">
      <c r="K497" s="405"/>
      <c r="Q497"/>
    </row>
    <row r="498" spans="11:17">
      <c r="K498" s="405"/>
      <c r="Q498"/>
    </row>
    <row r="499" spans="11:17">
      <c r="K499" s="405"/>
      <c r="Q499"/>
    </row>
    <row r="500" spans="11:17">
      <c r="K500" s="405"/>
      <c r="Q500"/>
    </row>
    <row r="501" spans="11:17">
      <c r="K501" s="405"/>
      <c r="Q501"/>
    </row>
    <row r="502" spans="11:17">
      <c r="K502" s="405"/>
      <c r="Q502"/>
    </row>
    <row r="503" spans="11:17">
      <c r="K503" s="405"/>
      <c r="Q503"/>
    </row>
    <row r="504" spans="11:17">
      <c r="K504" s="405"/>
      <c r="Q504"/>
    </row>
    <row r="505" spans="11:17">
      <c r="K505" s="405"/>
      <c r="Q505"/>
    </row>
    <row r="506" spans="11:17">
      <c r="K506" s="405"/>
      <c r="Q506"/>
    </row>
    <row r="507" spans="11:17">
      <c r="K507" s="405"/>
      <c r="Q507"/>
    </row>
    <row r="508" spans="11:17">
      <c r="K508" s="405"/>
      <c r="Q508"/>
    </row>
    <row r="509" spans="11:17">
      <c r="K509" s="405"/>
      <c r="Q509"/>
    </row>
    <row r="510" spans="11:17">
      <c r="K510" s="405"/>
      <c r="Q510"/>
    </row>
    <row r="511" spans="11:17">
      <c r="K511" s="405"/>
      <c r="Q511"/>
    </row>
    <row r="512" spans="11:17">
      <c r="K512" s="405"/>
      <c r="Q512"/>
    </row>
    <row r="513" spans="11:17">
      <c r="K513" s="405"/>
      <c r="Q513"/>
    </row>
    <row r="514" spans="11:17">
      <c r="K514" s="405"/>
      <c r="Q514"/>
    </row>
    <row r="515" spans="11:17">
      <c r="K515" s="405"/>
      <c r="Q515"/>
    </row>
    <row r="516" spans="11:17">
      <c r="K516" s="405"/>
      <c r="Q516"/>
    </row>
    <row r="517" spans="11:17">
      <c r="K517" s="405"/>
      <c r="Q517"/>
    </row>
    <row r="518" spans="11:17">
      <c r="K518" s="405"/>
      <c r="Q518"/>
    </row>
    <row r="519" spans="11:17">
      <c r="K519" s="405"/>
      <c r="Q519"/>
    </row>
    <row r="520" spans="11:17">
      <c r="K520" s="405"/>
      <c r="Q520"/>
    </row>
    <row r="521" spans="11:17">
      <c r="K521" s="405"/>
      <c r="Q521"/>
    </row>
    <row r="522" spans="11:17">
      <c r="K522" s="405"/>
      <c r="Q522"/>
    </row>
    <row r="523" spans="11:17">
      <c r="K523" s="405"/>
      <c r="Q523"/>
    </row>
    <row r="524" spans="11:17">
      <c r="K524" s="405"/>
      <c r="Q524"/>
    </row>
    <row r="525" spans="11:17">
      <c r="K525" s="405"/>
      <c r="Q525"/>
    </row>
    <row r="526" spans="11:17">
      <c r="K526" s="405"/>
      <c r="Q526"/>
    </row>
    <row r="527" spans="11:17">
      <c r="K527" s="405"/>
      <c r="Q527"/>
    </row>
    <row r="528" spans="11:17">
      <c r="K528" s="405"/>
      <c r="Q528"/>
    </row>
    <row r="529" spans="11:17">
      <c r="K529" s="405"/>
      <c r="Q529"/>
    </row>
    <row r="530" spans="11:17">
      <c r="K530" s="405"/>
      <c r="Q530"/>
    </row>
    <row r="531" spans="11:17">
      <c r="K531" s="405"/>
      <c r="Q531"/>
    </row>
    <row r="532" spans="11:17">
      <c r="K532" s="405"/>
      <c r="Q532"/>
    </row>
    <row r="533" spans="11:17">
      <c r="K533" s="405"/>
      <c r="Q533"/>
    </row>
    <row r="534" spans="11:17">
      <c r="K534" s="405"/>
      <c r="Q534"/>
    </row>
    <row r="535" spans="11:17">
      <c r="K535" s="405"/>
      <c r="Q535"/>
    </row>
    <row r="536" spans="11:17">
      <c r="K536" s="405"/>
      <c r="Q536"/>
    </row>
    <row r="537" spans="11:17">
      <c r="K537" s="405"/>
      <c r="Q537"/>
    </row>
    <row r="538" spans="11:17">
      <c r="K538" s="405"/>
      <c r="Q538"/>
    </row>
    <row r="539" spans="11:17">
      <c r="K539" s="405"/>
      <c r="Q539"/>
    </row>
    <row r="540" spans="11:17">
      <c r="K540" s="405"/>
      <c r="Q540"/>
    </row>
    <row r="541" spans="11:17">
      <c r="K541" s="405"/>
      <c r="Q541"/>
    </row>
    <row r="542" spans="11:17">
      <c r="K542" s="405"/>
      <c r="Q542"/>
    </row>
    <row r="543" spans="11:17">
      <c r="K543" s="405"/>
      <c r="Q543"/>
    </row>
    <row r="544" spans="11:17">
      <c r="K544" s="405"/>
      <c r="Q544"/>
    </row>
    <row r="545" spans="11:17">
      <c r="K545" s="405"/>
      <c r="Q545"/>
    </row>
    <row r="546" spans="11:17">
      <c r="K546" s="405"/>
      <c r="Q546"/>
    </row>
    <row r="547" spans="11:17">
      <c r="K547" s="405"/>
      <c r="Q547"/>
    </row>
    <row r="548" spans="11:17">
      <c r="K548" s="405"/>
      <c r="Q548"/>
    </row>
    <row r="549" spans="11:17">
      <c r="K549" s="405"/>
      <c r="Q549"/>
    </row>
    <row r="550" spans="11:17">
      <c r="K550" s="405"/>
      <c r="Q550"/>
    </row>
    <row r="551" spans="11:17">
      <c r="K551" s="405"/>
      <c r="Q551"/>
    </row>
    <row r="552" spans="11:17">
      <c r="K552" s="405"/>
      <c r="Q552"/>
    </row>
    <row r="553" spans="11:17">
      <c r="K553" s="405"/>
      <c r="Q553"/>
    </row>
    <row r="554" spans="11:17">
      <c r="K554" s="405"/>
      <c r="Q554"/>
    </row>
    <row r="555" spans="11:17">
      <c r="K555" s="405"/>
      <c r="Q555"/>
    </row>
    <row r="556" spans="11:17">
      <c r="K556" s="405"/>
      <c r="Q556"/>
    </row>
    <row r="557" spans="11:17">
      <c r="K557" s="405"/>
      <c r="Q557"/>
    </row>
    <row r="558" spans="11:17">
      <c r="K558" s="405"/>
      <c r="Q558"/>
    </row>
    <row r="559" spans="11:17">
      <c r="K559" s="405"/>
      <c r="Q559"/>
    </row>
    <row r="560" spans="11:17">
      <c r="K560" s="405"/>
      <c r="Q560"/>
    </row>
    <row r="561" spans="11:17">
      <c r="K561" s="405"/>
      <c r="Q561"/>
    </row>
    <row r="562" spans="11:17">
      <c r="K562" s="405"/>
      <c r="Q562"/>
    </row>
    <row r="563" spans="11:17">
      <c r="K563" s="405"/>
      <c r="Q563"/>
    </row>
    <row r="564" spans="11:17">
      <c r="K564" s="405"/>
      <c r="Q564"/>
    </row>
    <row r="565" spans="11:17">
      <c r="K565" s="405"/>
      <c r="Q565"/>
    </row>
    <row r="566" spans="11:17">
      <c r="K566" s="405"/>
      <c r="Q566"/>
    </row>
    <row r="567" spans="11:17">
      <c r="K567" s="405"/>
      <c r="Q567"/>
    </row>
    <row r="568" spans="11:17">
      <c r="K568" s="405"/>
      <c r="Q568"/>
    </row>
    <row r="569" spans="11:17">
      <c r="K569" s="405"/>
      <c r="Q569"/>
    </row>
    <row r="570" spans="11:17">
      <c r="K570" s="405"/>
      <c r="Q570"/>
    </row>
    <row r="571" spans="11:17">
      <c r="K571" s="405"/>
      <c r="Q571"/>
    </row>
    <row r="572" spans="11:17">
      <c r="K572" s="405"/>
      <c r="Q572"/>
    </row>
    <row r="573" spans="11:17">
      <c r="K573" s="405"/>
      <c r="Q573"/>
    </row>
    <row r="574" spans="11:17">
      <c r="K574" s="405"/>
      <c r="Q574"/>
    </row>
    <row r="575" spans="11:17">
      <c r="K575" s="405"/>
      <c r="Q575"/>
    </row>
    <row r="576" spans="11:17">
      <c r="K576" s="405"/>
      <c r="Q576"/>
    </row>
    <row r="577" spans="11:17">
      <c r="K577" s="405"/>
      <c r="Q577"/>
    </row>
    <row r="578" spans="11:17">
      <c r="K578" s="405"/>
      <c r="Q578"/>
    </row>
    <row r="579" spans="11:17">
      <c r="K579" s="405"/>
      <c r="Q579"/>
    </row>
    <row r="580" spans="11:17">
      <c r="K580" s="405"/>
      <c r="Q580"/>
    </row>
    <row r="581" spans="11:17">
      <c r="K581" s="405"/>
      <c r="Q581"/>
    </row>
    <row r="582" spans="11:17">
      <c r="K582" s="405"/>
      <c r="Q582"/>
    </row>
    <row r="583" spans="11:17">
      <c r="K583" s="405"/>
      <c r="Q583"/>
    </row>
    <row r="584" spans="11:17">
      <c r="K584" s="405"/>
      <c r="Q584"/>
    </row>
    <row r="585" spans="11:17">
      <c r="K585" s="405"/>
      <c r="Q585"/>
    </row>
    <row r="586" spans="11:17">
      <c r="K586" s="405"/>
      <c r="Q586"/>
    </row>
    <row r="587" spans="11:17">
      <c r="K587" s="405"/>
      <c r="Q587"/>
    </row>
    <row r="588" spans="11:17">
      <c r="K588" s="405"/>
      <c r="Q588"/>
    </row>
    <row r="589" spans="11:17">
      <c r="K589" s="405"/>
      <c r="Q589"/>
    </row>
    <row r="590" spans="11:17">
      <c r="K590" s="405"/>
      <c r="Q590"/>
    </row>
    <row r="591" spans="11:17">
      <c r="K591" s="405"/>
      <c r="Q591"/>
    </row>
    <row r="592" spans="11:17">
      <c r="K592" s="405"/>
      <c r="Q592"/>
    </row>
    <row r="593" spans="8:19">
      <c r="K593" s="405"/>
      <c r="Q593"/>
    </row>
    <row r="594" spans="8:19">
      <c r="K594" s="405"/>
      <c r="Q594"/>
    </row>
    <row r="595" spans="8:19">
      <c r="K595" s="405"/>
      <c r="Q595"/>
    </row>
    <row r="596" spans="8:19">
      <c r="K596" s="405"/>
      <c r="Q596"/>
    </row>
    <row r="597" spans="8:19">
      <c r="K597" s="405"/>
      <c r="Q597"/>
    </row>
    <row r="598" spans="8:19">
      <c r="K598" s="405"/>
      <c r="Q598"/>
    </row>
    <row r="599" spans="8:19">
      <c r="K599" s="405"/>
      <c r="Q599"/>
    </row>
    <row r="600" spans="8:19">
      <c r="K600" s="405"/>
      <c r="Q600"/>
    </row>
    <row r="601" spans="8:19">
      <c r="K601" s="405"/>
      <c r="Q601"/>
    </row>
    <row r="602" spans="8:19">
      <c r="K602" s="405"/>
      <c r="Q602"/>
    </row>
    <row r="603" spans="8:19">
      <c r="K603" s="405"/>
      <c r="Q603"/>
    </row>
    <row r="604" spans="8:19">
      <c r="K604" s="405"/>
      <c r="Q604"/>
    </row>
    <row r="605" spans="8:19">
      <c r="K605" s="405"/>
      <c r="Q605"/>
    </row>
    <row r="606" spans="8:19">
      <c r="K606" s="405"/>
      <c r="Q606"/>
    </row>
    <row r="607" spans="8:19">
      <c r="H607" s="422"/>
      <c r="I607" s="422"/>
      <c r="J607" s="422"/>
      <c r="K607" s="423"/>
      <c r="L607" s="422"/>
      <c r="M607" s="422"/>
      <c r="N607" s="422"/>
      <c r="O607" s="422"/>
      <c r="P607" s="422"/>
      <c r="Q607" s="422"/>
      <c r="R607" s="424"/>
      <c r="S607" s="422"/>
    </row>
    <row r="608" spans="8:19">
      <c r="H608" s="422"/>
      <c r="I608" s="422"/>
      <c r="J608" s="422"/>
      <c r="K608" s="422"/>
      <c r="L608" s="422"/>
      <c r="M608" s="422"/>
      <c r="N608" s="422"/>
      <c r="O608" s="422"/>
      <c r="P608" s="422"/>
      <c r="Q608" s="422"/>
      <c r="R608" s="424"/>
      <c r="S608" s="422"/>
    </row>
    <row r="609" spans="8:19">
      <c r="H609" s="422"/>
      <c r="I609" s="422"/>
      <c r="J609" s="422"/>
      <c r="K609" s="422"/>
      <c r="L609" s="422"/>
      <c r="M609" s="422"/>
      <c r="N609" s="422"/>
      <c r="O609" s="422"/>
      <c r="P609" s="422"/>
      <c r="Q609" s="422"/>
      <c r="R609" s="424"/>
      <c r="S609" s="422"/>
    </row>
    <row r="610" spans="8:19">
      <c r="Q610"/>
    </row>
    <row r="611" spans="8:19">
      <c r="Q611"/>
    </row>
    <row r="612" spans="8:19">
      <c r="Q612"/>
    </row>
    <row r="613" spans="8:19">
      <c r="Q613"/>
    </row>
    <row r="614" spans="8:19">
      <c r="Q614"/>
    </row>
    <row r="615" spans="8:19">
      <c r="Q615"/>
    </row>
    <row r="616" spans="8:19">
      <c r="Q616"/>
    </row>
    <row r="617" spans="8:19">
      <c r="Q617"/>
    </row>
    <row r="618" spans="8:19">
      <c r="Q618"/>
    </row>
    <row r="619" spans="8:19">
      <c r="Q619"/>
    </row>
    <row r="620" spans="8:19">
      <c r="Q620"/>
    </row>
    <row r="621" spans="8:19">
      <c r="Q621"/>
    </row>
    <row r="622" spans="8:19">
      <c r="Q622"/>
    </row>
    <row r="623" spans="8:19">
      <c r="Q623"/>
    </row>
    <row r="624" spans="8:19">
      <c r="Q624"/>
    </row>
    <row r="625" spans="17:17">
      <c r="Q625"/>
    </row>
    <row r="626" spans="17:17">
      <c r="Q626"/>
    </row>
    <row r="627" spans="17:17">
      <c r="Q627"/>
    </row>
    <row r="628" spans="17:17">
      <c r="Q628"/>
    </row>
    <row r="629" spans="17:17">
      <c r="Q629"/>
    </row>
    <row r="630" spans="17:17">
      <c r="Q630"/>
    </row>
    <row r="631" spans="17:17">
      <c r="Q631"/>
    </row>
    <row r="632" spans="17:17">
      <c r="Q632"/>
    </row>
    <row r="633" spans="17:17">
      <c r="Q633"/>
    </row>
    <row r="634" spans="17:17">
      <c r="Q634"/>
    </row>
    <row r="635" spans="17:17">
      <c r="Q635"/>
    </row>
    <row r="636" spans="17:17">
      <c r="Q636"/>
    </row>
    <row r="637" spans="17:17">
      <c r="Q637"/>
    </row>
    <row r="638" spans="17:17">
      <c r="Q638"/>
    </row>
    <row r="639" spans="17:17">
      <c r="Q639"/>
    </row>
    <row r="640" spans="17:17">
      <c r="Q640"/>
    </row>
    <row r="641" spans="17:17">
      <c r="Q641"/>
    </row>
    <row r="642" spans="17:17">
      <c r="Q642"/>
    </row>
    <row r="643" spans="17:17">
      <c r="Q643"/>
    </row>
    <row r="644" spans="17:17">
      <c r="Q644"/>
    </row>
    <row r="645" spans="17:17">
      <c r="Q645"/>
    </row>
    <row r="646" spans="17:17">
      <c r="Q646"/>
    </row>
    <row r="647" spans="17:17">
      <c r="Q647"/>
    </row>
    <row r="648" spans="17:17">
      <c r="Q648"/>
    </row>
    <row r="649" spans="17:17">
      <c r="Q649"/>
    </row>
    <row r="650" spans="17:17">
      <c r="Q650"/>
    </row>
    <row r="651" spans="17:17">
      <c r="Q651"/>
    </row>
    <row r="652" spans="17:17">
      <c r="Q652"/>
    </row>
    <row r="653" spans="17:17">
      <c r="Q653"/>
    </row>
    <row r="654" spans="17:17">
      <c r="Q654"/>
    </row>
    <row r="655" spans="17:17">
      <c r="Q655"/>
    </row>
    <row r="656" spans="17:17">
      <c r="Q656"/>
    </row>
    <row r="657" spans="17:17">
      <c r="Q657"/>
    </row>
    <row r="658" spans="17:17">
      <c r="Q658"/>
    </row>
    <row r="659" spans="17:17">
      <c r="Q659"/>
    </row>
    <row r="660" spans="17:17">
      <c r="Q660"/>
    </row>
    <row r="661" spans="17:17">
      <c r="Q661"/>
    </row>
    <row r="662" spans="17:17">
      <c r="Q662"/>
    </row>
    <row r="663" spans="17:17">
      <c r="Q663"/>
    </row>
    <row r="664" spans="17:17">
      <c r="Q664"/>
    </row>
    <row r="665" spans="17:17">
      <c r="Q665"/>
    </row>
    <row r="666" spans="17:17">
      <c r="Q666"/>
    </row>
    <row r="667" spans="17:17">
      <c r="Q667"/>
    </row>
    <row r="668" spans="17:17">
      <c r="Q668"/>
    </row>
    <row r="669" spans="17:17">
      <c r="Q669"/>
    </row>
    <row r="670" spans="17:17">
      <c r="Q670"/>
    </row>
    <row r="671" spans="17:17">
      <c r="Q671"/>
    </row>
    <row r="672" spans="17:17">
      <c r="Q672"/>
    </row>
    <row r="673" spans="17:17">
      <c r="Q673"/>
    </row>
    <row r="674" spans="17:17">
      <c r="Q674"/>
    </row>
    <row r="675" spans="17:17">
      <c r="Q675"/>
    </row>
    <row r="676" spans="17:17">
      <c r="Q676"/>
    </row>
    <row r="677" spans="17:17">
      <c r="Q677"/>
    </row>
    <row r="678" spans="17:17">
      <c r="Q678"/>
    </row>
    <row r="679" spans="17:17">
      <c r="Q679"/>
    </row>
    <row r="680" spans="17:17">
      <c r="Q680"/>
    </row>
    <row r="681" spans="17:17">
      <c r="Q681"/>
    </row>
    <row r="682" spans="17:17">
      <c r="Q682"/>
    </row>
    <row r="683" spans="17:17">
      <c r="Q683"/>
    </row>
    <row r="684" spans="17:17">
      <c r="Q684"/>
    </row>
    <row r="685" spans="17:17">
      <c r="Q685"/>
    </row>
    <row r="686" spans="17:17">
      <c r="Q686"/>
    </row>
    <row r="687" spans="17:17">
      <c r="Q687"/>
    </row>
    <row r="688" spans="17:17">
      <c r="Q688"/>
    </row>
    <row r="689" spans="17:17">
      <c r="Q689"/>
    </row>
    <row r="690" spans="17:17">
      <c r="Q690"/>
    </row>
    <row r="691" spans="17:17">
      <c r="Q691"/>
    </row>
    <row r="692" spans="17:17">
      <c r="Q692"/>
    </row>
    <row r="693" spans="17:17">
      <c r="Q693"/>
    </row>
    <row r="694" spans="17:17">
      <c r="Q694"/>
    </row>
    <row r="695" spans="17:17">
      <c r="Q695"/>
    </row>
    <row r="696" spans="17:17">
      <c r="Q696"/>
    </row>
    <row r="697" spans="17:17">
      <c r="Q697"/>
    </row>
    <row r="698" spans="17:17">
      <c r="Q698"/>
    </row>
    <row r="699" spans="17:17">
      <c r="Q699"/>
    </row>
    <row r="700" spans="17:17">
      <c r="Q700"/>
    </row>
    <row r="701" spans="17:17">
      <c r="Q701"/>
    </row>
    <row r="702" spans="17:17">
      <c r="Q702"/>
    </row>
    <row r="703" spans="17:17">
      <c r="Q703"/>
    </row>
    <row r="704" spans="17:17">
      <c r="Q704"/>
    </row>
    <row r="705" spans="17:17">
      <c r="Q705"/>
    </row>
    <row r="706" spans="17:17">
      <c r="Q706"/>
    </row>
    <row r="707" spans="17:17">
      <c r="Q707"/>
    </row>
    <row r="708" spans="17:17">
      <c r="Q708"/>
    </row>
    <row r="709" spans="17:17">
      <c r="Q709"/>
    </row>
    <row r="710" spans="17:17">
      <c r="Q710"/>
    </row>
    <row r="711" spans="17:17">
      <c r="Q711"/>
    </row>
    <row r="712" spans="17:17">
      <c r="Q712"/>
    </row>
    <row r="713" spans="17:17">
      <c r="Q713"/>
    </row>
    <row r="714" spans="17:17">
      <c r="Q714"/>
    </row>
    <row r="715" spans="17:17">
      <c r="Q715"/>
    </row>
    <row r="716" spans="17:17">
      <c r="Q716"/>
    </row>
    <row r="717" spans="17:17">
      <c r="Q717"/>
    </row>
    <row r="718" spans="17:17">
      <c r="Q718"/>
    </row>
    <row r="719" spans="17:17">
      <c r="Q719"/>
    </row>
    <row r="720" spans="17:17">
      <c r="Q720"/>
    </row>
    <row r="721" spans="17:17">
      <c r="Q721"/>
    </row>
    <row r="722" spans="17:17">
      <c r="Q722"/>
    </row>
    <row r="723" spans="17:17">
      <c r="Q723"/>
    </row>
    <row r="724" spans="17:17">
      <c r="Q724"/>
    </row>
    <row r="725" spans="17:17">
      <c r="Q725"/>
    </row>
    <row r="726" spans="17:17">
      <c r="Q726"/>
    </row>
    <row r="727" spans="17:17">
      <c r="Q727"/>
    </row>
    <row r="728" spans="17:17">
      <c r="Q728"/>
    </row>
    <row r="729" spans="17:17">
      <c r="Q729"/>
    </row>
    <row r="730" spans="17:17">
      <c r="Q730"/>
    </row>
    <row r="731" spans="17:17">
      <c r="Q731"/>
    </row>
    <row r="732" spans="17:17">
      <c r="Q732"/>
    </row>
    <row r="733" spans="17:17">
      <c r="Q733"/>
    </row>
    <row r="734" spans="17:17">
      <c r="Q734"/>
    </row>
    <row r="735" spans="17:17">
      <c r="Q735"/>
    </row>
    <row r="736" spans="17:17">
      <c r="Q736"/>
    </row>
    <row r="737" spans="17:17">
      <c r="Q737"/>
    </row>
    <row r="738" spans="17:17">
      <c r="Q738"/>
    </row>
    <row r="739" spans="17:17">
      <c r="Q739"/>
    </row>
    <row r="740" spans="17:17">
      <c r="Q740"/>
    </row>
    <row r="741" spans="17:17">
      <c r="Q741"/>
    </row>
    <row r="742" spans="17:17">
      <c r="Q742"/>
    </row>
    <row r="743" spans="17:17">
      <c r="Q743"/>
    </row>
    <row r="744" spans="17:17">
      <c r="Q744"/>
    </row>
    <row r="745" spans="17:17">
      <c r="Q745"/>
    </row>
    <row r="746" spans="17:17">
      <c r="Q746"/>
    </row>
    <row r="747" spans="17:17">
      <c r="Q747"/>
    </row>
    <row r="748" spans="17:17">
      <c r="Q748"/>
    </row>
    <row r="749" spans="17:17">
      <c r="Q749"/>
    </row>
    <row r="750" spans="17:17">
      <c r="Q750"/>
    </row>
    <row r="751" spans="17:17">
      <c r="Q751"/>
    </row>
    <row r="752" spans="17:17">
      <c r="Q752"/>
    </row>
    <row r="753" spans="17:17">
      <c r="Q753"/>
    </row>
    <row r="754" spans="17:17">
      <c r="Q754"/>
    </row>
    <row r="755" spans="17:17">
      <c r="Q755"/>
    </row>
    <row r="756" spans="17:17">
      <c r="Q756"/>
    </row>
    <row r="757" spans="17:17">
      <c r="Q757"/>
    </row>
    <row r="758" spans="17:17">
      <c r="Q758"/>
    </row>
    <row r="759" spans="17:17">
      <c r="Q759"/>
    </row>
    <row r="760" spans="17:17">
      <c r="Q760"/>
    </row>
    <row r="761" spans="17:17">
      <c r="Q761"/>
    </row>
    <row r="762" spans="17:17">
      <c r="Q762"/>
    </row>
    <row r="763" spans="17:17">
      <c r="Q763"/>
    </row>
    <row r="764" spans="17:17">
      <c r="Q764"/>
    </row>
    <row r="765" spans="17:17">
      <c r="Q765"/>
    </row>
    <row r="766" spans="17:17">
      <c r="Q766"/>
    </row>
    <row r="767" spans="17:17">
      <c r="Q767"/>
    </row>
    <row r="768" spans="17:17">
      <c r="Q768"/>
    </row>
    <row r="769" spans="17:17">
      <c r="Q769"/>
    </row>
    <row r="770" spans="17:17">
      <c r="Q770"/>
    </row>
    <row r="771" spans="17:17">
      <c r="Q771"/>
    </row>
    <row r="772" spans="17:17">
      <c r="Q772"/>
    </row>
    <row r="773" spans="17:17">
      <c r="Q773"/>
    </row>
    <row r="774" spans="17:17">
      <c r="Q774"/>
    </row>
    <row r="775" spans="17:17">
      <c r="Q775"/>
    </row>
    <row r="776" spans="17:17">
      <c r="Q776"/>
    </row>
    <row r="777" spans="17:17">
      <c r="Q777"/>
    </row>
    <row r="778" spans="17:17">
      <c r="Q778"/>
    </row>
    <row r="779" spans="17:17">
      <c r="Q779"/>
    </row>
    <row r="780" spans="17:17">
      <c r="Q780"/>
    </row>
    <row r="781" spans="17:17">
      <c r="Q781"/>
    </row>
    <row r="782" spans="17:17">
      <c r="Q782"/>
    </row>
    <row r="783" spans="17:17">
      <c r="Q783"/>
    </row>
    <row r="784" spans="17:17">
      <c r="Q784"/>
    </row>
    <row r="785" spans="17:17">
      <c r="Q785"/>
    </row>
    <row r="786" spans="17:17">
      <c r="Q786"/>
    </row>
    <row r="787" spans="17:17">
      <c r="Q787"/>
    </row>
    <row r="788" spans="17:17">
      <c r="Q788"/>
    </row>
    <row r="789" spans="17:17">
      <c r="Q789"/>
    </row>
    <row r="790" spans="17:17">
      <c r="Q790"/>
    </row>
    <row r="791" spans="17:17">
      <c r="Q791"/>
    </row>
    <row r="792" spans="17:17">
      <c r="Q792"/>
    </row>
    <row r="793" spans="17:17">
      <c r="Q793"/>
    </row>
    <row r="794" spans="17:17">
      <c r="Q794"/>
    </row>
    <row r="795" spans="17:17">
      <c r="Q795"/>
    </row>
    <row r="796" spans="17:17">
      <c r="Q796"/>
    </row>
    <row r="797" spans="17:17">
      <c r="Q797"/>
    </row>
    <row r="798" spans="17:17">
      <c r="Q798"/>
    </row>
    <row r="799" spans="17:17">
      <c r="Q799"/>
    </row>
    <row r="800" spans="17:17">
      <c r="Q800"/>
    </row>
    <row r="801" spans="17:17">
      <c r="Q801"/>
    </row>
    <row r="802" spans="17:17">
      <c r="Q802"/>
    </row>
    <row r="803" spans="17:17">
      <c r="Q803"/>
    </row>
    <row r="804" spans="17:17">
      <c r="Q804"/>
    </row>
    <row r="805" spans="17:17">
      <c r="Q805"/>
    </row>
    <row r="806" spans="17:17">
      <c r="Q806"/>
    </row>
    <row r="807" spans="17:17">
      <c r="Q807"/>
    </row>
    <row r="808" spans="17:17">
      <c r="Q808"/>
    </row>
    <row r="809" spans="17:17">
      <c r="Q809"/>
    </row>
    <row r="810" spans="17:17">
      <c r="Q810"/>
    </row>
    <row r="811" spans="17:17">
      <c r="Q811"/>
    </row>
    <row r="812" spans="17:17">
      <c r="Q812"/>
    </row>
    <row r="813" spans="17:17">
      <c r="Q813"/>
    </row>
    <row r="814" spans="17:17">
      <c r="Q814"/>
    </row>
    <row r="815" spans="17:17">
      <c r="Q815"/>
    </row>
    <row r="816" spans="17:17">
      <c r="Q816"/>
    </row>
    <row r="817" spans="17:17">
      <c r="Q817"/>
    </row>
    <row r="818" spans="17:17">
      <c r="Q818"/>
    </row>
    <row r="819" spans="17:17">
      <c r="Q819"/>
    </row>
    <row r="820" spans="17:17">
      <c r="Q820"/>
    </row>
    <row r="821" spans="17:17">
      <c r="Q821"/>
    </row>
    <row r="822" spans="17:17">
      <c r="Q822"/>
    </row>
    <row r="823" spans="17:17">
      <c r="Q823"/>
    </row>
    <row r="824" spans="17:17">
      <c r="Q824"/>
    </row>
    <row r="825" spans="17:17">
      <c r="Q825"/>
    </row>
    <row r="826" spans="17:17">
      <c r="Q826"/>
    </row>
    <row r="827" spans="17:17">
      <c r="Q827"/>
    </row>
    <row r="828" spans="17:17">
      <c r="Q828"/>
    </row>
    <row r="829" spans="17:17">
      <c r="Q829"/>
    </row>
    <row r="830" spans="17:17">
      <c r="Q830"/>
    </row>
    <row r="831" spans="17:17">
      <c r="Q831"/>
    </row>
    <row r="832" spans="17:17">
      <c r="Q832"/>
    </row>
    <row r="833" spans="17:17">
      <c r="Q833"/>
    </row>
    <row r="834" spans="17:17">
      <c r="Q834"/>
    </row>
    <row r="835" spans="17:17">
      <c r="Q835"/>
    </row>
    <row r="836" spans="17:17">
      <c r="Q836"/>
    </row>
    <row r="837" spans="17:17">
      <c r="Q837"/>
    </row>
    <row r="838" spans="17:17">
      <c r="Q838"/>
    </row>
    <row r="839" spans="17:17">
      <c r="Q839"/>
    </row>
    <row r="840" spans="17:17">
      <c r="Q840"/>
    </row>
    <row r="841" spans="17:17">
      <c r="Q841"/>
    </row>
    <row r="842" spans="17:17">
      <c r="Q842"/>
    </row>
    <row r="843" spans="17:17">
      <c r="Q843"/>
    </row>
    <row r="844" spans="17:17">
      <c r="Q844"/>
    </row>
    <row r="845" spans="17:17">
      <c r="Q845"/>
    </row>
    <row r="846" spans="17:17">
      <c r="Q846"/>
    </row>
    <row r="847" spans="17:17">
      <c r="Q847"/>
    </row>
    <row r="848" spans="17:17">
      <c r="Q848"/>
    </row>
    <row r="849" spans="17:17">
      <c r="Q849"/>
    </row>
    <row r="850" spans="17:17">
      <c r="Q850"/>
    </row>
    <row r="851" spans="17:17">
      <c r="Q851"/>
    </row>
    <row r="852" spans="17:17">
      <c r="Q852"/>
    </row>
    <row r="853" spans="17:17">
      <c r="Q853"/>
    </row>
    <row r="854" spans="17:17">
      <c r="Q854"/>
    </row>
    <row r="855" spans="17:17">
      <c r="Q855"/>
    </row>
    <row r="856" spans="17:17">
      <c r="Q856"/>
    </row>
    <row r="857" spans="17:17">
      <c r="Q857"/>
    </row>
    <row r="858" spans="17:17">
      <c r="Q858"/>
    </row>
    <row r="859" spans="17:17">
      <c r="Q859"/>
    </row>
    <row r="860" spans="17:17">
      <c r="Q860"/>
    </row>
    <row r="861" spans="17:17">
      <c r="Q861"/>
    </row>
    <row r="862" spans="17:17">
      <c r="Q862"/>
    </row>
    <row r="863" spans="17:17">
      <c r="Q863"/>
    </row>
    <row r="864" spans="17:17">
      <c r="Q864"/>
    </row>
    <row r="865" spans="17:17">
      <c r="Q865"/>
    </row>
    <row r="866" spans="17:17">
      <c r="Q866"/>
    </row>
    <row r="867" spans="17:17">
      <c r="Q867"/>
    </row>
    <row r="868" spans="17:17">
      <c r="Q868"/>
    </row>
    <row r="869" spans="17:17">
      <c r="Q869"/>
    </row>
    <row r="870" spans="17:17">
      <c r="Q870"/>
    </row>
    <row r="871" spans="17:17">
      <c r="Q871"/>
    </row>
    <row r="872" spans="17:17">
      <c r="Q872"/>
    </row>
    <row r="873" spans="17:17">
      <c r="Q873"/>
    </row>
    <row r="874" spans="17:17">
      <c r="Q874"/>
    </row>
    <row r="875" spans="17:17">
      <c r="Q875"/>
    </row>
    <row r="876" spans="17:17">
      <c r="Q876"/>
    </row>
    <row r="877" spans="17:17">
      <c r="Q877"/>
    </row>
    <row r="878" spans="17:17">
      <c r="Q878"/>
    </row>
    <row r="879" spans="17:17">
      <c r="Q879"/>
    </row>
    <row r="880" spans="17:17">
      <c r="Q880"/>
    </row>
    <row r="881" spans="17:17">
      <c r="Q881"/>
    </row>
    <row r="882" spans="17:17">
      <c r="Q882"/>
    </row>
    <row r="883" spans="17:17">
      <c r="Q883"/>
    </row>
    <row r="884" spans="17:17">
      <c r="Q884"/>
    </row>
    <row r="885" spans="17:17">
      <c r="Q885"/>
    </row>
    <row r="886" spans="17:17">
      <c r="Q886"/>
    </row>
    <row r="887" spans="17:17">
      <c r="Q887"/>
    </row>
    <row r="888" spans="17:17">
      <c r="Q888"/>
    </row>
    <row r="889" spans="17:17">
      <c r="Q889"/>
    </row>
    <row r="890" spans="17:17">
      <c r="Q890"/>
    </row>
    <row r="891" spans="17:17">
      <c r="Q891"/>
    </row>
    <row r="892" spans="17:17">
      <c r="Q892"/>
    </row>
    <row r="893" spans="17:17">
      <c r="Q893"/>
    </row>
    <row r="894" spans="17:17">
      <c r="Q894"/>
    </row>
    <row r="895" spans="17:17">
      <c r="Q895"/>
    </row>
    <row r="896" spans="17:17">
      <c r="Q896"/>
    </row>
    <row r="897" spans="17:17">
      <c r="Q897"/>
    </row>
    <row r="898" spans="17:17">
      <c r="Q898"/>
    </row>
    <row r="899" spans="17:17">
      <c r="Q899"/>
    </row>
  </sheetData>
  <autoFilter ref="Q1:Q897"/>
  <conditionalFormatting sqref="H8">
    <cfRule type="expression" dxfId="3" priority="22">
      <formula>#REF!="Estimation"</formula>
    </cfRule>
  </conditionalFormatting>
  <conditionalFormatting sqref="H8">
    <cfRule type="expression" dxfId="2" priority="21">
      <formula>#REF!=""</formula>
    </cfRule>
  </conditionalFormatting>
  <conditionalFormatting sqref="R3:R4 T3:T4 H3:O4 C3:F4 A1:B4">
    <cfRule type="expression" dxfId="1" priority="18">
      <formula>#REF!="Estimation"</formula>
    </cfRule>
  </conditionalFormatting>
  <conditionalFormatting sqref="R3:R4 T3:T4 H3:O4 C3:F4 A1:B4">
    <cfRule type="expression" dxfId="0" priority="17">
      <formula>#REF!=""</formula>
    </cfRule>
  </conditionalFormatting>
  <pageMargins left="0.7" right="0.7" top="0.75" bottom="0.75" header="0.3" footer="0.3"/>
  <pageSetup paperSize="9" orientation="portrait" r:id="rId1"/>
  <headerFooter>
    <oddFooter>&amp;L&amp;1#&amp;"Calibri"&amp;10&amp;KC8DE09Diffusable SNCF RESEAU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| BdF | Créat. &amp; Estim MJ 2.134</vt:lpstr>
      <vt:lpstr>| BdF | NbTirs recevables 2.134</vt:lpstr>
      <vt:lpstr>| Duel |  Créat. &amp; Estim. Build</vt:lpstr>
      <vt:lpstr>| BdF | Créat. &amp; Estim. BuildAF</vt:lpstr>
      <vt:lpstr>| BdF | Nb Tirs recevablesAF</vt:lpstr>
      <vt:lpstr>| Vitesse |Formule</vt:lpstr>
      <vt:lpstr>Régénération PR &amp; PV </vt:lpstr>
      <vt:lpstr>Construction</vt:lpstr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Karine JACQUOT</cp:lastModifiedBy>
  <dcterms:created xsi:type="dcterms:W3CDTF">2018-09-21T15:08:05Z</dcterms:created>
  <dcterms:modified xsi:type="dcterms:W3CDTF">2022-03-03T15:41:49Z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9e70aa-b794-428e-ae05-c8e685f68258_Enabled">
    <vt:lpwstr>true</vt:lpwstr>
  </property>
  <property fmtid="{D5CDD505-2E9C-101B-9397-08002B2CF9AE}" pid="3" name="MSIP_Label_ed9e70aa-b794-428e-ae05-c8e685f68258_SetDate">
    <vt:lpwstr>2021-02-10T21:27:34Z</vt:lpwstr>
  </property>
  <property fmtid="{D5CDD505-2E9C-101B-9397-08002B2CF9AE}" pid="4" name="MSIP_Label_ed9e70aa-b794-428e-ae05-c8e685f68258_Method">
    <vt:lpwstr>Standard</vt:lpwstr>
  </property>
  <property fmtid="{D5CDD505-2E9C-101B-9397-08002B2CF9AE}" pid="5" name="MSIP_Label_ed9e70aa-b794-428e-ae05-c8e685f68258_Name">
    <vt:lpwstr>ed9e70aa-b794-428e-ae05-c8e685f68258</vt:lpwstr>
  </property>
  <property fmtid="{D5CDD505-2E9C-101B-9397-08002B2CF9AE}" pid="6" name="MSIP_Label_ed9e70aa-b794-428e-ae05-c8e685f68258_SiteId">
    <vt:lpwstr>4a7c8238-5799-4b16-9fc6-9ad8fce5a7d9</vt:lpwstr>
  </property>
  <property fmtid="{D5CDD505-2E9C-101B-9397-08002B2CF9AE}" pid="7" name="MSIP_Label_ed9e70aa-b794-428e-ae05-c8e685f68258_ActionId">
    <vt:lpwstr>4110b309-c870-416f-8931-0eb534f66440</vt:lpwstr>
  </property>
  <property fmtid="{D5CDD505-2E9C-101B-9397-08002B2CF9AE}" pid="8" name="MSIP_Label_ed9e70aa-b794-428e-ae05-c8e685f68258_ContentBits">
    <vt:lpwstr>2</vt:lpwstr>
  </property>
</Properties>
</file>