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rentin\Documents\"/>
    </mc:Choice>
  </mc:AlternateContent>
  <xr:revisionPtr revIDLastSave="0" documentId="13_ncr:1_{3ED4B6D8-E634-47EC-8E46-B4280B8AD2D6}" xr6:coauthVersionLast="47" xr6:coauthVersionMax="47" xr10:uidLastSave="{00000000-0000-0000-0000-000000000000}"/>
  <bookViews>
    <workbookView xWindow="-108" yWindow="-108" windowWidth="23256" windowHeight="12576" tabRatio="267" xr2:uid="{00000000-000D-0000-FFFF-FFFF00000000}"/>
  </bookViews>
  <sheets>
    <sheet name="Instructions" sheetId="4" r:id="rId1"/>
    <sheet name="Equipment" sheetId="2" r:id="rId2"/>
    <sheet name="Calculator" sheetId="3" r:id="rId3"/>
  </sheets>
  <definedNames>
    <definedName name="Armor">#REF!</definedName>
  </definedNames>
  <calcPr calcId="191029"/>
</workbook>
</file>

<file path=xl/calcChain.xml><?xml version="1.0" encoding="utf-8"?>
<calcChain xmlns="http://schemas.openxmlformats.org/spreadsheetml/2006/main">
  <c r="BT42" i="2" l="1"/>
  <c r="BQ42" i="2"/>
  <c r="BT26" i="2"/>
  <c r="BQ26" i="2"/>
  <c r="BT10" i="2"/>
  <c r="BQ10" i="2"/>
  <c r="D67" i="3"/>
  <c r="BP14" i="2" s="1"/>
  <c r="F67" i="3"/>
  <c r="H66" i="3"/>
  <c r="F66" i="3"/>
  <c r="D66" i="3"/>
  <c r="BN42" i="2" s="1"/>
  <c r="H65" i="3"/>
  <c r="F65" i="3"/>
  <c r="D65" i="3"/>
  <c r="C14" i="3" a="1"/>
  <c r="D14" i="3" s="1"/>
  <c r="C44" i="3" a="1"/>
  <c r="C44" i="3" s="1"/>
  <c r="G40" i="3" a="1"/>
  <c r="I48" i="3" s="1"/>
  <c r="G53" i="3" a="1"/>
  <c r="I60" i="3" s="1"/>
  <c r="G27" i="3" a="1"/>
  <c r="I35" i="3" s="1"/>
  <c r="G14" i="3" a="1"/>
  <c r="I22" i="3" s="1"/>
  <c r="C58" i="3" a="1"/>
  <c r="C58" i="3" s="1"/>
  <c r="C31" i="3" a="1"/>
  <c r="E41" i="3" s="1"/>
  <c r="AK81" i="2" a="1"/>
  <c r="AK81" i="2" s="1"/>
  <c r="AK82" i="2" a="1"/>
  <c r="AK82" i="2" s="1"/>
  <c r="AK83" i="2" a="1"/>
  <c r="AK83" i="2" s="1"/>
  <c r="AK84" i="2" a="1"/>
  <c r="AK84" i="2" s="1"/>
  <c r="AK85" i="2" a="1"/>
  <c r="AK85" i="2" s="1"/>
  <c r="AK86" i="2" a="1"/>
  <c r="AK86" i="2" s="1"/>
  <c r="AK80" i="2" a="1"/>
  <c r="AK80" i="2" s="1"/>
  <c r="AF38" i="2" a="1"/>
  <c r="AF38" i="2" s="1"/>
  <c r="AF39" i="2" a="1"/>
  <c r="AF39" i="2" s="1"/>
  <c r="AF37" i="2" a="1"/>
  <c r="AF37" i="2" s="1"/>
  <c r="AA41" i="2" a="1"/>
  <c r="AA41" i="2" s="1"/>
  <c r="AA42" i="2" a="1"/>
  <c r="AA42" i="2" s="1"/>
  <c r="AA40" i="2" a="1"/>
  <c r="AA40" i="2" s="1"/>
  <c r="V41" i="2" a="1"/>
  <c r="V41" i="2" s="1"/>
  <c r="V42" i="2" a="1"/>
  <c r="V42" i="2" s="1"/>
  <c r="V40" i="2" a="1"/>
  <c r="V40" i="2" s="1"/>
  <c r="Q23" i="2" a="1"/>
  <c r="Q23" i="2" s="1"/>
  <c r="Q24" i="2" a="1"/>
  <c r="Q24" i="2" s="1"/>
  <c r="Q22" i="2" a="1"/>
  <c r="Q22" i="2" s="1"/>
  <c r="L50" i="2" a="1"/>
  <c r="L50" i="2" s="1"/>
  <c r="L51" i="2" a="1"/>
  <c r="L51" i="2" s="1"/>
  <c r="L49" i="2" a="1"/>
  <c r="L49" i="2" s="1"/>
  <c r="G63" i="2" a="1"/>
  <c r="G63" i="2" s="1"/>
  <c r="G64" i="2" a="1"/>
  <c r="G64" i="2" s="1"/>
  <c r="G65" i="2" a="1"/>
  <c r="G65" i="2" s="1"/>
  <c r="G62" i="2" a="1"/>
  <c r="G62" i="2" s="1"/>
  <c r="B60" i="2" a="1"/>
  <c r="B60" i="2" s="1"/>
  <c r="B59" i="2" a="1"/>
  <c r="B59" i="2" s="1"/>
  <c r="B58" i="2" a="1"/>
  <c r="B58" i="2" s="1"/>
  <c r="BX11" i="2" l="1"/>
  <c r="BX28" i="2"/>
  <c r="BX42" i="2"/>
  <c r="BX12" i="2"/>
  <c r="BX43" i="2"/>
  <c r="BX13" i="2"/>
  <c r="BX44" i="2"/>
  <c r="BX14" i="2"/>
  <c r="BX26" i="2"/>
  <c r="BX27" i="2"/>
  <c r="BX10" i="2"/>
  <c r="BX29" i="2"/>
  <c r="BW27" i="2"/>
  <c r="BW14" i="2"/>
  <c r="BW28" i="2"/>
  <c r="BW29" i="2"/>
  <c r="BW10" i="2"/>
  <c r="BW43" i="2"/>
  <c r="BW11" i="2"/>
  <c r="BW44" i="2"/>
  <c r="BW12" i="2"/>
  <c r="BW26" i="2"/>
  <c r="BW13" i="2"/>
  <c r="BW42" i="2"/>
  <c r="BL43" i="2"/>
  <c r="BL12" i="2"/>
  <c r="BL14" i="2"/>
  <c r="BL44" i="2"/>
  <c r="BL26" i="2"/>
  <c r="BL27" i="2"/>
  <c r="BL28" i="2"/>
  <c r="BL29" i="2"/>
  <c r="BL11" i="2"/>
  <c r="BL42" i="2"/>
  <c r="BL13" i="2"/>
  <c r="BL10" i="2"/>
  <c r="BN26" i="2"/>
  <c r="H67" i="3"/>
  <c r="BN10" i="2"/>
  <c r="BP28" i="2"/>
  <c r="BP43" i="2"/>
  <c r="BP42" i="2"/>
  <c r="BP44" i="2"/>
  <c r="BP27" i="2"/>
  <c r="BP29" i="2"/>
  <c r="BP26" i="2"/>
  <c r="BP10" i="2"/>
  <c r="BP11" i="2"/>
  <c r="BP12" i="2"/>
  <c r="BP13" i="2"/>
  <c r="BN12" i="2"/>
  <c r="BN13" i="2"/>
  <c r="BN27" i="2"/>
  <c r="BN14" i="2"/>
  <c r="BN28" i="2"/>
  <c r="BN29" i="2"/>
  <c r="BN43" i="2"/>
  <c r="BN11" i="2"/>
  <c r="BN44" i="2"/>
  <c r="D27" i="3"/>
  <c r="E24" i="3"/>
  <c r="C22" i="3"/>
  <c r="D19" i="3"/>
  <c r="E16" i="3"/>
  <c r="C14" i="3"/>
  <c r="C27" i="3"/>
  <c r="D24" i="3"/>
  <c r="E21" i="3"/>
  <c r="C19" i="3"/>
  <c r="D16" i="3"/>
  <c r="E26" i="3"/>
  <c r="C24" i="3"/>
  <c r="D21" i="3"/>
  <c r="E18" i="3"/>
  <c r="C16" i="3"/>
  <c r="D26" i="3"/>
  <c r="E23" i="3"/>
  <c r="C21" i="3"/>
  <c r="D18" i="3"/>
  <c r="E15" i="3"/>
  <c r="E28" i="3"/>
  <c r="C26" i="3"/>
  <c r="D23" i="3"/>
  <c r="E20" i="3"/>
  <c r="C18" i="3"/>
  <c r="D15" i="3"/>
  <c r="D28" i="3"/>
  <c r="E25" i="3"/>
  <c r="C23" i="3"/>
  <c r="D20" i="3"/>
  <c r="E17" i="3"/>
  <c r="C15" i="3"/>
  <c r="C28" i="3"/>
  <c r="D25" i="3"/>
  <c r="E22" i="3"/>
  <c r="C20" i="3"/>
  <c r="D17" i="3"/>
  <c r="E14" i="3"/>
  <c r="E27" i="3"/>
  <c r="C25" i="3"/>
  <c r="D22" i="3"/>
  <c r="E19" i="3"/>
  <c r="C17" i="3"/>
  <c r="C54" i="3"/>
  <c r="D51" i="3"/>
  <c r="E48" i="3"/>
  <c r="C46" i="3"/>
  <c r="D54" i="3"/>
  <c r="E51" i="3"/>
  <c r="C49" i="3"/>
  <c r="D46" i="3"/>
  <c r="E53" i="3"/>
  <c r="C51" i="3"/>
  <c r="D48" i="3"/>
  <c r="E45" i="3"/>
  <c r="D53" i="3"/>
  <c r="E50" i="3"/>
  <c r="C48" i="3"/>
  <c r="D45" i="3"/>
  <c r="E55" i="3"/>
  <c r="C53" i="3"/>
  <c r="D50" i="3"/>
  <c r="E47" i="3"/>
  <c r="C45" i="3"/>
  <c r="D55" i="3"/>
  <c r="E52" i="3"/>
  <c r="C50" i="3"/>
  <c r="D47" i="3"/>
  <c r="E44" i="3"/>
  <c r="C55" i="3"/>
  <c r="D52" i="3"/>
  <c r="E49" i="3"/>
  <c r="C47" i="3"/>
  <c r="D44" i="3"/>
  <c r="E54" i="3"/>
  <c r="C52" i="3"/>
  <c r="D49" i="3"/>
  <c r="E46" i="3"/>
  <c r="G41" i="3"/>
  <c r="H41" i="3"/>
  <c r="I43" i="3"/>
  <c r="G44" i="3"/>
  <c r="H46" i="3"/>
  <c r="I46" i="3"/>
  <c r="I41" i="3"/>
  <c r="H44" i="3"/>
  <c r="G47" i="3"/>
  <c r="G42" i="3"/>
  <c r="I44" i="3"/>
  <c r="H47" i="3"/>
  <c r="G40" i="3"/>
  <c r="H42" i="3"/>
  <c r="G45" i="3"/>
  <c r="I47" i="3"/>
  <c r="I42" i="3"/>
  <c r="H45" i="3"/>
  <c r="G48" i="3"/>
  <c r="H40" i="3"/>
  <c r="G43" i="3"/>
  <c r="I45" i="3"/>
  <c r="H48" i="3"/>
  <c r="I40" i="3"/>
  <c r="H43" i="3"/>
  <c r="G46" i="3"/>
  <c r="H53" i="3"/>
  <c r="G56" i="3"/>
  <c r="I58" i="3"/>
  <c r="I53" i="3"/>
  <c r="H56" i="3"/>
  <c r="G59" i="3"/>
  <c r="G54" i="3"/>
  <c r="I56" i="3"/>
  <c r="H59" i="3"/>
  <c r="I55" i="3"/>
  <c r="H58" i="3"/>
  <c r="H54" i="3"/>
  <c r="G57" i="3"/>
  <c r="I59" i="3"/>
  <c r="I54" i="3"/>
  <c r="H57" i="3"/>
  <c r="G60" i="3"/>
  <c r="G55" i="3"/>
  <c r="I57" i="3"/>
  <c r="H60" i="3"/>
  <c r="G53" i="3"/>
  <c r="H55" i="3"/>
  <c r="G58" i="3"/>
  <c r="G28" i="3"/>
  <c r="H28" i="3"/>
  <c r="I30" i="3"/>
  <c r="G31" i="3"/>
  <c r="H33" i="3"/>
  <c r="I33" i="3"/>
  <c r="G29" i="3"/>
  <c r="H34" i="3"/>
  <c r="I29" i="3"/>
  <c r="H32" i="3"/>
  <c r="G35" i="3"/>
  <c r="I28" i="3"/>
  <c r="H31" i="3"/>
  <c r="G34" i="3"/>
  <c r="I31" i="3"/>
  <c r="G27" i="3"/>
  <c r="H29" i="3"/>
  <c r="G32" i="3"/>
  <c r="I34" i="3"/>
  <c r="H27" i="3"/>
  <c r="G30" i="3"/>
  <c r="I32" i="3"/>
  <c r="H35" i="3"/>
  <c r="I27" i="3"/>
  <c r="H30" i="3"/>
  <c r="G33" i="3"/>
  <c r="H15" i="3"/>
  <c r="G18" i="3"/>
  <c r="I20" i="3"/>
  <c r="I15" i="3"/>
  <c r="H18" i="3"/>
  <c r="G21" i="3"/>
  <c r="G16" i="3"/>
  <c r="I18" i="3"/>
  <c r="H21" i="3"/>
  <c r="G14" i="3"/>
  <c r="H16" i="3"/>
  <c r="G19" i="3"/>
  <c r="I21" i="3"/>
  <c r="I16" i="3"/>
  <c r="H19" i="3"/>
  <c r="G22" i="3"/>
  <c r="H14" i="3"/>
  <c r="G17" i="3"/>
  <c r="I19" i="3"/>
  <c r="H22" i="3"/>
  <c r="G15" i="3"/>
  <c r="I17" i="3"/>
  <c r="H20" i="3"/>
  <c r="I14" i="3"/>
  <c r="H17" i="3"/>
  <c r="G20" i="3"/>
  <c r="D60" i="3"/>
  <c r="C60" i="3"/>
  <c r="E59" i="3"/>
  <c r="D59" i="3"/>
  <c r="C59" i="3"/>
  <c r="E58" i="3"/>
  <c r="D58" i="3"/>
  <c r="E60" i="3"/>
  <c r="D31" i="3"/>
  <c r="C34" i="3"/>
  <c r="E36" i="3"/>
  <c r="D39" i="3"/>
  <c r="E31" i="3"/>
  <c r="D34" i="3"/>
  <c r="C37" i="3"/>
  <c r="E39" i="3"/>
  <c r="C32" i="3"/>
  <c r="E34" i="3"/>
  <c r="D37" i="3"/>
  <c r="C40" i="3"/>
  <c r="D32" i="3"/>
  <c r="C35" i="3"/>
  <c r="E37" i="3"/>
  <c r="D40" i="3"/>
  <c r="E32" i="3"/>
  <c r="D35" i="3"/>
  <c r="C38" i="3"/>
  <c r="E40" i="3"/>
  <c r="C33" i="3"/>
  <c r="E35" i="3"/>
  <c r="D38" i="3"/>
  <c r="C41" i="3"/>
  <c r="C31" i="3"/>
  <c r="D33" i="3"/>
  <c r="C36" i="3"/>
  <c r="E38" i="3"/>
  <c r="D41" i="3"/>
  <c r="E33" i="3"/>
  <c r="D36" i="3"/>
  <c r="C39" i="3"/>
  <c r="BT29" i="2" l="1"/>
  <c r="BV29" i="2" s="1"/>
  <c r="BT28" i="2"/>
  <c r="BT27" i="2"/>
  <c r="BM44" i="2"/>
  <c r="BT44" i="2"/>
  <c r="BT13" i="2"/>
  <c r="BT14" i="2"/>
  <c r="BM42" i="2"/>
  <c r="BT12" i="2"/>
  <c r="BT11" i="2"/>
  <c r="BT43" i="2"/>
  <c r="BM12" i="2"/>
  <c r="BM11" i="2"/>
  <c r="BO10" i="2"/>
  <c r="BO42" i="2"/>
  <c r="BO44" i="2"/>
  <c r="BO43" i="2"/>
  <c r="BM43" i="2"/>
  <c r="BO29" i="2"/>
  <c r="BM29" i="2"/>
  <c r="BO28" i="2"/>
  <c r="BM28" i="2"/>
  <c r="BM26" i="2"/>
  <c r="BO26" i="2"/>
  <c r="BM27" i="2"/>
  <c r="BO27" i="2"/>
  <c r="BM10" i="2"/>
  <c r="BM14" i="2"/>
  <c r="BO14" i="2"/>
  <c r="BM13" i="2"/>
  <c r="BO13" i="2"/>
  <c r="BO12" i="2"/>
  <c r="BO11" i="2"/>
  <c r="BU29" i="2" l="1"/>
  <c r="BV43" i="2"/>
  <c r="BU43" i="2"/>
  <c r="BV44" i="2"/>
  <c r="BU44" i="2"/>
  <c r="BV42" i="2"/>
  <c r="BU42" i="2"/>
  <c r="BV27" i="2"/>
  <c r="BU27" i="2"/>
  <c r="BV26" i="2"/>
  <c r="BU26" i="2"/>
  <c r="BV28" i="2"/>
  <c r="BU28" i="2"/>
  <c r="BU14" i="2"/>
  <c r="BV14" i="2"/>
  <c r="BV13" i="2"/>
  <c r="BU13" i="2"/>
  <c r="BU10" i="2"/>
  <c r="BV10" i="2"/>
  <c r="BU11" i="2"/>
  <c r="BV11" i="2"/>
  <c r="BU12" i="2"/>
  <c r="BV12" i="2"/>
  <c r="BS42" i="2"/>
  <c r="BR42" i="2"/>
  <c r="BQ43" i="2"/>
  <c r="BQ14" i="2"/>
  <c r="BQ11" i="2"/>
  <c r="BQ28" i="2"/>
  <c r="BQ29" i="2"/>
  <c r="BQ27" i="2"/>
  <c r="BQ13" i="2"/>
  <c r="BQ12" i="2"/>
  <c r="BQ44" i="2"/>
  <c r="BR29" i="2" l="1"/>
  <c r="BS29" i="2"/>
  <c r="BS11" i="2"/>
  <c r="BR11" i="2"/>
  <c r="BS12" i="2"/>
  <c r="BR12" i="2"/>
  <c r="BS43" i="2"/>
  <c r="BR43" i="2"/>
  <c r="BR28" i="2"/>
  <c r="BS28" i="2"/>
  <c r="BS14" i="2"/>
  <c r="BR14" i="2"/>
  <c r="BR27" i="2"/>
  <c r="BS27" i="2"/>
  <c r="BS10" i="2"/>
  <c r="BR10" i="2"/>
  <c r="BS44" i="2"/>
  <c r="BR44" i="2"/>
  <c r="BS13" i="2"/>
  <c r="BR13" i="2"/>
  <c r="BS26" i="2"/>
  <c r="BR26" i="2"/>
  <c r="C76" i="3" s="1" a="1"/>
  <c r="C76" i="3" l="1"/>
  <c r="F77" i="3"/>
  <c r="M77" i="3"/>
  <c r="H78" i="3"/>
  <c r="C79" i="3"/>
  <c r="J79" i="3"/>
  <c r="E80" i="3"/>
  <c r="L80" i="3"/>
  <c r="G81" i="3"/>
  <c r="N81" i="3"/>
  <c r="J76" i="3"/>
  <c r="E77" i="3"/>
  <c r="L77" i="3"/>
  <c r="G78" i="3"/>
  <c r="N78" i="3"/>
  <c r="I79" i="3"/>
  <c r="D80" i="3"/>
  <c r="K80" i="3"/>
  <c r="F81" i="3"/>
  <c r="M81" i="3"/>
  <c r="I76" i="3"/>
  <c r="D77" i="3"/>
  <c r="K77" i="3"/>
  <c r="F78" i="3"/>
  <c r="M78" i="3"/>
  <c r="H79" i="3"/>
  <c r="C80" i="3"/>
  <c r="J80" i="3"/>
  <c r="E81" i="3"/>
  <c r="L81" i="3"/>
  <c r="H76" i="3"/>
  <c r="C77" i="3"/>
  <c r="J77" i="3"/>
  <c r="E78" i="3"/>
  <c r="L78" i="3"/>
  <c r="G79" i="3"/>
  <c r="N79" i="3"/>
  <c r="I80" i="3"/>
  <c r="D81" i="3"/>
  <c r="K81" i="3"/>
  <c r="G76" i="3"/>
  <c r="N76" i="3"/>
  <c r="I77" i="3"/>
  <c r="D78" i="3"/>
  <c r="K78" i="3"/>
  <c r="F79" i="3"/>
  <c r="M79" i="3"/>
  <c r="H80" i="3"/>
  <c r="C81" i="3"/>
  <c r="J81" i="3"/>
  <c r="F76" i="3"/>
  <c r="M76" i="3"/>
  <c r="H77" i="3"/>
  <c r="C78" i="3"/>
  <c r="J78" i="3"/>
  <c r="E79" i="3"/>
  <c r="L79" i="3"/>
  <c r="G80" i="3"/>
  <c r="N80" i="3"/>
  <c r="I81" i="3"/>
  <c r="E76" i="3"/>
  <c r="L76" i="3"/>
  <c r="G77" i="3"/>
  <c r="N77" i="3"/>
  <c r="I78" i="3"/>
  <c r="D79" i="3"/>
  <c r="K79" i="3"/>
  <c r="F80" i="3"/>
  <c r="M80" i="3"/>
  <c r="H81" i="3"/>
  <c r="D76" i="3"/>
  <c r="K76" i="3"/>
</calcChain>
</file>

<file path=xl/sharedStrings.xml><?xml version="1.0" encoding="utf-8"?>
<sst xmlns="http://schemas.openxmlformats.org/spreadsheetml/2006/main" count="745" uniqueCount="174">
  <si>
    <t>CD</t>
  </si>
  <si>
    <t>CR</t>
  </si>
  <si>
    <t>HP</t>
  </si>
  <si>
    <t>Posture</t>
  </si>
  <si>
    <t>Dodge</t>
  </si>
  <si>
    <t>AS</t>
  </si>
  <si>
    <t>ATK</t>
  </si>
  <si>
    <t>Posture Dmg</t>
  </si>
  <si>
    <t>CF Dmg</t>
  </si>
  <si>
    <t>HP below 40% Dmg reduction</t>
  </si>
  <si>
    <t>Additional HP on healing</t>
  </si>
  <si>
    <t>Gold increase</t>
  </si>
  <si>
    <t>HP restoration on kill</t>
  </si>
  <si>
    <t>HP restoration on stunned enemies</t>
  </si>
  <si>
    <t>Shura Sword</t>
  </si>
  <si>
    <t>Crescent Moon Blade</t>
  </si>
  <si>
    <t>Shinobi Stealth Suit</t>
  </si>
  <si>
    <t>Vagabond Tunic</t>
  </si>
  <si>
    <t>Samurai's Hakama</t>
  </si>
  <si>
    <t>Warrior Armor</t>
  </si>
  <si>
    <t>Inferno Necklace</t>
  </si>
  <si>
    <t>Full Moon Necklace</t>
  </si>
  <si>
    <t>Wave Necklace</t>
  </si>
  <si>
    <t>Scarlet Belt</t>
  </si>
  <si>
    <t>Amber Belt</t>
  </si>
  <si>
    <t>Blue Belt</t>
  </si>
  <si>
    <t>Red Phoenix Ring</t>
  </si>
  <si>
    <t>White Tiger Ring</t>
  </si>
  <si>
    <t>Blue Dragon Ring</t>
  </si>
  <si>
    <t>Swallowtail Fan</t>
  </si>
  <si>
    <t>Apricot Flower Fan</t>
  </si>
  <si>
    <t>Bamboo Fan</t>
  </si>
  <si>
    <t>Dog Collar</t>
  </si>
  <si>
    <t>Much Dog Such Collar</t>
  </si>
  <si>
    <t>Cat Belt</t>
  </si>
  <si>
    <t>Panda</t>
  </si>
  <si>
    <t>Falcon Glove</t>
  </si>
  <si>
    <t>Crow Horn</t>
  </si>
  <si>
    <t>1st hit 59%</t>
  </si>
  <si>
    <t>2nd hit 67%</t>
  </si>
  <si>
    <t>3rd hit 69%</t>
  </si>
  <si>
    <t>4th hit 88%</t>
  </si>
  <si>
    <t>5th hit 102%</t>
  </si>
  <si>
    <t>Dmg</t>
  </si>
  <si>
    <t>Crit hit</t>
  </si>
  <si>
    <t>Average Dmg</t>
  </si>
  <si>
    <t>Atk time</t>
  </si>
  <si>
    <t>Whirlwind Twin Swords</t>
  </si>
  <si>
    <t>Weapon List</t>
  </si>
  <si>
    <t>Armor List</t>
  </si>
  <si>
    <t>5,5-10%</t>
  </si>
  <si>
    <t>13,8-25%</t>
  </si>
  <si>
    <t>16,5-30%</t>
  </si>
  <si>
    <t>Last combo attack Dmg</t>
  </si>
  <si>
    <t xml:space="preserve">First attack CR </t>
  </si>
  <si>
    <t>Skill Dmg</t>
  </si>
  <si>
    <t>11-20%</t>
  </si>
  <si>
    <t>HP&gt;80% Dmg</t>
  </si>
  <si>
    <t>8,3-15%</t>
  </si>
  <si>
    <t>HP&lt;30% Dmg</t>
  </si>
  <si>
    <t>13,2-24%</t>
  </si>
  <si>
    <t xml:space="preserve">AS </t>
  </si>
  <si>
    <t>3,3-6%</t>
  </si>
  <si>
    <t>Dmg reduction</t>
  </si>
  <si>
    <t>7,7-14%</t>
  </si>
  <si>
    <t>9,9-18%</t>
  </si>
  <si>
    <t>Posture Dmg reduction</t>
  </si>
  <si>
    <t>Normal enemy Dmg reduction</t>
  </si>
  <si>
    <t>Strong enemy Dmg reduction</t>
  </si>
  <si>
    <t>Orb healing effect</t>
  </si>
  <si>
    <t>Ranged Atk Dmg reduction</t>
  </si>
  <si>
    <t>Parrying Posture Dmg</t>
  </si>
  <si>
    <t>27,5-50%</t>
  </si>
  <si>
    <t>Special Atk Dmg reduction</t>
  </si>
  <si>
    <t>Heavy Atk Dmg reduction</t>
  </si>
  <si>
    <t>AS first 5sec</t>
  </si>
  <si>
    <t>CR first 5sec</t>
  </si>
  <si>
    <t>Dmg reduction first 5 sec</t>
  </si>
  <si>
    <t>4,4-8%</t>
  </si>
  <si>
    <t>Enemy Stun duration</t>
  </si>
  <si>
    <t>0,5-0,9 sec</t>
  </si>
  <si>
    <t>Skill gauge charge rate</t>
  </si>
  <si>
    <t>2,8-5%</t>
  </si>
  <si>
    <t>Neklace List</t>
  </si>
  <si>
    <t>Belt List</t>
  </si>
  <si>
    <t>Ring 1 List</t>
  </si>
  <si>
    <t>Ring 2 List</t>
  </si>
  <si>
    <t>Fan List</t>
  </si>
  <si>
    <t>CR increase 3sec after CF</t>
  </si>
  <si>
    <t>Dmg increased by 2% of HP</t>
  </si>
  <si>
    <t>Victory collar</t>
  </si>
  <si>
    <t>Pet List</t>
  </si>
  <si>
    <t>WEAPONS</t>
  </si>
  <si>
    <t>ARMOR</t>
  </si>
  <si>
    <t>NECKLACE</t>
  </si>
  <si>
    <t>BELT</t>
  </si>
  <si>
    <t>RING 1</t>
  </si>
  <si>
    <t>RING 2</t>
  </si>
  <si>
    <t>FAN</t>
  </si>
  <si>
    <t>PET</t>
  </si>
  <si>
    <t>EQUIPMENT</t>
  </si>
  <si>
    <t>TRAINING</t>
  </si>
  <si>
    <t>TAIJUTSU</t>
  </si>
  <si>
    <t>1st hit 71%</t>
  </si>
  <si>
    <t>2nd hit 76%</t>
  </si>
  <si>
    <t>3rd hit 78%</t>
  </si>
  <si>
    <t>4th hit 107%</t>
  </si>
  <si>
    <t>1st hit 97%</t>
  </si>
  <si>
    <t>2nd hit 133%</t>
  </si>
  <si>
    <t>3rd hit 153%</t>
  </si>
  <si>
    <t>None</t>
  </si>
  <si>
    <t>ATK (Whirlwind Twin Swords)</t>
  </si>
  <si>
    <t>ATK (Shura Sword)</t>
  </si>
  <si>
    <t>ATK (Crescent Moon Blade)</t>
  </si>
  <si>
    <t>AS (Shinobi Stealth Suit)</t>
  </si>
  <si>
    <t>AS (Vagabond Tunic)</t>
  </si>
  <si>
    <t>AS (Samurai's Hakama)</t>
  </si>
  <si>
    <t>AS (Warrior Armor)</t>
  </si>
  <si>
    <t>CD (Shinobi Stealth Suit)</t>
  </si>
  <si>
    <t>CR (Shinobi Stealth Suit)</t>
  </si>
  <si>
    <t>CD (Vagabond Tunic)</t>
  </si>
  <si>
    <t>CR (Vagabond Tunic)</t>
  </si>
  <si>
    <t>CD (Samurai's Hakama)</t>
  </si>
  <si>
    <t>CR (Samurai's Hakama)</t>
  </si>
  <si>
    <t>CR (Warrior Armor)</t>
  </si>
  <si>
    <t>CD (Warrior Armor)</t>
  </si>
  <si>
    <t>CD %</t>
  </si>
  <si>
    <t>CR %</t>
  </si>
  <si>
    <t>Dodge %</t>
  </si>
  <si>
    <t>AS %</t>
  </si>
  <si>
    <t>Cumulated DPS</t>
  </si>
  <si>
    <t>(Improvable)</t>
  </si>
  <si>
    <t>Instant kill chance below 50%hp</t>
  </si>
  <si>
    <t>Time Distortion duration</t>
  </si>
  <si>
    <t>0,88-2 sec</t>
  </si>
  <si>
    <t>CF Dmg during Concentration</t>
  </si>
  <si>
    <t>15-30%</t>
  </si>
  <si>
    <t>AS during Annihilation</t>
  </si>
  <si>
    <t>8,8-20%</t>
  </si>
  <si>
    <t>%</t>
  </si>
  <si>
    <t>STATS</t>
  </si>
  <si>
    <t>CF Dmg %</t>
  </si>
  <si>
    <t>CF Dmg (Value)</t>
  </si>
  <si>
    <t>Reckless dash</t>
  </si>
  <si>
    <t>Yes</t>
  </si>
  <si>
    <t>No</t>
  </si>
  <si>
    <t>IN GAME DMG</t>
  </si>
  <si>
    <t>ATK %</t>
  </si>
  <si>
    <t>HP %</t>
  </si>
  <si>
    <t>Posture %</t>
  </si>
  <si>
    <t>Abreviations:</t>
  </si>
  <si>
    <t>Attack</t>
  </si>
  <si>
    <t>Heath Points</t>
  </si>
  <si>
    <t>Critical Rate</t>
  </si>
  <si>
    <t>Critical Damage</t>
  </si>
  <si>
    <t>DMG</t>
  </si>
  <si>
    <t>Damage</t>
  </si>
  <si>
    <t>CF</t>
  </si>
  <si>
    <t>Counter Flash</t>
  </si>
  <si>
    <t>Attack Speed</t>
  </si>
  <si>
    <t>in a way I can't know, but the difference is around 0,1% so it is no big deal.</t>
  </si>
  <si>
    <r>
      <t xml:space="preserve">And you are done, you can compare your dps with each build in the </t>
    </r>
    <r>
      <rPr>
        <b/>
        <sz val="10"/>
        <rFont val="Arial"/>
        <family val="2"/>
      </rPr>
      <t>"IN GAME DMG"</t>
    </r>
    <r>
      <rPr>
        <sz val="10"/>
        <rFont val="Arial"/>
        <family val="2"/>
      </rPr>
      <t xml:space="preserve"> table.</t>
    </r>
  </si>
  <si>
    <r>
      <t xml:space="preserve">Then go to the </t>
    </r>
    <r>
      <rPr>
        <b/>
        <sz val="10"/>
        <rFont val="Arial"/>
        <family val="2"/>
      </rPr>
      <t>"Calculator"</t>
    </r>
    <r>
      <rPr>
        <sz val="10"/>
        <rFont val="Arial"/>
      </rPr>
      <t xml:space="preserve"> sheet, and also fill the white boxes you need:</t>
    </r>
  </si>
  <si>
    <r>
      <t xml:space="preserve">To begin, fill the white boxes on the </t>
    </r>
    <r>
      <rPr>
        <b/>
        <sz val="10"/>
        <rFont val="Arial"/>
        <family val="2"/>
      </rPr>
      <t>"Equipment"</t>
    </r>
    <r>
      <rPr>
        <sz val="10"/>
        <rFont val="Arial"/>
      </rPr>
      <t xml:space="preserve"> sheet, this will be the data base</t>
    </r>
    <r>
      <rPr>
        <sz val="10"/>
        <rFont val="Arial"/>
        <family val="2"/>
      </rPr>
      <t>:</t>
    </r>
  </si>
  <si>
    <t>Hello!</t>
  </si>
  <si>
    <r>
      <rPr>
        <u/>
        <sz val="10"/>
        <rFont val="Arial"/>
        <family val="2"/>
      </rPr>
      <t>Reminder:</t>
    </r>
    <r>
      <rPr>
        <sz val="10"/>
        <rFont val="Arial"/>
        <family val="2"/>
      </rPr>
      <t xml:space="preserve"> You will not get the exact same result as the game because it rounds up some values  </t>
    </r>
  </si>
  <si>
    <t>HP&gt;80%</t>
  </si>
  <si>
    <t>HP&lt;30%</t>
  </si>
  <si>
    <t>First 5 sec</t>
  </si>
  <si>
    <t>CR first 5 sec</t>
  </si>
  <si>
    <t>ATK time first 5 sec</t>
  </si>
  <si>
    <t>Reckless dash list</t>
  </si>
  <si>
    <t>IN GAME POWERS</t>
  </si>
  <si>
    <t>All the orange boxes are lists, click on them to select the Item you want to equip: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</si>
</sst>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0"/>
      <name val="Arial"/>
    </font>
    <font>
      <b/>
      <sz val="10"/>
      <name val="Arial"/>
      <family val="2"/>
    </font>
    <font>
      <b/>
      <u/>
      <sz val="10"/>
      <name val="Arial"/>
      <family val="2"/>
    </font>
    <font>
      <sz val="8"/>
      <name val="Arial"/>
    </font>
    <font>
      <sz val="10"/>
      <name val="Arial"/>
      <family val="2"/>
    </font>
    <font>
      <sz val="10"/>
      <color rgb="FFCC0000"/>
      <name val="Arial"/>
      <family val="2"/>
    </font>
    <font>
      <b/>
      <sz val="10"/>
      <color rgb="FF33CC33"/>
      <name val="Arial"/>
      <family val="2"/>
    </font>
    <font>
      <b/>
      <sz val="10"/>
      <color rgb="FFFFCC00"/>
      <name val="Arial"/>
      <family val="2"/>
    </font>
    <font>
      <b/>
      <sz val="10"/>
      <color rgb="FFFF0000"/>
      <name val="Arial"/>
      <family val="2"/>
    </font>
    <font>
      <b/>
      <sz val="10"/>
      <color rgb="FF009900"/>
      <name val="Arial"/>
      <family val="2"/>
    </font>
    <font>
      <sz val="10"/>
      <color rgb="FFFF0000"/>
      <name val="Arial"/>
      <family val="2"/>
    </font>
    <font>
      <b/>
      <i/>
      <sz val="10"/>
      <color rgb="FFFF0000"/>
      <name val="Arial"/>
      <family val="2"/>
    </font>
    <font>
      <sz val="10"/>
      <color rgb="FFFFCC00"/>
      <name val="Arial"/>
      <family val="2"/>
    </font>
    <font>
      <sz val="10"/>
      <color rgb="FF009900"/>
      <name val="Arial"/>
      <family val="2"/>
    </font>
    <font>
      <i/>
      <sz val="10"/>
      <name val="Arial"/>
      <family val="2"/>
    </font>
    <font>
      <sz val="10"/>
      <color rgb="FF3399FF"/>
      <name val="Arial"/>
      <family val="2"/>
    </font>
    <font>
      <b/>
      <sz val="10"/>
      <color theme="7"/>
      <name val="Arial"/>
      <family val="2"/>
    </font>
    <font>
      <b/>
      <sz val="10"/>
      <color rgb="FF3399FF"/>
      <name val="Arial"/>
      <family val="2"/>
    </font>
    <font>
      <b/>
      <sz val="10"/>
      <color rgb="FF00B050"/>
      <name val="Arial"/>
      <family val="2"/>
    </font>
    <font>
      <b/>
      <sz val="10"/>
      <color theme="4"/>
      <name val="Arial"/>
      <family val="2"/>
    </font>
    <font>
      <b/>
      <sz val="10"/>
      <color rgb="FFA50021"/>
      <name val="Arial"/>
      <family val="2"/>
    </font>
    <font>
      <sz val="10"/>
      <color rgb="FFA50021"/>
      <name val="Arial"/>
      <family val="2"/>
    </font>
    <font>
      <b/>
      <sz val="10"/>
      <color rgb="FFFF3399"/>
      <name val="Arial"/>
      <family val="2"/>
    </font>
    <font>
      <sz val="10"/>
      <color rgb="FFFF3399"/>
      <name val="Arial"/>
      <family val="2"/>
    </font>
    <font>
      <b/>
      <i/>
      <sz val="10"/>
      <color rgb="FFFF3399"/>
      <name val="Arial"/>
      <family val="2"/>
    </font>
    <font>
      <i/>
      <sz val="10"/>
      <color rgb="FFFF3399"/>
      <name val="Arial"/>
      <family val="2"/>
    </font>
    <font>
      <i/>
      <sz val="10"/>
      <color rgb="FF3399FF"/>
      <name val="Arial"/>
      <family val="2"/>
    </font>
    <font>
      <sz val="10"/>
      <color theme="4"/>
      <name val="Arial"/>
      <family val="2"/>
    </font>
    <font>
      <i/>
      <sz val="10"/>
      <color theme="4"/>
      <name val="Arial"/>
      <family val="2"/>
    </font>
    <font>
      <sz val="10"/>
      <color rgb="FFCC00CC"/>
      <name val="Arial"/>
      <family val="2"/>
    </font>
    <font>
      <b/>
      <i/>
      <sz val="10"/>
      <color rgb="FFCC00CC"/>
      <name val="Arial"/>
      <family val="2"/>
    </font>
    <font>
      <i/>
      <sz val="10"/>
      <color rgb="FFC00000"/>
      <name val="Arial"/>
      <family val="2"/>
    </font>
    <font>
      <b/>
      <sz val="10"/>
      <color rgb="FFCC00CC"/>
      <name val="Arial"/>
      <family val="2"/>
    </font>
    <font>
      <b/>
      <sz val="10"/>
      <color rgb="FFCC00FF"/>
      <name val="Arial"/>
      <family val="2"/>
    </font>
    <font>
      <b/>
      <sz val="10"/>
      <color rgb="FF4472C4"/>
      <name val="Arial"/>
      <family val="2"/>
    </font>
    <font>
      <sz val="10"/>
      <color rgb="FF000000"/>
      <name val="Arial"/>
      <family val="2"/>
    </font>
    <font>
      <i/>
      <sz val="10"/>
      <color rgb="FFCC00CC"/>
      <name val="Arial"/>
      <family val="2"/>
    </font>
    <font>
      <u/>
      <sz val="10"/>
      <name val="Arial"/>
      <family val="2"/>
    </font>
    <font>
      <sz val="10"/>
      <color theme="9"/>
      <name val="Arial"/>
      <family val="2"/>
    </font>
    <font>
      <b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sz val="10"/>
      <color rgb="FFE2D6D6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966A6A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rgb="FFFFB989"/>
        <bgColor indexed="64"/>
      </patternFill>
    </fill>
    <fill>
      <patternFill patternType="solid">
        <fgColor rgb="FFFF6969"/>
        <bgColor indexed="64"/>
      </patternFill>
    </fill>
    <fill>
      <patternFill patternType="solid">
        <fgColor rgb="FFE2D6D6"/>
        <bgColor indexed="64"/>
      </patternFill>
    </fill>
    <fill>
      <patternFill patternType="solid">
        <fgColor rgb="FFFFE689"/>
        <bgColor indexed="64"/>
      </patternFill>
    </fill>
    <fill>
      <patternFill patternType="solid">
        <fgColor rgb="FFFAF76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7C8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1">
    <xf numFmtId="0" fontId="0" fillId="0" borderId="0" xfId="0"/>
    <xf numFmtId="0" fontId="0" fillId="0" borderId="0" xfId="0" applyBorder="1"/>
    <xf numFmtId="0" fontId="0" fillId="2" borderId="0" xfId="0" applyFill="1" applyBorder="1"/>
    <xf numFmtId="0" fontId="0" fillId="2" borderId="0" xfId="0" applyFill="1"/>
    <xf numFmtId="0" fontId="0" fillId="2" borderId="21" xfId="0" applyFill="1" applyBorder="1"/>
    <xf numFmtId="0" fontId="0" fillId="3" borderId="3" xfId="0" applyFill="1" applyBorder="1"/>
    <xf numFmtId="0" fontId="0" fillId="3" borderId="6" xfId="0" applyFill="1" applyBorder="1"/>
    <xf numFmtId="0" fontId="4" fillId="3" borderId="3" xfId="0" applyFont="1" applyFill="1" applyBorder="1"/>
    <xf numFmtId="0" fontId="16" fillId="3" borderId="14" xfId="0" applyFont="1" applyFill="1" applyBorder="1"/>
    <xf numFmtId="0" fontId="16" fillId="3" borderId="15" xfId="0" applyFont="1" applyFill="1" applyBorder="1"/>
    <xf numFmtId="0" fontId="0" fillId="3" borderId="0" xfId="0" applyFill="1" applyBorder="1"/>
    <xf numFmtId="0" fontId="0" fillId="3" borderId="21" xfId="0" applyFill="1" applyBorder="1"/>
    <xf numFmtId="0" fontId="17" fillId="3" borderId="4" xfId="0" applyFont="1" applyFill="1" applyBorder="1"/>
    <xf numFmtId="0" fontId="17" fillId="3" borderId="6" xfId="0" applyFont="1" applyFill="1" applyBorder="1"/>
    <xf numFmtId="0" fontId="1" fillId="3" borderId="4" xfId="0" applyFont="1" applyFill="1" applyBorder="1"/>
    <xf numFmtId="0" fontId="8" fillId="3" borderId="13" xfId="0" applyFont="1" applyFill="1" applyBorder="1"/>
    <xf numFmtId="0" fontId="8" fillId="3" borderId="15" xfId="0" applyFont="1" applyFill="1" applyBorder="1"/>
    <xf numFmtId="0" fontId="18" fillId="3" borderId="13" xfId="0" applyFont="1" applyFill="1" applyBorder="1"/>
    <xf numFmtId="0" fontId="18" fillId="3" borderId="15" xfId="0" applyFont="1" applyFill="1" applyBorder="1"/>
    <xf numFmtId="0" fontId="19" fillId="3" borderId="30" xfId="0" applyFont="1" applyFill="1" applyBorder="1"/>
    <xf numFmtId="0" fontId="19" fillId="3" borderId="35" xfId="0" applyFont="1" applyFill="1" applyBorder="1"/>
    <xf numFmtId="0" fontId="20" fillId="3" borderId="2" xfId="0" applyFont="1" applyFill="1" applyBorder="1"/>
    <xf numFmtId="0" fontId="20" fillId="3" borderId="33" xfId="0" applyFont="1" applyFill="1" applyBorder="1"/>
    <xf numFmtId="0" fontId="20" fillId="3" borderId="34" xfId="0" applyFont="1" applyFill="1" applyBorder="1"/>
    <xf numFmtId="0" fontId="22" fillId="3" borderId="4" xfId="0" applyFont="1" applyFill="1" applyBorder="1"/>
    <xf numFmtId="0" fontId="22" fillId="3" borderId="25" xfId="0" applyFont="1" applyFill="1" applyBorder="1"/>
    <xf numFmtId="0" fontId="22" fillId="3" borderId="27" xfId="0" applyFont="1" applyFill="1" applyBorder="1"/>
    <xf numFmtId="0" fontId="0" fillId="3" borderId="19" xfId="0" applyFill="1" applyBorder="1"/>
    <xf numFmtId="0" fontId="0" fillId="3" borderId="22" xfId="0" applyFill="1" applyBorder="1"/>
    <xf numFmtId="0" fontId="4" fillId="3" borderId="19" xfId="0" applyFont="1" applyFill="1" applyBorder="1"/>
    <xf numFmtId="0" fontId="4" fillId="3" borderId="0" xfId="0" applyFont="1" applyFill="1" applyBorder="1"/>
    <xf numFmtId="0" fontId="18" fillId="3" borderId="29" xfId="0" applyFont="1" applyFill="1" applyBorder="1"/>
    <xf numFmtId="0" fontId="16" fillId="3" borderId="36" xfId="0" applyFont="1" applyFill="1" applyBorder="1"/>
    <xf numFmtId="0" fontId="8" fillId="3" borderId="25" xfId="0" applyFont="1" applyFill="1" applyBorder="1"/>
    <xf numFmtId="0" fontId="31" fillId="3" borderId="6" xfId="0" applyFont="1" applyFill="1" applyBorder="1"/>
    <xf numFmtId="0" fontId="0" fillId="3" borderId="41" xfId="0" applyFill="1" applyBorder="1"/>
    <xf numFmtId="0" fontId="8" fillId="3" borderId="14" xfId="0" applyFont="1" applyFill="1" applyBorder="1"/>
    <xf numFmtId="0" fontId="0" fillId="3" borderId="42" xfId="0" applyFill="1" applyBorder="1"/>
    <xf numFmtId="0" fontId="0" fillId="3" borderId="43" xfId="0" applyFill="1" applyBorder="1"/>
    <xf numFmtId="0" fontId="0" fillId="3" borderId="44" xfId="0" applyFill="1" applyBorder="1"/>
    <xf numFmtId="0" fontId="0" fillId="3" borderId="27" xfId="0" applyFill="1" applyBorder="1"/>
    <xf numFmtId="0" fontId="0" fillId="3" borderId="45" xfId="0" applyFill="1" applyBorder="1"/>
    <xf numFmtId="0" fontId="0" fillId="3" borderId="46" xfId="0" applyFill="1" applyBorder="1"/>
    <xf numFmtId="0" fontId="4" fillId="3" borderId="41" xfId="0" applyFont="1" applyFill="1" applyBorder="1"/>
    <xf numFmtId="0" fontId="1" fillId="3" borderId="13" xfId="0" applyFont="1" applyFill="1" applyBorder="1"/>
    <xf numFmtId="0" fontId="1" fillId="3" borderId="14" xfId="0" applyFont="1" applyFill="1" applyBorder="1"/>
    <xf numFmtId="0" fontId="1" fillId="3" borderId="15" xfId="0" applyFont="1" applyFill="1" applyBorder="1"/>
    <xf numFmtId="0" fontId="0" fillId="3" borderId="16" xfId="0" applyFill="1" applyBorder="1"/>
    <xf numFmtId="0" fontId="0" fillId="3" borderId="17" xfId="0" applyFill="1" applyBorder="1"/>
    <xf numFmtId="0" fontId="0" fillId="3" borderId="40" xfId="0" applyFill="1" applyBorder="1"/>
    <xf numFmtId="0" fontId="0" fillId="3" borderId="47" xfId="0" applyFill="1" applyBorder="1"/>
    <xf numFmtId="0" fontId="0" fillId="3" borderId="48" xfId="0" applyFill="1" applyBorder="1"/>
    <xf numFmtId="0" fontId="31" fillId="3" borderId="16" xfId="0" applyFont="1" applyFill="1" applyBorder="1"/>
    <xf numFmtId="0" fontId="31" fillId="3" borderId="17" xfId="0" applyFont="1" applyFill="1" applyBorder="1"/>
    <xf numFmtId="0" fontId="31" fillId="3" borderId="40" xfId="0" applyFont="1" applyFill="1" applyBorder="1"/>
    <xf numFmtId="0" fontId="31" fillId="3" borderId="47" xfId="0" applyFont="1" applyFill="1" applyBorder="1"/>
    <xf numFmtId="0" fontId="31" fillId="3" borderId="48" xfId="0" applyFont="1" applyFill="1" applyBorder="1"/>
    <xf numFmtId="0" fontId="16" fillId="3" borderId="13" xfId="0" applyFont="1" applyFill="1" applyBorder="1"/>
    <xf numFmtId="0" fontId="4" fillId="3" borderId="44" xfId="0" applyFont="1" applyFill="1" applyBorder="1"/>
    <xf numFmtId="0" fontId="4" fillId="3" borderId="45" xfId="0" applyFont="1" applyFill="1" applyBorder="1"/>
    <xf numFmtId="0" fontId="4" fillId="3" borderId="22" xfId="0" applyFont="1" applyFill="1" applyBorder="1"/>
    <xf numFmtId="0" fontId="4" fillId="3" borderId="21" xfId="0" applyFont="1" applyFill="1" applyBorder="1"/>
    <xf numFmtId="0" fontId="4" fillId="3" borderId="46" xfId="0" applyFont="1" applyFill="1" applyBorder="1"/>
    <xf numFmtId="0" fontId="9" fillId="3" borderId="18" xfId="0" applyFont="1" applyFill="1" applyBorder="1"/>
    <xf numFmtId="0" fontId="9" fillId="3" borderId="16" xfId="0" applyFont="1" applyFill="1" applyBorder="1"/>
    <xf numFmtId="0" fontId="9" fillId="3" borderId="17" xfId="0" applyFont="1" applyFill="1" applyBorder="1"/>
    <xf numFmtId="0" fontId="1" fillId="7" borderId="31" xfId="0" applyFont="1" applyFill="1" applyBorder="1"/>
    <xf numFmtId="0" fontId="1" fillId="7" borderId="37" xfId="0" applyFont="1" applyFill="1" applyBorder="1"/>
    <xf numFmtId="0" fontId="1" fillId="7" borderId="32" xfId="0" applyFont="1" applyFill="1" applyBorder="1"/>
    <xf numFmtId="0" fontId="32" fillId="3" borderId="25" xfId="0" applyFont="1" applyFill="1" applyBorder="1"/>
    <xf numFmtId="0" fontId="32" fillId="3" borderId="27" xfId="0" applyFont="1" applyFill="1" applyBorder="1"/>
    <xf numFmtId="0" fontId="33" fillId="3" borderId="4" xfId="0" applyFont="1" applyFill="1" applyBorder="1"/>
    <xf numFmtId="0" fontId="33" fillId="3" borderId="6" xfId="0" applyFont="1" applyFill="1" applyBorder="1"/>
    <xf numFmtId="0" fontId="34" fillId="3" borderId="30" xfId="0" applyFont="1" applyFill="1" applyBorder="1"/>
    <xf numFmtId="0" fontId="18" fillId="3" borderId="2" xfId="0" applyFont="1" applyFill="1" applyBorder="1"/>
    <xf numFmtId="0" fontId="16" fillId="3" borderId="2" xfId="0" applyFont="1" applyFill="1" applyBorder="1"/>
    <xf numFmtId="0" fontId="20" fillId="3" borderId="25" xfId="0" applyFont="1" applyFill="1" applyBorder="1"/>
    <xf numFmtId="0" fontId="32" fillId="3" borderId="2" xfId="0" applyFont="1" applyFill="1" applyBorder="1"/>
    <xf numFmtId="0" fontId="34" fillId="3" borderId="2" xfId="0" applyFont="1" applyFill="1" applyBorder="1"/>
    <xf numFmtId="0" fontId="2" fillId="2" borderId="0" xfId="0" applyFont="1" applyFill="1" applyBorder="1" applyAlignment="1"/>
    <xf numFmtId="0" fontId="35" fillId="2" borderId="0" xfId="0" applyFont="1" applyFill="1" applyBorder="1"/>
    <xf numFmtId="0" fontId="4" fillId="6" borderId="0" xfId="0" applyFont="1" applyFill="1" applyProtection="1"/>
    <xf numFmtId="0" fontId="0" fillId="6" borderId="0" xfId="0" applyFill="1" applyProtection="1"/>
    <xf numFmtId="0" fontId="0" fillId="6" borderId="0" xfId="0" applyFill="1" applyBorder="1" applyProtection="1"/>
    <xf numFmtId="0" fontId="5" fillId="6" borderId="0" xfId="0" applyFont="1" applyFill="1" applyBorder="1" applyProtection="1"/>
    <xf numFmtId="0" fontId="0" fillId="6" borderId="0" xfId="0" applyFont="1" applyFill="1" applyBorder="1" applyProtection="1"/>
    <xf numFmtId="9" fontId="0" fillId="6" borderId="0" xfId="0" applyNumberFormat="1" applyFill="1" applyBorder="1" applyProtection="1"/>
    <xf numFmtId="0" fontId="4" fillId="0" borderId="0" xfId="0" applyFont="1" applyProtection="1"/>
    <xf numFmtId="0" fontId="0" fillId="0" borderId="0" xfId="0" applyProtection="1"/>
    <xf numFmtId="0" fontId="0" fillId="0" borderId="39" xfId="0" applyFill="1" applyBorder="1" applyProtection="1"/>
    <xf numFmtId="0" fontId="2" fillId="0" borderId="38" xfId="0" applyFont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1" fillId="0" borderId="25" xfId="0" applyFont="1" applyFill="1" applyBorder="1" applyProtection="1"/>
    <xf numFmtId="0" fontId="0" fillId="0" borderId="26" xfId="0" applyBorder="1" applyProtection="1"/>
    <xf numFmtId="0" fontId="0" fillId="0" borderId="27" xfId="0" applyBorder="1" applyProtection="1"/>
    <xf numFmtId="0" fontId="4" fillId="0" borderId="0" xfId="0" applyFont="1" applyAlignment="1" applyProtection="1">
      <alignment horizontal="center"/>
    </xf>
    <xf numFmtId="0" fontId="1" fillId="0" borderId="2" xfId="0" applyFont="1" applyFill="1" applyBorder="1" applyProtection="1"/>
    <xf numFmtId="0" fontId="0" fillId="0" borderId="8" xfId="0" applyBorder="1" applyProtection="1"/>
    <xf numFmtId="0" fontId="0" fillId="0" borderId="1" xfId="0" applyBorder="1" applyProtection="1"/>
    <xf numFmtId="0" fontId="0" fillId="0" borderId="3" xfId="0" applyBorder="1" applyProtection="1"/>
    <xf numFmtId="0" fontId="1" fillId="0" borderId="4" xfId="0" applyFont="1" applyFill="1" applyBorder="1" applyProtection="1"/>
    <xf numFmtId="0" fontId="0" fillId="0" borderId="28" xfId="0" applyBorder="1" applyProtection="1"/>
    <xf numFmtId="0" fontId="0" fillId="0" borderId="5" xfId="0" applyBorder="1" applyProtection="1"/>
    <xf numFmtId="0" fontId="0" fillId="0" borderId="6" xfId="0" applyBorder="1" applyProtection="1"/>
    <xf numFmtId="0" fontId="0" fillId="0" borderId="0" xfId="0" applyFont="1" applyFill="1" applyBorder="1" applyProtection="1"/>
    <xf numFmtId="0" fontId="0" fillId="0" borderId="0" xfId="0" applyBorder="1" applyProtection="1"/>
    <xf numFmtId="0" fontId="0" fillId="0" borderId="10" xfId="0" applyFill="1" applyBorder="1" applyProtection="1"/>
    <xf numFmtId="0" fontId="2" fillId="0" borderId="11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1" fillId="0" borderId="7" xfId="0" applyFont="1" applyFill="1" applyBorder="1" applyProtection="1"/>
    <xf numFmtId="0" fontId="0" fillId="0" borderId="9" xfId="0" applyBorder="1" applyProtection="1"/>
    <xf numFmtId="0" fontId="4" fillId="0" borderId="5" xfId="0" applyFont="1" applyBorder="1" applyProtection="1"/>
    <xf numFmtId="0" fontId="4" fillId="0" borderId="5" xfId="0" applyFont="1" applyFill="1" applyBorder="1" applyProtection="1"/>
    <xf numFmtId="0" fontId="4" fillId="0" borderId="6" xfId="0" applyFont="1" applyFill="1" applyBorder="1" applyProtection="1"/>
    <xf numFmtId="0" fontId="8" fillId="0" borderId="27" xfId="0" applyFont="1" applyFill="1" applyBorder="1" applyProtection="1">
      <protection locked="0"/>
    </xf>
    <xf numFmtId="0" fontId="20" fillId="0" borderId="3" xfId="0" applyFont="1" applyFill="1" applyBorder="1" applyProtection="1">
      <protection locked="0"/>
    </xf>
    <xf numFmtId="0" fontId="22" fillId="0" borderId="6" xfId="0" applyFont="1" applyFill="1" applyBorder="1" applyProtection="1">
      <protection locked="0"/>
    </xf>
    <xf numFmtId="0" fontId="18" fillId="0" borderId="9" xfId="0" applyFont="1" applyFill="1" applyBorder="1" applyProtection="1">
      <protection locked="0"/>
    </xf>
    <xf numFmtId="0" fontId="16" fillId="0" borderId="3" xfId="0" applyFont="1" applyFill="1" applyBorder="1" applyProtection="1">
      <protection locked="0"/>
    </xf>
    <xf numFmtId="0" fontId="19" fillId="0" borderId="6" xfId="0" applyFont="1" applyFill="1" applyBorder="1" applyProtection="1">
      <protection locked="0"/>
    </xf>
    <xf numFmtId="0" fontId="17" fillId="0" borderId="6" xfId="0" applyFont="1" applyFill="1" applyBorder="1" applyProtection="1">
      <protection locked="0"/>
    </xf>
    <xf numFmtId="0" fontId="18" fillId="0" borderId="3" xfId="0" applyFont="1" applyFill="1" applyBorder="1" applyProtection="1">
      <protection locked="0"/>
    </xf>
    <xf numFmtId="0" fontId="20" fillId="0" borderId="27" xfId="0" applyFont="1" applyFill="1" applyBorder="1" applyProtection="1">
      <protection locked="0"/>
    </xf>
    <xf numFmtId="0" fontId="32" fillId="0" borderId="3" xfId="0" applyFont="1" applyFill="1" applyBorder="1" applyProtection="1">
      <protection locked="0"/>
    </xf>
    <xf numFmtId="0" fontId="34" fillId="0" borderId="3" xfId="0" applyFont="1" applyFill="1" applyBorder="1" applyProtection="1">
      <protection locked="0"/>
    </xf>
    <xf numFmtId="0" fontId="1" fillId="4" borderId="6" xfId="0" applyFont="1" applyFill="1" applyBorder="1" applyProtection="1">
      <protection locked="0"/>
    </xf>
    <xf numFmtId="0" fontId="0" fillId="4" borderId="24" xfId="0" applyFill="1" applyBorder="1" applyProtection="1">
      <protection locked="0"/>
    </xf>
    <xf numFmtId="0" fontId="0" fillId="9" borderId="0" xfId="0" applyFill="1"/>
    <xf numFmtId="0" fontId="4" fillId="9" borderId="0" xfId="0" applyFont="1" applyFill="1"/>
    <xf numFmtId="0" fontId="2" fillId="9" borderId="0" xfId="0" applyFont="1" applyFill="1"/>
    <xf numFmtId="0" fontId="0" fillId="0" borderId="24" xfId="0" applyFill="1" applyBorder="1" applyProtection="1">
      <protection locked="0"/>
    </xf>
    <xf numFmtId="0" fontId="23" fillId="3" borderId="36" xfId="0" applyFont="1" applyFill="1" applyBorder="1" applyProtection="1"/>
    <xf numFmtId="0" fontId="21" fillId="3" borderId="36" xfId="0" applyFont="1" applyFill="1" applyBorder="1" applyProtection="1"/>
    <xf numFmtId="0" fontId="15" fillId="3" borderId="36" xfId="0" applyFont="1" applyFill="1" applyBorder="1" applyProtection="1"/>
    <xf numFmtId="0" fontId="29" fillId="3" borderId="36" xfId="0" applyFont="1" applyFill="1" applyBorder="1" applyProtection="1"/>
    <xf numFmtId="0" fontId="0" fillId="3" borderId="36" xfId="0" applyFill="1" applyBorder="1" applyProtection="1"/>
    <xf numFmtId="0" fontId="8" fillId="3" borderId="13" xfId="0" applyFont="1" applyFill="1" applyBorder="1" applyProtection="1"/>
    <xf numFmtId="0" fontId="8" fillId="3" borderId="14" xfId="0" applyFont="1" applyFill="1" applyBorder="1" applyProtection="1"/>
    <xf numFmtId="0" fontId="8" fillId="0" borderId="12" xfId="0" applyFont="1" applyFill="1" applyBorder="1" applyProtection="1">
      <protection locked="0"/>
    </xf>
    <xf numFmtId="0" fontId="23" fillId="3" borderId="42" xfId="0" applyFont="1" applyFill="1" applyBorder="1" applyProtection="1"/>
    <xf numFmtId="0" fontId="23" fillId="3" borderId="33" xfId="0" applyFont="1" applyFill="1" applyBorder="1" applyProtection="1"/>
    <xf numFmtId="0" fontId="23" fillId="0" borderId="27" xfId="0" applyFont="1" applyFill="1" applyBorder="1" applyProtection="1">
      <protection locked="0"/>
    </xf>
    <xf numFmtId="0" fontId="21" fillId="3" borderId="44" xfId="0" applyFont="1" applyFill="1" applyBorder="1" applyProtection="1"/>
    <xf numFmtId="0" fontId="0" fillId="0" borderId="3" xfId="0" applyFill="1" applyBorder="1" applyProtection="1">
      <protection locked="0"/>
    </xf>
    <xf numFmtId="0" fontId="15" fillId="3" borderId="44" xfId="0" applyFont="1" applyFill="1" applyBorder="1" applyProtection="1"/>
    <xf numFmtId="0" fontId="15" fillId="0" borderId="3" xfId="0" applyFont="1" applyFill="1" applyBorder="1" applyProtection="1">
      <protection locked="0"/>
    </xf>
    <xf numFmtId="0" fontId="29" fillId="3" borderId="44" xfId="0" applyFont="1" applyFill="1" applyBorder="1" applyProtection="1"/>
    <xf numFmtId="0" fontId="29" fillId="0" borderId="3" xfId="0" applyFont="1" applyFill="1" applyBorder="1" applyProtection="1">
      <protection locked="0"/>
    </xf>
    <xf numFmtId="0" fontId="0" fillId="3" borderId="44" xfId="0" applyFill="1" applyBorder="1" applyProtection="1"/>
    <xf numFmtId="0" fontId="23" fillId="3" borderId="44" xfId="0" applyFont="1" applyFill="1" applyBorder="1" applyProtection="1"/>
    <xf numFmtId="0" fontId="23" fillId="0" borderId="3" xfId="0" applyFont="1" applyFill="1" applyBorder="1" applyProtection="1">
      <protection locked="0"/>
    </xf>
    <xf numFmtId="0" fontId="15" fillId="3" borderId="47" xfId="0" applyFont="1" applyFill="1" applyBorder="1" applyProtection="1"/>
    <xf numFmtId="0" fontId="15" fillId="3" borderId="30" xfId="0" applyFont="1" applyFill="1" applyBorder="1" applyProtection="1"/>
    <xf numFmtId="0" fontId="15" fillId="0" borderId="6" xfId="0" applyFont="1" applyFill="1" applyBorder="1" applyProtection="1">
      <protection locked="0"/>
    </xf>
    <xf numFmtId="0" fontId="0" fillId="0" borderId="6" xfId="0" applyFill="1" applyBorder="1" applyProtection="1">
      <protection locked="0"/>
    </xf>
    <xf numFmtId="0" fontId="8" fillId="0" borderId="15" xfId="0" applyFont="1" applyFill="1" applyBorder="1" applyProtection="1">
      <protection locked="0"/>
    </xf>
    <xf numFmtId="0" fontId="23" fillId="0" borderId="6" xfId="0" applyFont="1" applyFill="1" applyBorder="1" applyProtection="1">
      <protection locked="0"/>
    </xf>
    <xf numFmtId="0" fontId="23" fillId="0" borderId="49" xfId="0" applyFont="1" applyFill="1" applyBorder="1" applyProtection="1">
      <protection locked="0"/>
    </xf>
    <xf numFmtId="0" fontId="8" fillId="3" borderId="23" xfId="0" applyFont="1" applyFill="1" applyBorder="1" applyProtection="1"/>
    <xf numFmtId="0" fontId="21" fillId="3" borderId="30" xfId="0" applyFont="1" applyFill="1" applyBorder="1" applyProtection="1"/>
    <xf numFmtId="0" fontId="21" fillId="3" borderId="47" xfId="0" applyFont="1" applyFill="1" applyBorder="1" applyProtection="1"/>
    <xf numFmtId="0" fontId="23" fillId="3" borderId="30" xfId="0" applyFont="1" applyFill="1" applyBorder="1" applyProtection="1"/>
    <xf numFmtId="0" fontId="23" fillId="3" borderId="47" xfId="0" applyFont="1" applyFill="1" applyBorder="1" applyProtection="1"/>
    <xf numFmtId="0" fontId="10" fillId="3" borderId="36" xfId="0" applyFont="1" applyFill="1" applyBorder="1" applyProtection="1"/>
    <xf numFmtId="0" fontId="12" fillId="3" borderId="36" xfId="0" applyFont="1" applyFill="1" applyBorder="1" applyProtection="1"/>
    <xf numFmtId="0" fontId="27" fillId="3" borderId="36" xfId="0" applyFont="1" applyFill="1" applyBorder="1" applyProtection="1"/>
    <xf numFmtId="0" fontId="4" fillId="3" borderId="36" xfId="0" applyFont="1" applyFill="1" applyBorder="1" applyProtection="1"/>
    <xf numFmtId="0" fontId="6" fillId="3" borderId="13" xfId="0" applyFont="1" applyFill="1" applyBorder="1" applyProtection="1"/>
    <xf numFmtId="0" fontId="6" fillId="3" borderId="23" xfId="0" applyFont="1" applyFill="1" applyBorder="1" applyProtection="1"/>
    <xf numFmtId="0" fontId="9" fillId="0" borderId="12" xfId="0" applyFont="1" applyFill="1" applyBorder="1" applyProtection="1">
      <protection locked="0"/>
    </xf>
    <xf numFmtId="0" fontId="24" fillId="3" borderId="42" xfId="0" applyFont="1" applyFill="1" applyBorder="1" applyProtection="1"/>
    <xf numFmtId="0" fontId="24" fillId="3" borderId="33" xfId="0" applyFont="1" applyFill="1" applyBorder="1" applyProtection="1"/>
    <xf numFmtId="0" fontId="24" fillId="0" borderId="27" xfId="0" applyFont="1" applyFill="1" applyBorder="1" applyProtection="1">
      <protection locked="0"/>
    </xf>
    <xf numFmtId="0" fontId="10" fillId="3" borderId="44" xfId="0" applyFont="1" applyFill="1" applyBorder="1" applyProtection="1"/>
    <xf numFmtId="0" fontId="10" fillId="0" borderId="3" xfId="0" applyFont="1" applyFill="1" applyBorder="1" applyProtection="1">
      <protection locked="0"/>
    </xf>
    <xf numFmtId="0" fontId="12" fillId="3" borderId="44" xfId="0" applyFont="1" applyFill="1" applyBorder="1" applyProtection="1"/>
    <xf numFmtId="0" fontId="27" fillId="3" borderId="44" xfId="0" applyFont="1" applyFill="1" applyBorder="1" applyProtection="1"/>
    <xf numFmtId="0" fontId="27" fillId="0" borderId="3" xfId="0" applyFont="1" applyFill="1" applyBorder="1" applyProtection="1">
      <protection locked="0"/>
    </xf>
    <xf numFmtId="0" fontId="0" fillId="3" borderId="47" xfId="0" applyFill="1" applyBorder="1" applyProtection="1"/>
    <xf numFmtId="0" fontId="0" fillId="3" borderId="30" xfId="0" applyFill="1" applyBorder="1" applyProtection="1"/>
    <xf numFmtId="0" fontId="11" fillId="3" borderId="42" xfId="0" applyFont="1" applyFill="1" applyBorder="1" applyProtection="1"/>
    <xf numFmtId="0" fontId="11" fillId="3" borderId="33" xfId="0" applyFont="1" applyFill="1" applyBorder="1" applyProtection="1"/>
    <xf numFmtId="0" fontId="11" fillId="0" borderId="27" xfId="0" applyFont="1" applyFill="1" applyBorder="1" applyProtection="1">
      <protection locked="0"/>
    </xf>
    <xf numFmtId="0" fontId="30" fillId="3" borderId="42" xfId="0" applyFont="1" applyFill="1" applyBorder="1" applyProtection="1"/>
    <xf numFmtId="0" fontId="30" fillId="3" borderId="33" xfId="0" applyFont="1" applyFill="1" applyBorder="1" applyProtection="1"/>
    <xf numFmtId="0" fontId="30" fillId="0" borderId="27" xfId="0" applyFont="1" applyFill="1" applyBorder="1" applyProtection="1">
      <protection locked="0"/>
    </xf>
    <xf numFmtId="0" fontId="4" fillId="3" borderId="44" xfId="0" applyFont="1" applyFill="1" applyBorder="1" applyProtection="1"/>
    <xf numFmtId="0" fontId="13" fillId="3" borderId="36" xfId="0" applyFont="1" applyFill="1" applyBorder="1" applyProtection="1"/>
    <xf numFmtId="0" fontId="16" fillId="3" borderId="13" xfId="0" applyFont="1" applyFill="1" applyBorder="1" applyProtection="1"/>
    <xf numFmtId="0" fontId="16" fillId="3" borderId="23" xfId="0" applyFont="1" applyFill="1" applyBorder="1" applyProtection="1"/>
    <xf numFmtId="0" fontId="16" fillId="0" borderId="12" xfId="0" applyFont="1" applyFill="1" applyBorder="1" applyProtection="1">
      <protection locked="0"/>
    </xf>
    <xf numFmtId="0" fontId="10" fillId="3" borderId="42" xfId="0" applyFont="1" applyFill="1" applyBorder="1" applyProtection="1"/>
    <xf numFmtId="0" fontId="10" fillId="3" borderId="33" xfId="0" applyFont="1" applyFill="1" applyBorder="1" applyProtection="1"/>
    <xf numFmtId="0" fontId="10" fillId="0" borderId="27" xfId="0" applyFont="1" applyFill="1" applyBorder="1" applyProtection="1">
      <protection locked="0"/>
    </xf>
    <xf numFmtId="0" fontId="13" fillId="3" borderId="44" xfId="0" applyFont="1" applyFill="1" applyBorder="1" applyProtection="1"/>
    <xf numFmtId="0" fontId="10" fillId="3" borderId="47" xfId="0" applyFont="1" applyFill="1" applyBorder="1" applyProtection="1"/>
    <xf numFmtId="0" fontId="10" fillId="3" borderId="30" xfId="0" applyFont="1" applyFill="1" applyBorder="1" applyProtection="1"/>
    <xf numFmtId="0" fontId="10" fillId="0" borderId="6" xfId="0" applyFont="1" applyFill="1" applyBorder="1" applyProtection="1">
      <protection locked="0"/>
    </xf>
    <xf numFmtId="0" fontId="0" fillId="3" borderId="42" xfId="0" applyFill="1" applyBorder="1" applyProtection="1"/>
    <xf numFmtId="0" fontId="0" fillId="3" borderId="33" xfId="0" applyFill="1" applyBorder="1" applyProtection="1"/>
    <xf numFmtId="0" fontId="0" fillId="0" borderId="27" xfId="0" applyFill="1" applyBorder="1" applyProtection="1">
      <protection locked="0"/>
    </xf>
    <xf numFmtId="0" fontId="29" fillId="3" borderId="47" xfId="0" applyFont="1" applyFill="1" applyBorder="1" applyProtection="1"/>
    <xf numFmtId="0" fontId="29" fillId="3" borderId="30" xfId="0" applyFont="1" applyFill="1" applyBorder="1" applyProtection="1"/>
    <xf numFmtId="0" fontId="29" fillId="0" borderId="6" xfId="0" applyFont="1" applyFill="1" applyBorder="1" applyProtection="1">
      <protection locked="0"/>
    </xf>
    <xf numFmtId="0" fontId="7" fillId="3" borderId="13" xfId="0" applyFont="1" applyFill="1" applyBorder="1" applyProtection="1"/>
    <xf numFmtId="0" fontId="7" fillId="3" borderId="23" xfId="0" applyFont="1" applyFill="1" applyBorder="1" applyProtection="1"/>
    <xf numFmtId="0" fontId="1" fillId="0" borderId="12" xfId="0" applyFont="1" applyFill="1" applyBorder="1" applyProtection="1">
      <protection locked="0"/>
    </xf>
    <xf numFmtId="0" fontId="15" fillId="3" borderId="42" xfId="0" applyFont="1" applyFill="1" applyBorder="1" applyProtection="1"/>
    <xf numFmtId="0" fontId="15" fillId="3" borderId="33" xfId="0" applyFont="1" applyFill="1" applyBorder="1" applyProtection="1"/>
    <xf numFmtId="0" fontId="15" fillId="0" borderId="27" xfId="0" applyFont="1" applyFill="1" applyBorder="1" applyProtection="1">
      <protection locked="0"/>
    </xf>
    <xf numFmtId="0" fontId="21" fillId="0" borderId="6" xfId="0" applyFont="1" applyFill="1" applyBorder="1" applyProtection="1">
      <protection locked="0"/>
    </xf>
    <xf numFmtId="0" fontId="27" fillId="3" borderId="47" xfId="0" applyFont="1" applyFill="1" applyBorder="1" applyProtection="1"/>
    <xf numFmtId="0" fontId="27" fillId="3" borderId="30" xfId="0" applyFont="1" applyFill="1" applyBorder="1" applyProtection="1"/>
    <xf numFmtId="0" fontId="27" fillId="0" borderId="6" xfId="0" applyFont="1" applyFill="1" applyBorder="1" applyProtection="1">
      <protection locked="0"/>
    </xf>
    <xf numFmtId="0" fontId="13" fillId="3" borderId="33" xfId="0" applyFont="1" applyFill="1" applyBorder="1" applyProtection="1"/>
    <xf numFmtId="0" fontId="13" fillId="3" borderId="42" xfId="0" applyFont="1" applyFill="1" applyBorder="1" applyProtection="1"/>
    <xf numFmtId="0" fontId="18" fillId="0" borderId="12" xfId="0" applyFont="1" applyFill="1" applyBorder="1" applyProtection="1">
      <protection locked="0"/>
    </xf>
    <xf numFmtId="0" fontId="0" fillId="3" borderId="27" xfId="0" applyFill="1" applyBorder="1" applyProtection="1"/>
    <xf numFmtId="0" fontId="0" fillId="3" borderId="3" xfId="0" applyFill="1" applyBorder="1" applyProtection="1"/>
    <xf numFmtId="0" fontId="0" fillId="3" borderId="6" xfId="0" applyFill="1" applyBorder="1" applyProtection="1"/>
    <xf numFmtId="0" fontId="20" fillId="0" borderId="12" xfId="0" applyFont="1" applyFill="1" applyBorder="1" applyProtection="1">
      <protection locked="0"/>
    </xf>
    <xf numFmtId="0" fontId="18" fillId="3" borderId="23" xfId="0" applyFont="1" applyFill="1" applyBorder="1" applyProtection="1"/>
    <xf numFmtId="0" fontId="14" fillId="3" borderId="33" xfId="0" applyFont="1" applyFill="1" applyBorder="1" applyProtection="1"/>
    <xf numFmtId="0" fontId="28" fillId="3" borderId="30" xfId="0" applyFont="1" applyFill="1" applyBorder="1" applyProtection="1"/>
    <xf numFmtId="0" fontId="18" fillId="3" borderId="13" xfId="0" applyFont="1" applyFill="1" applyBorder="1" applyProtection="1"/>
    <xf numFmtId="0" fontId="14" fillId="3" borderId="42" xfId="0" applyFont="1" applyFill="1" applyBorder="1" applyProtection="1"/>
    <xf numFmtId="0" fontId="28" fillId="3" borderId="47" xfId="0" applyFont="1" applyFill="1" applyBorder="1" applyProtection="1"/>
    <xf numFmtId="9" fontId="4" fillId="3" borderId="33" xfId="0" applyNumberFormat="1" applyFont="1" applyFill="1" applyBorder="1" applyProtection="1"/>
    <xf numFmtId="9" fontId="4" fillId="3" borderId="36" xfId="0" applyNumberFormat="1" applyFont="1" applyFill="1" applyBorder="1" applyProtection="1"/>
    <xf numFmtId="9" fontId="4" fillId="3" borderId="30" xfId="0" applyNumberFormat="1" applyFont="1" applyFill="1" applyBorder="1" applyProtection="1"/>
    <xf numFmtId="0" fontId="0" fillId="3" borderId="42" xfId="0" applyFont="1" applyFill="1" applyBorder="1" applyProtection="1"/>
    <xf numFmtId="0" fontId="0" fillId="3" borderId="47" xfId="0" applyFont="1" applyFill="1" applyBorder="1" applyProtection="1"/>
    <xf numFmtId="0" fontId="25" fillId="3" borderId="30" xfId="0" applyFont="1" applyFill="1" applyBorder="1" applyProtection="1"/>
    <xf numFmtId="0" fontId="25" fillId="3" borderId="47" xfId="0" applyFont="1" applyFill="1" applyBorder="1" applyProtection="1"/>
    <xf numFmtId="0" fontId="20" fillId="3" borderId="23" xfId="0" applyFont="1" applyFill="1" applyBorder="1" applyProtection="1"/>
    <xf numFmtId="0" fontId="26" fillId="3" borderId="30" xfId="0" applyFont="1" applyFill="1" applyBorder="1" applyProtection="1"/>
    <xf numFmtId="0" fontId="20" fillId="3" borderId="13" xfId="0" applyFont="1" applyFill="1" applyBorder="1" applyProtection="1"/>
    <xf numFmtId="0" fontId="26" fillId="3" borderId="47" xfId="0" applyFont="1" applyFill="1" applyBorder="1" applyProtection="1"/>
    <xf numFmtId="0" fontId="14" fillId="0" borderId="27" xfId="0" applyFont="1" applyFill="1" applyBorder="1" applyProtection="1">
      <protection locked="0"/>
    </xf>
    <xf numFmtId="0" fontId="36" fillId="3" borderId="42" xfId="0" applyFont="1" applyFill="1" applyBorder="1" applyProtection="1"/>
    <xf numFmtId="0" fontId="36" fillId="3" borderId="33" xfId="0" applyFont="1" applyFill="1" applyBorder="1" applyProtection="1"/>
    <xf numFmtId="0" fontId="36" fillId="0" borderId="27" xfId="0" applyFont="1" applyFill="1" applyBorder="1" applyProtection="1">
      <protection locked="0"/>
    </xf>
    <xf numFmtId="0" fontId="26" fillId="3" borderId="42" xfId="0" applyFont="1" applyFill="1" applyBorder="1" applyProtection="1"/>
    <xf numFmtId="0" fontId="26" fillId="3" borderId="33" xfId="0" applyFont="1" applyFill="1" applyBorder="1" applyProtection="1"/>
    <xf numFmtId="0" fontId="26" fillId="0" borderId="27" xfId="0" applyFont="1" applyFill="1" applyBorder="1" applyProtection="1">
      <protection locked="0"/>
    </xf>
    <xf numFmtId="0" fontId="2" fillId="0" borderId="50" xfId="0" applyFont="1" applyBorder="1" applyAlignment="1" applyProtection="1">
      <alignment horizontal="center"/>
    </xf>
    <xf numFmtId="0" fontId="0" fillId="0" borderId="34" xfId="0" applyBorder="1" applyProtection="1"/>
    <xf numFmtId="0" fontId="0" fillId="0" borderId="51" xfId="0" applyBorder="1" applyProtection="1"/>
    <xf numFmtId="0" fontId="0" fillId="0" borderId="35" xfId="0" applyBorder="1" applyProtection="1"/>
    <xf numFmtId="0" fontId="2" fillId="0" borderId="25" xfId="0" applyFont="1" applyFill="1" applyBorder="1" applyAlignment="1" applyProtection="1">
      <alignment horizontal="center"/>
    </xf>
    <xf numFmtId="0" fontId="2" fillId="0" borderId="26" xfId="0" applyFont="1" applyFill="1" applyBorder="1" applyAlignment="1" applyProtection="1">
      <alignment horizontal="center"/>
    </xf>
    <xf numFmtId="0" fontId="0" fillId="0" borderId="2" xfId="0" applyBorder="1" applyProtection="1"/>
    <xf numFmtId="0" fontId="0" fillId="0" borderId="4" xfId="0" applyBorder="1" applyProtection="1"/>
    <xf numFmtId="0" fontId="0" fillId="0" borderId="7" xfId="0" applyBorder="1" applyProtection="1"/>
    <xf numFmtId="0" fontId="2" fillId="0" borderId="10" xfId="0" applyFont="1" applyFill="1" applyBorder="1" applyAlignment="1" applyProtection="1">
      <alignment horizontal="center"/>
    </xf>
    <xf numFmtId="0" fontId="2" fillId="0" borderId="12" xfId="0" applyFont="1" applyFill="1" applyBorder="1" applyAlignment="1" applyProtection="1">
      <alignment horizontal="center"/>
    </xf>
    <xf numFmtId="0" fontId="8" fillId="3" borderId="53" xfId="0" applyFont="1" applyFill="1" applyBorder="1"/>
    <xf numFmtId="0" fontId="8" fillId="3" borderId="51" xfId="0" applyFont="1" applyFill="1" applyBorder="1"/>
    <xf numFmtId="0" fontId="8" fillId="3" borderId="35" xfId="0" applyFont="1" applyFill="1" applyBorder="1"/>
    <xf numFmtId="0" fontId="1" fillId="8" borderId="54" xfId="0" applyFont="1" applyFill="1" applyBorder="1"/>
    <xf numFmtId="0" fontId="1" fillId="8" borderId="55" xfId="0" applyFont="1" applyFill="1" applyBorder="1"/>
    <xf numFmtId="0" fontId="20" fillId="8" borderId="28" xfId="0" applyFont="1" applyFill="1" applyBorder="1"/>
    <xf numFmtId="0" fontId="22" fillId="8" borderId="28" xfId="0" applyFont="1" applyFill="1" applyBorder="1"/>
    <xf numFmtId="0" fontId="1" fillId="8" borderId="28" xfId="0" applyFont="1" applyFill="1" applyBorder="1"/>
    <xf numFmtId="0" fontId="17" fillId="8" borderId="28" xfId="0" applyFont="1" applyFill="1" applyBorder="1"/>
    <xf numFmtId="0" fontId="8" fillId="8" borderId="56" xfId="0" applyFont="1" applyFill="1" applyBorder="1"/>
    <xf numFmtId="0" fontId="38" fillId="3" borderId="44" xfId="0" applyFont="1" applyFill="1" applyBorder="1" applyProtection="1"/>
    <xf numFmtId="0" fontId="38" fillId="3" borderId="36" xfId="0" applyFont="1" applyFill="1" applyBorder="1" applyProtection="1"/>
    <xf numFmtId="0" fontId="38" fillId="0" borderId="3" xfId="0" applyFont="1" applyFill="1" applyBorder="1" applyProtection="1">
      <protection locked="0"/>
    </xf>
    <xf numFmtId="0" fontId="2" fillId="0" borderId="52" xfId="0" applyFont="1" applyFill="1" applyBorder="1" applyAlignment="1" applyProtection="1">
      <alignment horizontal="center"/>
    </xf>
    <xf numFmtId="0" fontId="0" fillId="0" borderId="53" xfId="0" applyBorder="1" applyProtection="1"/>
    <xf numFmtId="0" fontId="0" fillId="0" borderId="36" xfId="0" applyBorder="1" applyProtection="1"/>
    <xf numFmtId="0" fontId="0" fillId="0" borderId="30" xfId="0" applyBorder="1" applyProtection="1"/>
    <xf numFmtId="0" fontId="2" fillId="0" borderId="24" xfId="0" applyFont="1" applyFill="1" applyBorder="1" applyAlignment="1" applyProtection="1">
      <alignment horizontal="center"/>
    </xf>
    <xf numFmtId="0" fontId="0" fillId="0" borderId="33" xfId="0" applyBorder="1" applyProtection="1"/>
    <xf numFmtId="0" fontId="4" fillId="0" borderId="4" xfId="0" applyFont="1" applyBorder="1" applyProtection="1"/>
    <xf numFmtId="0" fontId="39" fillId="10" borderId="57" xfId="0" applyFont="1" applyFill="1" applyBorder="1"/>
    <xf numFmtId="0" fontId="39" fillId="10" borderId="56" xfId="0" applyFont="1" applyFill="1" applyBorder="1"/>
    <xf numFmtId="0" fontId="39" fillId="11" borderId="57" xfId="0" applyFont="1" applyFill="1" applyBorder="1"/>
    <xf numFmtId="0" fontId="39" fillId="11" borderId="28" xfId="0" applyFont="1" applyFill="1" applyBorder="1"/>
    <xf numFmtId="0" fontId="39" fillId="11" borderId="46" xfId="0" applyFont="1" applyFill="1" applyBorder="1"/>
    <xf numFmtId="0" fontId="40" fillId="3" borderId="7" xfId="0" applyFont="1" applyFill="1" applyBorder="1"/>
    <xf numFmtId="0" fontId="40" fillId="3" borderId="53" xfId="0" applyFont="1" applyFill="1" applyBorder="1"/>
    <xf numFmtId="0" fontId="40" fillId="3" borderId="8" xfId="0" applyFont="1" applyFill="1" applyBorder="1"/>
    <xf numFmtId="0" fontId="40" fillId="3" borderId="9" xfId="0" applyFont="1" applyFill="1" applyBorder="1"/>
    <xf numFmtId="0" fontId="40" fillId="3" borderId="2" xfId="0" applyFont="1" applyFill="1" applyBorder="1"/>
    <xf numFmtId="0" fontId="40" fillId="3" borderId="51" xfId="0" applyFont="1" applyFill="1" applyBorder="1"/>
    <xf numFmtId="0" fontId="40" fillId="3" borderId="1" xfId="0" applyFont="1" applyFill="1" applyBorder="1"/>
    <xf numFmtId="0" fontId="40" fillId="3" borderId="3" xfId="0" applyFont="1" applyFill="1" applyBorder="1"/>
    <xf numFmtId="0" fontId="40" fillId="3" borderId="4" xfId="0" applyFont="1" applyFill="1" applyBorder="1"/>
    <xf numFmtId="0" fontId="40" fillId="3" borderId="35" xfId="0" applyFont="1" applyFill="1" applyBorder="1"/>
    <xf numFmtId="0" fontId="40" fillId="3" borderId="5" xfId="0" applyFont="1" applyFill="1" applyBorder="1"/>
    <xf numFmtId="0" fontId="40" fillId="3" borderId="6" xfId="0" applyFont="1" applyFill="1" applyBorder="1"/>
    <xf numFmtId="0" fontId="1" fillId="3" borderId="29" xfId="0" applyFont="1" applyFill="1" applyBorder="1"/>
    <xf numFmtId="0" fontId="20" fillId="3" borderId="8" xfId="0" applyFont="1" applyFill="1" applyBorder="1"/>
    <xf numFmtId="0" fontId="22" fillId="3" borderId="8" xfId="0" applyFont="1" applyFill="1" applyBorder="1"/>
    <xf numFmtId="0" fontId="1" fillId="3" borderId="8" xfId="0" applyFont="1" applyFill="1" applyBorder="1"/>
    <xf numFmtId="0" fontId="17" fillId="3" borderId="8" xfId="0" applyFont="1" applyFill="1" applyBorder="1"/>
    <xf numFmtId="0" fontId="1" fillId="3" borderId="36" xfId="0" applyFont="1" applyFill="1" applyBorder="1"/>
    <xf numFmtId="0" fontId="20" fillId="3" borderId="1" xfId="0" applyFont="1" applyFill="1" applyBorder="1"/>
    <xf numFmtId="0" fontId="22" fillId="3" borderId="1" xfId="0" applyFont="1" applyFill="1" applyBorder="1"/>
    <xf numFmtId="0" fontId="1" fillId="3" borderId="1" xfId="0" applyFont="1" applyFill="1" applyBorder="1"/>
    <xf numFmtId="0" fontId="17" fillId="3" borderId="1" xfId="0" applyFont="1" applyFill="1" applyBorder="1"/>
    <xf numFmtId="0" fontId="1" fillId="3" borderId="30" xfId="0" applyFont="1" applyFill="1" applyBorder="1"/>
    <xf numFmtId="0" fontId="20" fillId="3" borderId="5" xfId="0" applyFont="1" applyFill="1" applyBorder="1"/>
    <xf numFmtId="0" fontId="22" fillId="3" borderId="5" xfId="0" applyFont="1" applyFill="1" applyBorder="1"/>
    <xf numFmtId="0" fontId="1" fillId="3" borderId="5" xfId="0" applyFont="1" applyFill="1" applyBorder="1"/>
    <xf numFmtId="0" fontId="17" fillId="3" borderId="5" xfId="0" applyFont="1" applyFill="1" applyBorder="1"/>
    <xf numFmtId="0" fontId="41" fillId="6" borderId="0" xfId="0" applyFont="1" applyFill="1" applyProtection="1"/>
    <xf numFmtId="0" fontId="41" fillId="6" borderId="0" xfId="0" applyFont="1" applyFill="1" applyBorder="1" applyProtection="1"/>
    <xf numFmtId="0" fontId="41" fillId="6" borderId="1" xfId="0" applyFont="1" applyFill="1" applyBorder="1" applyProtection="1"/>
    <xf numFmtId="0" fontId="1" fillId="8" borderId="13" xfId="0" applyFont="1" applyFill="1" applyBorder="1" applyAlignment="1" applyProtection="1">
      <alignment horizontal="left"/>
    </xf>
    <xf numFmtId="0" fontId="1" fillId="8" borderId="0" xfId="0" applyFont="1" applyFill="1" applyBorder="1" applyAlignment="1" applyProtection="1">
      <alignment horizontal="left"/>
    </xf>
    <xf numFmtId="0" fontId="1" fillId="8" borderId="20" xfId="0" applyFont="1" applyFill="1" applyBorder="1" applyAlignment="1" applyProtection="1">
      <alignment horizontal="left"/>
    </xf>
    <xf numFmtId="0" fontId="1" fillId="8" borderId="13" xfId="0" applyFont="1" applyFill="1" applyBorder="1" applyProtection="1"/>
    <xf numFmtId="0" fontId="1" fillId="8" borderId="17" xfId="0" applyFont="1" applyFill="1" applyBorder="1" applyProtection="1"/>
    <xf numFmtId="0" fontId="1" fillId="8" borderId="18" xfId="0" applyFont="1" applyFill="1" applyBorder="1" applyProtection="1"/>
    <xf numFmtId="0" fontId="1" fillId="8" borderId="17" xfId="0" applyFont="1" applyFill="1" applyBorder="1" applyAlignment="1" applyProtection="1">
      <alignment horizontal="left"/>
    </xf>
    <xf numFmtId="0" fontId="1" fillId="8" borderId="18" xfId="0" applyFont="1" applyFill="1" applyBorder="1" applyAlignment="1" applyProtection="1">
      <alignment horizontal="left"/>
    </xf>
    <xf numFmtId="0" fontId="2" fillId="5" borderId="13" xfId="0" applyFont="1" applyFill="1" applyBorder="1" applyAlignment="1" applyProtection="1">
      <alignment horizontal="center"/>
    </xf>
    <xf numFmtId="0" fontId="2" fillId="5" borderId="14" xfId="0" applyFont="1" applyFill="1" applyBorder="1" applyAlignment="1" applyProtection="1">
      <alignment horizontal="center"/>
    </xf>
    <xf numFmtId="0" fontId="2" fillId="5" borderId="15" xfId="0" applyFont="1" applyFill="1" applyBorder="1" applyAlignment="1" applyProtection="1">
      <alignment horizontal="center"/>
    </xf>
    <xf numFmtId="0" fontId="2" fillId="5" borderId="13" xfId="0" applyFont="1" applyFill="1" applyBorder="1" applyAlignment="1">
      <alignment horizontal="center"/>
    </xf>
    <xf numFmtId="0" fontId="2" fillId="5" borderId="14" xfId="0" applyFont="1" applyFill="1" applyBorder="1" applyAlignment="1">
      <alignment horizontal="center"/>
    </xf>
    <xf numFmtId="0" fontId="2" fillId="5" borderId="15" xfId="0" applyFont="1" applyFill="1" applyBorder="1" applyAlignment="1">
      <alignment horizontal="center"/>
    </xf>
    <xf numFmtId="0" fontId="1" fillId="4" borderId="16" xfId="0" applyFont="1" applyFill="1" applyBorder="1" applyAlignment="1" applyProtection="1">
      <alignment horizontal="center"/>
      <protection locked="0"/>
    </xf>
    <xf numFmtId="0" fontId="1" fillId="4" borderId="17" xfId="0" applyFont="1" applyFill="1" applyBorder="1" applyAlignment="1" applyProtection="1">
      <alignment horizontal="center"/>
      <protection locked="0"/>
    </xf>
    <xf numFmtId="0" fontId="1" fillId="4" borderId="18" xfId="0" applyFont="1" applyFill="1" applyBorder="1" applyAlignment="1" applyProtection="1">
      <alignment horizontal="center"/>
      <protection locked="0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2D6D6"/>
      <color rgb="FFFF7C80"/>
      <color rgb="FFFFFFE5"/>
      <color rgb="FFFF3399"/>
      <color rgb="FF966A6A"/>
      <color rgb="FFFAF76E"/>
      <color rgb="FFFFB989"/>
      <color rgb="FFFF6969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7004E-CD20-4E9B-8ED0-E861A9131058}">
  <dimension ref="B4:I23"/>
  <sheetViews>
    <sheetView tabSelected="1" workbookViewId="0">
      <selection activeCell="H10" sqref="H10"/>
    </sheetView>
  </sheetViews>
  <sheetFormatPr baseColWidth="10" defaultRowHeight="13.2" x14ac:dyDescent="0.25"/>
  <sheetData>
    <row r="4" spans="2:9" ht="13.8" thickBot="1" x14ac:dyDescent="0.3">
      <c r="B4" s="128" t="s">
        <v>164</v>
      </c>
      <c r="C4" s="127"/>
      <c r="D4" s="127"/>
      <c r="E4" s="127"/>
      <c r="F4" s="127"/>
      <c r="G4" s="127"/>
      <c r="H4" s="127"/>
      <c r="I4" s="127"/>
    </row>
    <row r="5" spans="2:9" ht="13.8" thickBot="1" x14ac:dyDescent="0.3">
      <c r="B5" s="128" t="s">
        <v>163</v>
      </c>
      <c r="C5" s="127"/>
      <c r="D5" s="127"/>
      <c r="E5" s="127"/>
      <c r="F5" s="127"/>
      <c r="G5" s="127"/>
      <c r="H5" s="130"/>
      <c r="I5" s="127"/>
    </row>
    <row r="6" spans="2:9" ht="13.8" thickBot="1" x14ac:dyDescent="0.3">
      <c r="B6" s="127"/>
      <c r="C6" s="127"/>
      <c r="D6" s="127"/>
      <c r="E6" s="127"/>
      <c r="F6" s="127"/>
      <c r="G6" s="127"/>
      <c r="H6" s="127"/>
      <c r="I6" s="127"/>
    </row>
    <row r="7" spans="2:9" ht="13.8" thickBot="1" x14ac:dyDescent="0.3">
      <c r="B7" s="128" t="s">
        <v>162</v>
      </c>
      <c r="C7" s="127"/>
      <c r="D7" s="127"/>
      <c r="E7" s="127"/>
      <c r="F7" s="127"/>
      <c r="G7" s="127"/>
      <c r="H7" s="130"/>
      <c r="I7" s="127"/>
    </row>
    <row r="8" spans="2:9" x14ac:dyDescent="0.25">
      <c r="B8" s="127"/>
      <c r="C8" s="127"/>
      <c r="D8" s="127"/>
      <c r="E8" s="127"/>
      <c r="F8" s="127"/>
      <c r="G8" s="127"/>
      <c r="H8" s="127"/>
      <c r="I8" s="127"/>
    </row>
    <row r="9" spans="2:9" ht="13.8" thickBot="1" x14ac:dyDescent="0.3">
      <c r="B9" s="127"/>
      <c r="C9" s="127"/>
      <c r="D9" s="127"/>
      <c r="E9" s="127"/>
      <c r="F9" s="127"/>
      <c r="G9" s="127"/>
      <c r="H9" s="127"/>
      <c r="I9" s="127"/>
    </row>
    <row r="10" spans="2:9" ht="13.8" thickBot="1" x14ac:dyDescent="0.3">
      <c r="B10" s="128" t="s">
        <v>173</v>
      </c>
      <c r="C10" s="127"/>
      <c r="D10" s="127"/>
      <c r="E10" s="127"/>
      <c r="F10" s="127"/>
      <c r="G10" s="127"/>
      <c r="H10" s="126"/>
      <c r="I10" s="127"/>
    </row>
    <row r="11" spans="2:9" x14ac:dyDescent="0.25">
      <c r="B11" s="127"/>
      <c r="C11" s="127"/>
      <c r="D11" s="127"/>
      <c r="E11" s="127"/>
      <c r="F11" s="127"/>
      <c r="G11" s="127"/>
      <c r="H11" s="127"/>
      <c r="I11" s="127"/>
    </row>
    <row r="12" spans="2:9" x14ac:dyDescent="0.25">
      <c r="B12" s="128" t="s">
        <v>161</v>
      </c>
      <c r="C12" s="127"/>
      <c r="D12" s="127"/>
      <c r="E12" s="127"/>
      <c r="F12" s="127"/>
      <c r="G12" s="127"/>
      <c r="H12" s="127"/>
      <c r="I12" s="127"/>
    </row>
    <row r="13" spans="2:9" x14ac:dyDescent="0.25">
      <c r="B13" s="127"/>
      <c r="C13" s="127"/>
      <c r="D13" s="127"/>
      <c r="E13" s="127"/>
      <c r="F13" s="127"/>
      <c r="G13" s="127"/>
      <c r="H13" s="127"/>
      <c r="I13" s="127"/>
    </row>
    <row r="14" spans="2:9" x14ac:dyDescent="0.25">
      <c r="B14" s="128" t="s">
        <v>165</v>
      </c>
      <c r="C14" s="127"/>
      <c r="D14" s="127"/>
      <c r="E14" s="127"/>
      <c r="F14" s="127"/>
      <c r="G14" s="127"/>
      <c r="H14" s="127"/>
      <c r="I14" s="127"/>
    </row>
    <row r="15" spans="2:9" x14ac:dyDescent="0.25">
      <c r="B15" s="128" t="s">
        <v>160</v>
      </c>
      <c r="C15" s="127"/>
      <c r="D15" s="127"/>
      <c r="E15" s="127"/>
      <c r="F15" s="127"/>
      <c r="G15" s="127"/>
      <c r="H15" s="127"/>
      <c r="I15" s="127"/>
    </row>
    <row r="16" spans="2:9" x14ac:dyDescent="0.25">
      <c r="B16" s="129" t="s">
        <v>150</v>
      </c>
      <c r="C16" s="127"/>
      <c r="D16" s="127"/>
      <c r="E16" s="127"/>
      <c r="F16" s="127"/>
      <c r="G16" s="127"/>
      <c r="H16" s="127"/>
      <c r="I16" s="127"/>
    </row>
    <row r="17" spans="2:9" x14ac:dyDescent="0.25">
      <c r="B17" s="128" t="s">
        <v>6</v>
      </c>
      <c r="C17" s="128" t="s">
        <v>151</v>
      </c>
      <c r="D17" s="127"/>
      <c r="E17" s="127"/>
      <c r="F17" s="127"/>
      <c r="G17" s="127"/>
      <c r="H17" s="127"/>
      <c r="I17" s="127"/>
    </row>
    <row r="18" spans="2:9" x14ac:dyDescent="0.25">
      <c r="B18" s="128" t="s">
        <v>2</v>
      </c>
      <c r="C18" s="128" t="s">
        <v>152</v>
      </c>
      <c r="D18" s="127"/>
      <c r="E18" s="127"/>
      <c r="F18" s="127"/>
      <c r="G18" s="127"/>
      <c r="H18" s="127"/>
      <c r="I18" s="127"/>
    </row>
    <row r="19" spans="2:9" x14ac:dyDescent="0.25">
      <c r="B19" s="128" t="s">
        <v>1</v>
      </c>
      <c r="C19" s="128" t="s">
        <v>153</v>
      </c>
      <c r="D19" s="127"/>
      <c r="E19" s="127"/>
      <c r="F19" s="127"/>
      <c r="G19" s="127"/>
      <c r="H19" s="127"/>
      <c r="I19" s="127"/>
    </row>
    <row r="20" spans="2:9" x14ac:dyDescent="0.25">
      <c r="B20" s="128" t="s">
        <v>0</v>
      </c>
      <c r="C20" s="128" t="s">
        <v>154</v>
      </c>
      <c r="D20" s="127"/>
      <c r="E20" s="127"/>
      <c r="F20" s="127"/>
      <c r="G20" s="127"/>
      <c r="H20" s="127"/>
      <c r="I20" s="127"/>
    </row>
    <row r="21" spans="2:9" x14ac:dyDescent="0.25">
      <c r="B21" s="128" t="s">
        <v>155</v>
      </c>
      <c r="C21" s="128" t="s">
        <v>156</v>
      </c>
      <c r="D21" s="127"/>
      <c r="E21" s="127"/>
      <c r="F21" s="127"/>
      <c r="G21" s="127"/>
      <c r="H21" s="127"/>
      <c r="I21" s="127"/>
    </row>
    <row r="22" spans="2:9" x14ac:dyDescent="0.25">
      <c r="B22" s="128" t="s">
        <v>157</v>
      </c>
      <c r="C22" s="128" t="s">
        <v>158</v>
      </c>
      <c r="D22" s="127"/>
      <c r="E22" s="127"/>
      <c r="F22" s="127"/>
      <c r="G22" s="127"/>
      <c r="H22" s="127"/>
      <c r="I22" s="127"/>
    </row>
    <row r="23" spans="2:9" x14ac:dyDescent="0.25">
      <c r="B23" s="128" t="s">
        <v>5</v>
      </c>
      <c r="C23" s="128" t="s">
        <v>159</v>
      </c>
      <c r="D23" s="127"/>
      <c r="E23" s="127"/>
      <c r="F23" s="127"/>
      <c r="G23" s="127"/>
      <c r="H23" s="127"/>
      <c r="I23" s="127"/>
    </row>
  </sheetData>
  <sheetProtection sheet="1" objects="1" scenarios="1"/>
  <dataValidations count="1">
    <dataValidation type="list" allowBlank="1" showInputMessage="1" showErrorMessage="1" sqref="H10" xr:uid="{C3E13342-D5C8-448B-B645-15387E34989E}">
      <formula1>$K$5:$K$7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X86"/>
  <sheetViews>
    <sheetView zoomScaleNormal="100" workbookViewId="0">
      <selection activeCell="BT43" sqref="BT43"/>
    </sheetView>
  </sheetViews>
  <sheetFormatPr baseColWidth="10" defaultColWidth="8.88671875" defaultRowHeight="13.2" x14ac:dyDescent="0.25"/>
  <cols>
    <col min="1" max="1" width="21.21875" style="88" customWidth="1"/>
    <col min="2" max="2" width="22.6640625" style="88" customWidth="1"/>
    <col min="3" max="3" width="11.44140625" style="88" customWidth="1"/>
    <col min="4" max="5" width="9.21875" style="88" customWidth="1"/>
    <col min="6" max="6" width="17.44140625" style="88" customWidth="1"/>
    <col min="7" max="7" width="28.109375" style="88" customWidth="1"/>
    <col min="8" max="8" width="11.44140625" style="88" customWidth="1"/>
    <col min="9" max="9" width="8.6640625" style="88" customWidth="1"/>
    <col min="10" max="10" width="11.44140625" style="88" customWidth="1"/>
    <col min="11" max="11" width="17.33203125" style="88" customWidth="1"/>
    <col min="12" max="12" width="24.77734375" style="88" customWidth="1"/>
    <col min="13" max="20" width="11.44140625" style="88" customWidth="1"/>
    <col min="21" max="21" width="15.77734375" style="88" customWidth="1"/>
    <col min="22" max="22" width="21.5546875" style="88" customWidth="1"/>
    <col min="23" max="25" width="11.44140625" style="88" customWidth="1"/>
    <col min="26" max="26" width="16.33203125" style="88" customWidth="1"/>
    <col min="27" max="27" width="23.77734375" style="88" customWidth="1"/>
    <col min="28" max="30" width="11.44140625" style="88" customWidth="1"/>
    <col min="31" max="31" width="16.6640625" style="88" customWidth="1"/>
    <col min="32" max="32" width="33.77734375" style="88" customWidth="1"/>
    <col min="33" max="35" width="11.44140625" style="88" customWidth="1"/>
    <col min="36" max="36" width="20.109375" style="88" customWidth="1"/>
    <col min="37" max="37" width="30.44140625" style="88" customWidth="1"/>
    <col min="38" max="62" width="11.44140625" style="88" customWidth="1"/>
    <col min="63" max="63" width="12.5546875" style="88" customWidth="1"/>
    <col min="64" max="66" width="11.44140625" style="88" customWidth="1"/>
    <col min="67" max="67" width="12.109375" style="88" customWidth="1"/>
    <col min="68" max="68" width="11.44140625" style="88" customWidth="1"/>
    <col min="69" max="69" width="15.21875" style="88" customWidth="1"/>
    <col min="70" max="74" width="11.44140625" style="88" customWidth="1"/>
    <col min="75" max="75" width="12.33203125" style="88" customWidth="1"/>
    <col min="76" max="76" width="18.33203125" style="88" customWidth="1"/>
    <col min="77" max="247" width="11.44140625" style="88" customWidth="1"/>
    <col min="248" max="16384" width="8.88671875" style="88"/>
  </cols>
  <sheetData>
    <row r="1" spans="1:76" x14ac:dyDescent="0.25">
      <c r="A1" s="87"/>
    </row>
    <row r="2" spans="1:76" x14ac:dyDescent="0.25">
      <c r="A2" s="87"/>
    </row>
    <row r="3" spans="1:76" x14ac:dyDescent="0.25">
      <c r="A3" s="87"/>
    </row>
    <row r="4" spans="1:76" x14ac:dyDescent="0.25">
      <c r="A4" s="81"/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</row>
    <row r="5" spans="1:76" ht="13.8" thickBot="1" x14ac:dyDescent="0.3">
      <c r="A5" s="82"/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</row>
    <row r="6" spans="1:76" ht="13.8" thickBot="1" x14ac:dyDescent="0.3">
      <c r="A6" s="82"/>
      <c r="B6" s="319" t="s">
        <v>92</v>
      </c>
      <c r="C6" s="320"/>
      <c r="D6" s="321"/>
      <c r="E6" s="82"/>
      <c r="F6" s="82"/>
      <c r="G6" s="319" t="s">
        <v>93</v>
      </c>
      <c r="H6" s="320"/>
      <c r="I6" s="321"/>
      <c r="J6" s="82"/>
      <c r="K6" s="82"/>
      <c r="L6" s="319" t="s">
        <v>94</v>
      </c>
      <c r="M6" s="320"/>
      <c r="N6" s="321"/>
      <c r="O6" s="82"/>
      <c r="P6" s="82"/>
      <c r="Q6" s="319" t="s">
        <v>95</v>
      </c>
      <c r="R6" s="320"/>
      <c r="S6" s="321"/>
      <c r="T6" s="82"/>
      <c r="U6" s="82"/>
      <c r="V6" s="319" t="s">
        <v>96</v>
      </c>
      <c r="W6" s="320"/>
      <c r="X6" s="321"/>
      <c r="Y6" s="82"/>
      <c r="Z6" s="82"/>
      <c r="AA6" s="319" t="s">
        <v>97</v>
      </c>
      <c r="AB6" s="320"/>
      <c r="AC6" s="321"/>
      <c r="AD6" s="82"/>
      <c r="AE6" s="82"/>
      <c r="AF6" s="319" t="s">
        <v>98</v>
      </c>
      <c r="AG6" s="320"/>
      <c r="AH6" s="321"/>
      <c r="AI6" s="82"/>
      <c r="AJ6" s="82"/>
      <c r="AK6" s="319" t="s">
        <v>99</v>
      </c>
      <c r="AL6" s="320"/>
      <c r="AM6" s="321"/>
      <c r="AN6" s="82"/>
    </row>
    <row r="7" spans="1:76" ht="13.8" thickBot="1" x14ac:dyDescent="0.3">
      <c r="A7" s="82"/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</row>
    <row r="8" spans="1:76" ht="13.8" thickBot="1" x14ac:dyDescent="0.3">
      <c r="A8" s="311" t="s">
        <v>47</v>
      </c>
      <c r="B8" s="317"/>
      <c r="C8" s="317"/>
      <c r="D8" s="318"/>
      <c r="E8" s="83"/>
      <c r="F8" s="311" t="s">
        <v>16</v>
      </c>
      <c r="G8" s="317"/>
      <c r="H8" s="317"/>
      <c r="I8" s="318"/>
      <c r="J8" s="82"/>
      <c r="K8" s="314" t="s">
        <v>20</v>
      </c>
      <c r="L8" s="315"/>
      <c r="M8" s="315"/>
      <c r="N8" s="316"/>
      <c r="O8" s="82"/>
      <c r="P8" s="311" t="s">
        <v>23</v>
      </c>
      <c r="Q8" s="317"/>
      <c r="R8" s="317"/>
      <c r="S8" s="318"/>
      <c r="T8" s="82"/>
      <c r="U8" s="311" t="s">
        <v>26</v>
      </c>
      <c r="V8" s="317"/>
      <c r="W8" s="317"/>
      <c r="X8" s="318"/>
      <c r="Y8" s="82"/>
      <c r="Z8" s="311" t="s">
        <v>26</v>
      </c>
      <c r="AA8" s="317"/>
      <c r="AB8" s="317"/>
      <c r="AC8" s="318"/>
      <c r="AD8" s="82"/>
      <c r="AE8" s="311" t="s">
        <v>29</v>
      </c>
      <c r="AF8" s="317"/>
      <c r="AG8" s="317"/>
      <c r="AH8" s="318"/>
      <c r="AI8" s="82"/>
      <c r="AJ8" s="311" t="s">
        <v>32</v>
      </c>
      <c r="AK8" s="317"/>
      <c r="AL8" s="317"/>
      <c r="AM8" s="318"/>
      <c r="AN8" s="82"/>
      <c r="BI8" s="87" t="s">
        <v>171</v>
      </c>
    </row>
    <row r="9" spans="1:76" ht="13.8" thickBot="1" x14ac:dyDescent="0.3">
      <c r="A9" s="82"/>
      <c r="B9" s="136" t="s">
        <v>6</v>
      </c>
      <c r="C9" s="137" t="s">
        <v>131</v>
      </c>
      <c r="D9" s="138"/>
      <c r="E9" s="83"/>
      <c r="F9" s="82"/>
      <c r="G9" s="167" t="s">
        <v>2</v>
      </c>
      <c r="H9" s="168" t="s">
        <v>131</v>
      </c>
      <c r="I9" s="169"/>
      <c r="J9" s="83"/>
      <c r="K9" s="82"/>
      <c r="L9" s="188" t="s">
        <v>3</v>
      </c>
      <c r="M9" s="189" t="s">
        <v>131</v>
      </c>
      <c r="N9" s="190"/>
      <c r="O9" s="83"/>
      <c r="P9" s="82"/>
      <c r="Q9" s="136" t="s">
        <v>6</v>
      </c>
      <c r="R9" s="158" t="s">
        <v>131</v>
      </c>
      <c r="S9" s="138"/>
      <c r="T9" s="82"/>
      <c r="U9" s="82"/>
      <c r="V9" s="136" t="s">
        <v>6</v>
      </c>
      <c r="W9" s="158" t="s">
        <v>131</v>
      </c>
      <c r="X9" s="138"/>
      <c r="Y9" s="82"/>
      <c r="Z9" s="82"/>
      <c r="AA9" s="136" t="s">
        <v>6</v>
      </c>
      <c r="AB9" s="158" t="s">
        <v>131</v>
      </c>
      <c r="AC9" s="138"/>
      <c r="AD9" s="82"/>
      <c r="AE9" s="82"/>
      <c r="AF9" s="204" t="s">
        <v>3</v>
      </c>
      <c r="AG9" s="205" t="s">
        <v>131</v>
      </c>
      <c r="AH9" s="190"/>
      <c r="AI9" s="82"/>
      <c r="AJ9" s="82"/>
      <c r="AK9" s="224" t="s">
        <v>2</v>
      </c>
      <c r="AL9" s="221" t="s">
        <v>131</v>
      </c>
      <c r="AM9" s="216"/>
      <c r="AN9" s="82"/>
      <c r="BI9" s="91" t="s">
        <v>144</v>
      </c>
      <c r="BK9" s="89"/>
      <c r="BL9" s="90" t="s">
        <v>43</v>
      </c>
      <c r="BM9" s="90" t="s">
        <v>44</v>
      </c>
      <c r="BN9" s="90" t="s">
        <v>1</v>
      </c>
      <c r="BO9" s="90" t="s">
        <v>45</v>
      </c>
      <c r="BP9" s="90" t="s">
        <v>46</v>
      </c>
      <c r="BQ9" s="245" t="s">
        <v>130</v>
      </c>
      <c r="BR9" s="254" t="s">
        <v>166</v>
      </c>
      <c r="BS9" s="255" t="s">
        <v>167</v>
      </c>
      <c r="BT9" s="273" t="s">
        <v>168</v>
      </c>
      <c r="BU9" s="254" t="s">
        <v>166</v>
      </c>
      <c r="BV9" s="255" t="s">
        <v>167</v>
      </c>
      <c r="BW9" s="249" t="s">
        <v>169</v>
      </c>
      <c r="BX9" s="250" t="s">
        <v>170</v>
      </c>
    </row>
    <row r="10" spans="1:76" x14ac:dyDescent="0.25">
      <c r="A10" s="82"/>
      <c r="B10" s="139" t="s">
        <v>1</v>
      </c>
      <c r="C10" s="140" t="s">
        <v>50</v>
      </c>
      <c r="D10" s="141"/>
      <c r="E10" s="83"/>
      <c r="F10" s="82"/>
      <c r="G10" s="170" t="s">
        <v>1</v>
      </c>
      <c r="H10" s="171" t="s">
        <v>58</v>
      </c>
      <c r="I10" s="172"/>
      <c r="J10" s="83"/>
      <c r="K10" s="82"/>
      <c r="L10" s="191" t="s">
        <v>6</v>
      </c>
      <c r="M10" s="192" t="s">
        <v>50</v>
      </c>
      <c r="N10" s="193"/>
      <c r="O10" s="83"/>
      <c r="P10" s="82"/>
      <c r="Q10" s="198" t="s">
        <v>7</v>
      </c>
      <c r="R10" s="199" t="s">
        <v>131</v>
      </c>
      <c r="S10" s="200"/>
      <c r="T10" s="82"/>
      <c r="U10" s="82"/>
      <c r="V10" s="215" t="s">
        <v>2</v>
      </c>
      <c r="W10" s="214" t="s">
        <v>78</v>
      </c>
      <c r="X10" s="200"/>
      <c r="Y10" s="82"/>
      <c r="Z10" s="82"/>
      <c r="AA10" s="215" t="s">
        <v>2</v>
      </c>
      <c r="AB10" s="214" t="s">
        <v>78</v>
      </c>
      <c r="AC10" s="200"/>
      <c r="AD10" s="82"/>
      <c r="AE10" s="82"/>
      <c r="AF10" s="225" t="s">
        <v>133</v>
      </c>
      <c r="AG10" s="222" t="s">
        <v>134</v>
      </c>
      <c r="AH10" s="238"/>
      <c r="AI10" s="82"/>
      <c r="AJ10" s="82"/>
      <c r="AK10" s="225" t="s">
        <v>12</v>
      </c>
      <c r="AL10" s="222" t="s">
        <v>131</v>
      </c>
      <c r="AM10" s="200"/>
      <c r="AN10" s="82"/>
      <c r="BI10" s="95" t="s">
        <v>145</v>
      </c>
      <c r="BK10" s="92" t="s">
        <v>38</v>
      </c>
      <c r="BL10" s="93">
        <f>ROUND(Calculator!D65*0.59+IF(Calculator!G39=Equipment!AJ28,Calculator!F65*0.02,0),0)</f>
        <v>19</v>
      </c>
      <c r="BM10" s="93">
        <f>ROUND(Equipment!BL10*Calculator!F66/100,0)</f>
        <v>25</v>
      </c>
      <c r="BN10" s="93">
        <f>_xlfn.SWITCH(Calculator!F73,Equipment!BI10,Calculator!D66+D15,Equipment!BI9,100)</f>
        <v>10</v>
      </c>
      <c r="BO10" s="93">
        <f>ROUND(BL10*(1+(BN10/100)*(Calculator!F66/100)),0)</f>
        <v>21</v>
      </c>
      <c r="BP10" s="93">
        <f>ROUND(0.4*100/Calculator!D67,2)</f>
        <v>0.4</v>
      </c>
      <c r="BQ10" s="246">
        <f>ROUND(BO10/(BP10+0.3),0)</f>
        <v>30</v>
      </c>
      <c r="BR10" s="253">
        <f>ROUND(BQ10*(1+D18/100),0)</f>
        <v>30</v>
      </c>
      <c r="BS10" s="270">
        <f>ROUND(BQ10*(1+D19/100),0)</f>
        <v>30</v>
      </c>
      <c r="BT10" s="94">
        <f>ROUND(BL10*(1+(BW10/100)*(Calculator!F66/100))/(BX10+0.3),0)</f>
        <v>31</v>
      </c>
      <c r="BU10" s="274">
        <f>ROUND(BT10*(1+D18/100),0)</f>
        <v>31</v>
      </c>
      <c r="BV10" s="94">
        <f>ROUND(BT10*(1+D19/100),0)</f>
        <v>31</v>
      </c>
      <c r="BW10" s="251">
        <f>_xlfn.SWITCH(Calculator!F73,Equipment!BI10,Calculator!D66+D15+IF(Calculator!C43=Equipment!K8,Equipment!N17,0),Equipment!BI9,100)</f>
        <v>10</v>
      </c>
      <c r="BX10" s="93">
        <f>ROUND(0.4*100/(Calculator!D67+_xlfn.SWITCH(Calculator!C43,Equipment!K8,Equipment!N16,Equipment!K21,Equipment!N28,Equipment!K34,0)),2)</f>
        <v>0.4</v>
      </c>
    </row>
    <row r="11" spans="1:76" ht="13.8" thickBot="1" x14ac:dyDescent="0.3">
      <c r="A11" s="82"/>
      <c r="B11" s="142" t="s">
        <v>0</v>
      </c>
      <c r="C11" s="132" t="s">
        <v>51</v>
      </c>
      <c r="D11" s="143"/>
      <c r="E11" s="83"/>
      <c r="F11" s="82"/>
      <c r="G11" s="173" t="s">
        <v>6</v>
      </c>
      <c r="H11" s="163" t="s">
        <v>50</v>
      </c>
      <c r="I11" s="174"/>
      <c r="J11" s="83"/>
      <c r="K11" s="82"/>
      <c r="L11" s="194" t="s">
        <v>2</v>
      </c>
      <c r="M11" s="187" t="s">
        <v>58</v>
      </c>
      <c r="N11" s="143"/>
      <c r="O11" s="83"/>
      <c r="P11" s="82"/>
      <c r="Q11" s="201" t="s">
        <v>8</v>
      </c>
      <c r="R11" s="202" t="s">
        <v>131</v>
      </c>
      <c r="S11" s="203"/>
      <c r="T11" s="82"/>
      <c r="U11" s="82"/>
      <c r="V11" s="175" t="s">
        <v>3</v>
      </c>
      <c r="W11" s="164" t="s">
        <v>58</v>
      </c>
      <c r="X11" s="143"/>
      <c r="Y11" s="82"/>
      <c r="Z11" s="82"/>
      <c r="AA11" s="175" t="s">
        <v>3</v>
      </c>
      <c r="AB11" s="164" t="s">
        <v>58</v>
      </c>
      <c r="AC11" s="143"/>
      <c r="AD11" s="82"/>
      <c r="AE11" s="82"/>
      <c r="AF11" s="173" t="s">
        <v>6</v>
      </c>
      <c r="AG11" s="163" t="s">
        <v>131</v>
      </c>
      <c r="AH11" s="174"/>
      <c r="AI11" s="82"/>
      <c r="AJ11" s="82"/>
      <c r="AK11" s="173" t="s">
        <v>6</v>
      </c>
      <c r="AL11" s="163" t="s">
        <v>131</v>
      </c>
      <c r="AM11" s="174"/>
      <c r="AN11" s="82"/>
      <c r="BK11" s="96" t="s">
        <v>39</v>
      </c>
      <c r="BL11" s="97">
        <f>ROUND(Calculator!D65*0.67+IF(Calculator!G39=Equipment!AJ28,Calculator!F65*0.02,0),0)</f>
        <v>21</v>
      </c>
      <c r="BM11" s="97">
        <f>ROUND(Equipment!BL11*Calculator!F66/100,0)</f>
        <v>27</v>
      </c>
      <c r="BN11" s="98">
        <f>Calculator!D66</f>
        <v>10</v>
      </c>
      <c r="BO11" s="98">
        <f>ROUND(BL11*(1+(BN11/100)*(Calculator!F66/100)),0)</f>
        <v>24</v>
      </c>
      <c r="BP11" s="98">
        <f>ROUND(0.5*100/Calculator!D67,2)</f>
        <v>0.5</v>
      </c>
      <c r="BQ11" s="247">
        <f>ROUND(SUM(BO10:BO11)/SUM(BP10:BP11),0)</f>
        <v>50</v>
      </c>
      <c r="BR11" s="251">
        <f>ROUND(BQ11*(1+D18/100),0)</f>
        <v>50</v>
      </c>
      <c r="BS11" s="247">
        <f>ROUND(BQ11*(1+D19/100),0)</f>
        <v>50</v>
      </c>
      <c r="BT11" s="99">
        <f>ROUND(BL11*(1+(BW11/100)*(Calculator!F66/100))/BX11,0)</f>
        <v>47</v>
      </c>
      <c r="BU11" s="271">
        <f>ROUND(BT11*(1+D18/100),0)</f>
        <v>47</v>
      </c>
      <c r="BV11" s="99">
        <f>ROUND(BT11*(1+D19/100),0)</f>
        <v>47</v>
      </c>
      <c r="BW11" s="251">
        <f>Calculator!D66+IF(Calculator!C43=Equipment!K8,Equipment!N17,0)</f>
        <v>10</v>
      </c>
      <c r="BX11" s="98">
        <f>ROUND(0.5*100/(Calculator!D67+_xlfn.SWITCH(Calculator!C43,Equipment!K8,Equipment!N16,Equipment!K21,Equipment!N28,Equipment!K34,0)),2)</f>
        <v>0.5</v>
      </c>
    </row>
    <row r="12" spans="1:76" ht="13.8" thickBot="1" x14ac:dyDescent="0.3">
      <c r="A12" s="82"/>
      <c r="B12" s="144" t="s">
        <v>5</v>
      </c>
      <c r="C12" s="133" t="s">
        <v>50</v>
      </c>
      <c r="D12" s="145"/>
      <c r="E12" s="83"/>
      <c r="F12" s="82"/>
      <c r="G12" s="175" t="s">
        <v>3</v>
      </c>
      <c r="H12" s="164" t="s">
        <v>60</v>
      </c>
      <c r="I12" s="143"/>
      <c r="J12" s="83"/>
      <c r="K12" s="82"/>
      <c r="L12" s="149" t="s">
        <v>1</v>
      </c>
      <c r="M12" s="131" t="s">
        <v>50</v>
      </c>
      <c r="N12" s="150"/>
      <c r="O12" s="83"/>
      <c r="P12" s="311" t="s">
        <v>24</v>
      </c>
      <c r="Q12" s="312"/>
      <c r="R12" s="312"/>
      <c r="S12" s="313"/>
      <c r="T12" s="82"/>
      <c r="U12" s="82"/>
      <c r="V12" s="146" t="s">
        <v>8</v>
      </c>
      <c r="W12" s="134" t="s">
        <v>58</v>
      </c>
      <c r="X12" s="147"/>
      <c r="Y12" s="82"/>
      <c r="Z12" s="82"/>
      <c r="AA12" s="146" t="s">
        <v>8</v>
      </c>
      <c r="AB12" s="134" t="s">
        <v>58</v>
      </c>
      <c r="AC12" s="147"/>
      <c r="AD12" s="82"/>
      <c r="AE12" s="82"/>
      <c r="AF12" s="194" t="s">
        <v>2</v>
      </c>
      <c r="AG12" s="187" t="s">
        <v>78</v>
      </c>
      <c r="AH12" s="143"/>
      <c r="AI12" s="82"/>
      <c r="AJ12" s="82"/>
      <c r="AK12" s="194" t="s">
        <v>2</v>
      </c>
      <c r="AL12" s="187" t="s">
        <v>78</v>
      </c>
      <c r="AM12" s="143"/>
      <c r="AN12" s="82"/>
      <c r="BK12" s="96" t="s">
        <v>40</v>
      </c>
      <c r="BL12" s="97">
        <f>ROUND(Calculator!D65*0.69+IF(Calculator!G39=Equipment!AJ28,Calculator!F65*0.02,0),0)</f>
        <v>22</v>
      </c>
      <c r="BM12" s="97">
        <f>ROUND(Equipment!BL12*Calculator!F66/100,0)</f>
        <v>29</v>
      </c>
      <c r="BN12" s="98">
        <f>Calculator!D66</f>
        <v>10</v>
      </c>
      <c r="BO12" s="98">
        <f>ROUND(BL12*(1+(BN12/100)*(Calculator!F66/100)),0)</f>
        <v>25</v>
      </c>
      <c r="BP12" s="98">
        <f>ROUND(0.5*100/Calculator!D67,2)</f>
        <v>0.5</v>
      </c>
      <c r="BQ12" s="247">
        <f>ROUND(SUM(BO10:BO12)/SUM(BP10:BP12),0)</f>
        <v>50</v>
      </c>
      <c r="BR12" s="251">
        <f>ROUND(BQ12*(1+D18/100),0)</f>
        <v>50</v>
      </c>
      <c r="BS12" s="247">
        <f>ROUND(BQ12*(1+D19/100),0)</f>
        <v>50</v>
      </c>
      <c r="BT12" s="99">
        <f>ROUND(BL12*(1+(BW12/100)*(Calculator!F66/100))/BX12,0)</f>
        <v>50</v>
      </c>
      <c r="BU12" s="271">
        <f>ROUND(BT12*(1+D18/100),0)</f>
        <v>50</v>
      </c>
      <c r="BV12" s="99">
        <f>ROUND(BT12*(1+D19/100),0)</f>
        <v>50</v>
      </c>
      <c r="BW12" s="251">
        <f>Calculator!D66+IF(Calculator!C43=Equipment!K8,Equipment!N17,0)</f>
        <v>10</v>
      </c>
      <c r="BX12" s="98">
        <f>ROUND(0.5*100/(Calculator!D67+_xlfn.SWITCH(Calculator!C43,Equipment!K8,Equipment!N16,Equipment!K21,Equipment!N28,Equipment!K34,0)),2)</f>
        <v>0.5</v>
      </c>
    </row>
    <row r="13" spans="1:76" ht="13.8" thickBot="1" x14ac:dyDescent="0.3">
      <c r="A13" s="82"/>
      <c r="B13" s="146" t="s">
        <v>8</v>
      </c>
      <c r="C13" s="134" t="s">
        <v>52</v>
      </c>
      <c r="D13" s="147"/>
      <c r="E13" s="83"/>
      <c r="F13" s="82"/>
      <c r="G13" s="142" t="s">
        <v>0</v>
      </c>
      <c r="H13" s="132" t="s">
        <v>51</v>
      </c>
      <c r="I13" s="143"/>
      <c r="J13" s="83"/>
      <c r="K13" s="82"/>
      <c r="L13" s="146" t="s">
        <v>8</v>
      </c>
      <c r="M13" s="134" t="s">
        <v>52</v>
      </c>
      <c r="N13" s="147"/>
      <c r="O13" s="83"/>
      <c r="P13" s="82"/>
      <c r="Q13" s="204" t="s">
        <v>3</v>
      </c>
      <c r="R13" s="205" t="s">
        <v>131</v>
      </c>
      <c r="S13" s="206"/>
      <c r="T13" s="82"/>
      <c r="U13" s="82"/>
      <c r="V13" s="148" t="s">
        <v>7</v>
      </c>
      <c r="W13" s="135" t="s">
        <v>58</v>
      </c>
      <c r="X13" s="143"/>
      <c r="Y13" s="82"/>
      <c r="Z13" s="82"/>
      <c r="AA13" s="148" t="s">
        <v>7</v>
      </c>
      <c r="AB13" s="135" t="s">
        <v>58</v>
      </c>
      <c r="AC13" s="143"/>
      <c r="AD13" s="82"/>
      <c r="AE13" s="82"/>
      <c r="AF13" s="175" t="s">
        <v>3</v>
      </c>
      <c r="AG13" s="164" t="s">
        <v>60</v>
      </c>
      <c r="AH13" s="143"/>
      <c r="AI13" s="82"/>
      <c r="AJ13" s="82"/>
      <c r="AK13" s="175" t="s">
        <v>3</v>
      </c>
      <c r="AL13" s="164" t="s">
        <v>58</v>
      </c>
      <c r="AM13" s="143"/>
      <c r="AN13" s="82"/>
      <c r="BK13" s="96" t="s">
        <v>41</v>
      </c>
      <c r="BL13" s="97">
        <f>ROUND(Calculator!D65*0.88+IF(Calculator!G39=Equipment!AJ28,Calculator!F65*0.02,0),0)</f>
        <v>28</v>
      </c>
      <c r="BM13" s="97">
        <f>ROUND(Equipment!BL13*Calculator!F66/100,0)</f>
        <v>36</v>
      </c>
      <c r="BN13" s="98">
        <f>Calculator!D66</f>
        <v>10</v>
      </c>
      <c r="BO13" s="98">
        <f>ROUND(BL13*(1+(BN13/100)*(Calculator!F66/100)),0)</f>
        <v>32</v>
      </c>
      <c r="BP13" s="98">
        <f>ROUND(0.64*100/Calculator!D67,2)</f>
        <v>0.64</v>
      </c>
      <c r="BQ13" s="247">
        <f>ROUND(SUM(BO10:BO13)/SUM(BP10:BP13),0)</f>
        <v>50</v>
      </c>
      <c r="BR13" s="251">
        <f>ROUND(BQ13*(1+D18/100),0)</f>
        <v>50</v>
      </c>
      <c r="BS13" s="247">
        <f>ROUND(BQ13*(1+D19/100),0)</f>
        <v>50</v>
      </c>
      <c r="BT13" s="99">
        <f>ROUND(BL13*(1+(BW13/100)*(Calculator!F66/100))/BX13,0)</f>
        <v>49</v>
      </c>
      <c r="BU13" s="271">
        <f>ROUND(BT13*(1+D18/100),0)</f>
        <v>49</v>
      </c>
      <c r="BV13" s="99">
        <f>ROUND(BT13*(1+D19/100),0)</f>
        <v>49</v>
      </c>
      <c r="BW13" s="251">
        <f>Calculator!D66+IF(Calculator!C43=Equipment!K8,Equipment!N17,0)</f>
        <v>10</v>
      </c>
      <c r="BX13" s="98">
        <f>ROUND(0.64*100/(Calculator!D67+_xlfn.SWITCH(Calculator!C43,Equipment!K8,Equipment!N16,Equipment!K21,Equipment!N28,Equipment!K34,0)),2)</f>
        <v>0.64</v>
      </c>
    </row>
    <row r="14" spans="1:76" ht="13.8" thickBot="1" x14ac:dyDescent="0.3">
      <c r="A14" s="82"/>
      <c r="B14" s="148" t="s">
        <v>53</v>
      </c>
      <c r="C14" s="135" t="s">
        <v>52</v>
      </c>
      <c r="D14" s="143"/>
      <c r="E14" s="83"/>
      <c r="F14" s="82"/>
      <c r="G14" s="144" t="s">
        <v>61</v>
      </c>
      <c r="H14" s="133" t="s">
        <v>62</v>
      </c>
      <c r="I14" s="145"/>
      <c r="J14" s="83"/>
      <c r="K14" s="82"/>
      <c r="L14" s="148" t="s">
        <v>66</v>
      </c>
      <c r="M14" s="135" t="s">
        <v>51</v>
      </c>
      <c r="N14" s="143"/>
      <c r="O14" s="83"/>
      <c r="P14" s="82"/>
      <c r="Q14" s="207" t="s">
        <v>5</v>
      </c>
      <c r="R14" s="208" t="s">
        <v>131</v>
      </c>
      <c r="S14" s="209"/>
      <c r="T14" s="82"/>
      <c r="U14" s="82"/>
      <c r="V14" s="148" t="s">
        <v>63</v>
      </c>
      <c r="W14" s="135" t="s">
        <v>50</v>
      </c>
      <c r="X14" s="143"/>
      <c r="Y14" s="82"/>
      <c r="Z14" s="82"/>
      <c r="AA14" s="148" t="s">
        <v>63</v>
      </c>
      <c r="AB14" s="135" t="s">
        <v>50</v>
      </c>
      <c r="AC14" s="143"/>
      <c r="AD14" s="82"/>
      <c r="AE14" s="82"/>
      <c r="AF14" s="146" t="s">
        <v>8</v>
      </c>
      <c r="AG14" s="134" t="s">
        <v>58</v>
      </c>
      <c r="AH14" s="147"/>
      <c r="AI14" s="82"/>
      <c r="AJ14" s="82"/>
      <c r="AK14" s="146" t="s">
        <v>8</v>
      </c>
      <c r="AL14" s="134" t="s">
        <v>58</v>
      </c>
      <c r="AM14" s="147"/>
      <c r="AN14" s="82"/>
      <c r="BK14" s="100" t="s">
        <v>42</v>
      </c>
      <c r="BL14" s="101">
        <f>ROUND(Calculator!D65*1.02*(1+(D14/100))+IF(Calculator!G39=Equipment!AJ28,Calculator!F65*0.02,0),0)</f>
        <v>33</v>
      </c>
      <c r="BM14" s="101">
        <f>ROUND(Equipment!BL14*Calculator!F66/100,0)</f>
        <v>43</v>
      </c>
      <c r="BN14" s="102">
        <f>Calculator!D66</f>
        <v>10</v>
      </c>
      <c r="BO14" s="102">
        <f>ROUND(BL14*(1+(BN14/100)*(Calculator!F66/100)),0)</f>
        <v>37</v>
      </c>
      <c r="BP14" s="102">
        <f>ROUND(0.66*100/Calculator!D67,2)</f>
        <v>0.66</v>
      </c>
      <c r="BQ14" s="248">
        <f>ROUND(SUM(BO10:BO14)/SUM(BP10:BP14),0)</f>
        <v>51</v>
      </c>
      <c r="BR14" s="252">
        <f>ROUND(BQ14*(1+D18/100),0)</f>
        <v>51</v>
      </c>
      <c r="BS14" s="248">
        <f>ROUND(BQ14*(1+D19/100),0)</f>
        <v>51</v>
      </c>
      <c r="BT14" s="103">
        <f>ROUND(BL14*(1+(BW14/100)*(Calculator!F66/100))/BX14,0)</f>
        <v>57</v>
      </c>
      <c r="BU14" s="272">
        <f>ROUND(BT14*(1+D18/100),0)</f>
        <v>57</v>
      </c>
      <c r="BV14" s="103">
        <f>ROUND(BT14*(1+D19/100),0)</f>
        <v>57</v>
      </c>
      <c r="BW14" s="252">
        <f>Calculator!D66+IF(Calculator!C43=Equipment!K8,Equipment!N17,0)</f>
        <v>10</v>
      </c>
      <c r="BX14" s="102">
        <f>ROUND(0.66*100/(Calculator!D67+_xlfn.SWITCH(Calculator!C43,Equipment!K8,Equipment!N16,Equipment!K21,Equipment!N28,Equipment!K34,0)),2)</f>
        <v>0.66</v>
      </c>
    </row>
    <row r="15" spans="1:76" ht="13.8" thickBot="1" x14ac:dyDescent="0.3">
      <c r="A15" s="82"/>
      <c r="B15" s="149" t="s">
        <v>54</v>
      </c>
      <c r="C15" s="131" t="s">
        <v>52</v>
      </c>
      <c r="D15" s="150"/>
      <c r="E15" s="83"/>
      <c r="F15" s="82"/>
      <c r="G15" s="176" t="s">
        <v>4</v>
      </c>
      <c r="H15" s="165" t="s">
        <v>62</v>
      </c>
      <c r="I15" s="177"/>
      <c r="J15" s="83"/>
      <c r="K15" s="82"/>
      <c r="L15" s="148" t="s">
        <v>74</v>
      </c>
      <c r="M15" s="135" t="s">
        <v>56</v>
      </c>
      <c r="N15" s="143"/>
      <c r="O15" s="83"/>
      <c r="P15" s="82"/>
      <c r="Q15" s="160" t="s">
        <v>0</v>
      </c>
      <c r="R15" s="159" t="s">
        <v>131</v>
      </c>
      <c r="S15" s="210"/>
      <c r="T15" s="82"/>
      <c r="U15" s="82"/>
      <c r="V15" s="148" t="s">
        <v>71</v>
      </c>
      <c r="W15" s="135" t="s">
        <v>58</v>
      </c>
      <c r="X15" s="143"/>
      <c r="Y15" s="82"/>
      <c r="Z15" s="82"/>
      <c r="AA15" s="148" t="s">
        <v>71</v>
      </c>
      <c r="AB15" s="135" t="s">
        <v>58</v>
      </c>
      <c r="AC15" s="143"/>
      <c r="AD15" s="82"/>
      <c r="AE15" s="82"/>
      <c r="AF15" s="148" t="s">
        <v>7</v>
      </c>
      <c r="AG15" s="135" t="s">
        <v>56</v>
      </c>
      <c r="AH15" s="143"/>
      <c r="AI15" s="82"/>
      <c r="AJ15" s="82"/>
      <c r="AK15" s="186" t="s">
        <v>66</v>
      </c>
      <c r="AL15" s="166" t="s">
        <v>64</v>
      </c>
      <c r="AM15" s="143"/>
      <c r="AN15" s="82"/>
      <c r="BK15" s="104"/>
      <c r="BL15" s="105"/>
      <c r="BM15" s="105"/>
      <c r="BN15" s="105"/>
      <c r="BO15" s="105"/>
      <c r="BP15" s="105"/>
      <c r="BQ15" s="105"/>
    </row>
    <row r="16" spans="1:76" ht="13.8" thickBot="1" x14ac:dyDescent="0.3">
      <c r="A16" s="82"/>
      <c r="B16" s="148" t="s">
        <v>55</v>
      </c>
      <c r="C16" s="135" t="s">
        <v>52</v>
      </c>
      <c r="D16" s="143"/>
      <c r="E16" s="83"/>
      <c r="F16" s="82"/>
      <c r="G16" s="148" t="s">
        <v>63</v>
      </c>
      <c r="H16" s="135" t="s">
        <v>64</v>
      </c>
      <c r="I16" s="143"/>
      <c r="J16" s="83"/>
      <c r="K16" s="82"/>
      <c r="L16" s="144" t="s">
        <v>75</v>
      </c>
      <c r="M16" s="133" t="s">
        <v>56</v>
      </c>
      <c r="N16" s="145"/>
      <c r="O16" s="83"/>
      <c r="P16" s="311" t="s">
        <v>25</v>
      </c>
      <c r="Q16" s="312"/>
      <c r="R16" s="312"/>
      <c r="S16" s="313"/>
      <c r="T16" s="82"/>
      <c r="U16" s="82"/>
      <c r="V16" s="148" t="s">
        <v>79</v>
      </c>
      <c r="W16" s="135" t="s">
        <v>80</v>
      </c>
      <c r="X16" s="143"/>
      <c r="Y16" s="82"/>
      <c r="Z16" s="82"/>
      <c r="AA16" s="148" t="s">
        <v>79</v>
      </c>
      <c r="AB16" s="135" t="s">
        <v>80</v>
      </c>
      <c r="AC16" s="143"/>
      <c r="AD16" s="82"/>
      <c r="AE16" s="82"/>
      <c r="AF16" s="178" t="s">
        <v>71</v>
      </c>
      <c r="AG16" s="179" t="s">
        <v>51</v>
      </c>
      <c r="AH16" s="154"/>
      <c r="AI16" s="82"/>
      <c r="AJ16" s="82"/>
      <c r="AK16" s="148" t="s">
        <v>71</v>
      </c>
      <c r="AL16" s="135" t="s">
        <v>58</v>
      </c>
      <c r="AM16" s="143"/>
      <c r="AN16" s="82"/>
      <c r="BK16" s="104"/>
      <c r="BL16" s="105"/>
      <c r="BM16" s="105"/>
      <c r="BN16" s="105"/>
      <c r="BO16" s="105"/>
      <c r="BP16" s="105"/>
      <c r="BQ16" s="105"/>
    </row>
    <row r="17" spans="1:76" ht="13.8" thickBot="1" x14ac:dyDescent="0.3">
      <c r="A17" s="82"/>
      <c r="B17" s="148" t="s">
        <v>7</v>
      </c>
      <c r="C17" s="135" t="s">
        <v>56</v>
      </c>
      <c r="D17" s="143"/>
      <c r="E17" s="83"/>
      <c r="F17" s="82"/>
      <c r="G17" s="148" t="s">
        <v>66</v>
      </c>
      <c r="H17" s="135" t="s">
        <v>65</v>
      </c>
      <c r="I17" s="143"/>
      <c r="J17" s="83"/>
      <c r="K17" s="82"/>
      <c r="L17" s="149" t="s">
        <v>76</v>
      </c>
      <c r="M17" s="131" t="s">
        <v>52</v>
      </c>
      <c r="N17" s="150"/>
      <c r="O17" s="83"/>
      <c r="P17" s="82"/>
      <c r="Q17" s="167" t="s">
        <v>2</v>
      </c>
      <c r="R17" s="168" t="s">
        <v>131</v>
      </c>
      <c r="S17" s="206"/>
      <c r="T17" s="82"/>
      <c r="U17" s="82"/>
      <c r="V17" s="178" t="s">
        <v>81</v>
      </c>
      <c r="W17" s="179" t="s">
        <v>56</v>
      </c>
      <c r="X17" s="154"/>
      <c r="Y17" s="82"/>
      <c r="Z17" s="82"/>
      <c r="AA17" s="178" t="s">
        <v>81</v>
      </c>
      <c r="AB17" s="179" t="s">
        <v>56</v>
      </c>
      <c r="AC17" s="154"/>
      <c r="AD17" s="82"/>
      <c r="AE17" s="311" t="s">
        <v>30</v>
      </c>
      <c r="AF17" s="312"/>
      <c r="AG17" s="312"/>
      <c r="AH17" s="313"/>
      <c r="AI17" s="82"/>
      <c r="AJ17" s="82"/>
      <c r="AK17" s="226" t="s">
        <v>4</v>
      </c>
      <c r="AL17" s="223" t="s">
        <v>62</v>
      </c>
      <c r="AM17" s="213"/>
      <c r="AN17" s="82"/>
      <c r="BK17" s="104"/>
      <c r="BL17" s="105"/>
      <c r="BM17" s="105"/>
      <c r="BN17" s="105"/>
      <c r="BO17" s="105"/>
      <c r="BP17" s="105"/>
      <c r="BQ17" s="105"/>
    </row>
    <row r="18" spans="1:76" ht="13.8" thickBot="1" x14ac:dyDescent="0.3">
      <c r="A18" s="82"/>
      <c r="B18" s="266" t="s">
        <v>57</v>
      </c>
      <c r="C18" s="267" t="s">
        <v>58</v>
      </c>
      <c r="D18" s="268"/>
      <c r="E18" s="83"/>
      <c r="F18" s="82"/>
      <c r="G18" s="148" t="s">
        <v>67</v>
      </c>
      <c r="H18" s="135" t="s">
        <v>51</v>
      </c>
      <c r="I18" s="143"/>
      <c r="J18" s="83"/>
      <c r="K18" s="82"/>
      <c r="L18" s="173" t="s">
        <v>111</v>
      </c>
      <c r="M18" s="163" t="s">
        <v>50</v>
      </c>
      <c r="N18" s="174"/>
      <c r="O18" s="83"/>
      <c r="P18" s="82"/>
      <c r="Q18" s="139" t="s">
        <v>1</v>
      </c>
      <c r="R18" s="140" t="s">
        <v>131</v>
      </c>
      <c r="S18" s="141"/>
      <c r="T18" s="82"/>
      <c r="U18" s="311" t="s">
        <v>27</v>
      </c>
      <c r="V18" s="312"/>
      <c r="W18" s="312"/>
      <c r="X18" s="313"/>
      <c r="Y18" s="82"/>
      <c r="Z18" s="311" t="s">
        <v>27</v>
      </c>
      <c r="AA18" s="312"/>
      <c r="AB18" s="312"/>
      <c r="AC18" s="313"/>
      <c r="AD18" s="82"/>
      <c r="AE18" s="82"/>
      <c r="AF18" s="204" t="s">
        <v>3</v>
      </c>
      <c r="AG18" s="205" t="s">
        <v>131</v>
      </c>
      <c r="AH18" s="190"/>
      <c r="AI18" s="82"/>
      <c r="AJ18" s="311" t="s">
        <v>33</v>
      </c>
      <c r="AK18" s="312"/>
      <c r="AL18" s="312"/>
      <c r="AM18" s="313"/>
      <c r="AN18" s="82"/>
      <c r="BK18" s="104"/>
      <c r="BL18" s="105"/>
      <c r="BM18" s="105"/>
      <c r="BN18" s="105"/>
      <c r="BO18" s="105"/>
      <c r="BP18" s="105"/>
      <c r="BQ18" s="105"/>
    </row>
    <row r="19" spans="1:76" ht="13.8" thickBot="1" x14ac:dyDescent="0.3">
      <c r="A19" s="82"/>
      <c r="B19" s="266" t="s">
        <v>59</v>
      </c>
      <c r="C19" s="267" t="s">
        <v>56</v>
      </c>
      <c r="D19" s="268"/>
      <c r="E19" s="83"/>
      <c r="F19" s="82"/>
      <c r="G19" s="148" t="s">
        <v>68</v>
      </c>
      <c r="H19" s="135" t="s">
        <v>56</v>
      </c>
      <c r="I19" s="143"/>
      <c r="J19" s="83"/>
      <c r="K19" s="82"/>
      <c r="L19" s="173" t="s">
        <v>112</v>
      </c>
      <c r="M19" s="163" t="s">
        <v>50</v>
      </c>
      <c r="N19" s="174"/>
      <c r="O19" s="83"/>
      <c r="P19" s="82"/>
      <c r="Q19" s="211" t="s">
        <v>4</v>
      </c>
      <c r="R19" s="212" t="s">
        <v>131</v>
      </c>
      <c r="S19" s="213"/>
      <c r="T19" s="82"/>
      <c r="U19" s="82"/>
      <c r="V19" s="204" t="s">
        <v>3</v>
      </c>
      <c r="W19" s="205" t="s">
        <v>131</v>
      </c>
      <c r="X19" s="190"/>
      <c r="Y19" s="82"/>
      <c r="Z19" s="82"/>
      <c r="AA19" s="204" t="s">
        <v>3</v>
      </c>
      <c r="AB19" s="205" t="s">
        <v>131</v>
      </c>
      <c r="AC19" s="190"/>
      <c r="AD19" s="82"/>
      <c r="AE19" s="82"/>
      <c r="AF19" s="239" t="s">
        <v>135</v>
      </c>
      <c r="AG19" s="240" t="s">
        <v>136</v>
      </c>
      <c r="AH19" s="241"/>
      <c r="AI19" s="82"/>
      <c r="AJ19" s="82"/>
      <c r="AK19" s="224" t="s">
        <v>2</v>
      </c>
      <c r="AL19" s="221" t="s">
        <v>131</v>
      </c>
      <c r="AM19" s="216"/>
      <c r="AN19" s="82"/>
      <c r="BK19" s="104"/>
      <c r="BL19" s="105"/>
      <c r="BM19" s="105"/>
      <c r="BN19" s="105"/>
      <c r="BO19" s="105"/>
      <c r="BP19" s="105"/>
      <c r="BQ19" s="105"/>
    </row>
    <row r="20" spans="1:76" ht="13.8" thickBot="1" x14ac:dyDescent="0.3">
      <c r="A20" s="82"/>
      <c r="B20" s="144" t="s">
        <v>114</v>
      </c>
      <c r="C20" s="133" t="s">
        <v>58</v>
      </c>
      <c r="D20" s="145"/>
      <c r="E20" s="82"/>
      <c r="F20" s="82"/>
      <c r="G20" s="178" t="s">
        <v>69</v>
      </c>
      <c r="H20" s="179" t="s">
        <v>52</v>
      </c>
      <c r="I20" s="154"/>
      <c r="J20" s="83"/>
      <c r="K20" s="82"/>
      <c r="L20" s="195" t="s">
        <v>113</v>
      </c>
      <c r="M20" s="196" t="s">
        <v>50</v>
      </c>
      <c r="N20" s="197"/>
      <c r="O20" s="83"/>
      <c r="P20" s="82"/>
      <c r="Q20" s="82"/>
      <c r="R20" s="82"/>
      <c r="S20" s="82"/>
      <c r="T20" s="82"/>
      <c r="U20" s="82"/>
      <c r="V20" s="191" t="s">
        <v>6</v>
      </c>
      <c r="W20" s="192" t="s">
        <v>131</v>
      </c>
      <c r="X20" s="193"/>
      <c r="Y20" s="82"/>
      <c r="Z20" s="82"/>
      <c r="AA20" s="191" t="s">
        <v>6</v>
      </c>
      <c r="AB20" s="192" t="s">
        <v>131</v>
      </c>
      <c r="AC20" s="193"/>
      <c r="AD20" s="82"/>
      <c r="AE20" s="82"/>
      <c r="AF20" s="173" t="s">
        <v>6</v>
      </c>
      <c r="AG20" s="163" t="s">
        <v>131</v>
      </c>
      <c r="AH20" s="174"/>
      <c r="AI20" s="82"/>
      <c r="AJ20" s="82"/>
      <c r="AK20" s="225" t="s">
        <v>13</v>
      </c>
      <c r="AL20" s="222" t="s">
        <v>131</v>
      </c>
      <c r="AM20" s="200"/>
      <c r="AN20" s="82"/>
      <c r="BK20" s="104"/>
      <c r="BL20" s="105"/>
      <c r="BM20" s="105"/>
      <c r="BN20" s="105"/>
      <c r="BO20" s="105"/>
      <c r="BP20" s="105"/>
      <c r="BQ20" s="105"/>
    </row>
    <row r="21" spans="1:76" ht="13.8" thickBot="1" x14ac:dyDescent="0.3">
      <c r="A21" s="82"/>
      <c r="B21" s="144" t="s">
        <v>115</v>
      </c>
      <c r="C21" s="133" t="s">
        <v>58</v>
      </c>
      <c r="D21" s="145"/>
      <c r="E21" s="82"/>
      <c r="F21" s="311" t="s">
        <v>17</v>
      </c>
      <c r="G21" s="312"/>
      <c r="H21" s="312"/>
      <c r="I21" s="313"/>
      <c r="J21" s="82"/>
      <c r="K21" s="311" t="s">
        <v>21</v>
      </c>
      <c r="L21" s="312"/>
      <c r="M21" s="312"/>
      <c r="N21" s="313"/>
      <c r="O21" s="82"/>
      <c r="P21" s="82"/>
      <c r="Q21" s="310" t="s">
        <v>84</v>
      </c>
      <c r="R21" s="82"/>
      <c r="S21" s="82"/>
      <c r="T21" s="82"/>
      <c r="U21" s="82"/>
      <c r="V21" s="194" t="s">
        <v>2</v>
      </c>
      <c r="W21" s="187" t="s">
        <v>78</v>
      </c>
      <c r="X21" s="143"/>
      <c r="Y21" s="82"/>
      <c r="Z21" s="82"/>
      <c r="AA21" s="194" t="s">
        <v>2</v>
      </c>
      <c r="AB21" s="187" t="s">
        <v>78</v>
      </c>
      <c r="AC21" s="143"/>
      <c r="AD21" s="82"/>
      <c r="AE21" s="82"/>
      <c r="AF21" s="194" t="s">
        <v>2</v>
      </c>
      <c r="AG21" s="187" t="s">
        <v>78</v>
      </c>
      <c r="AH21" s="143"/>
      <c r="AI21" s="82"/>
      <c r="AJ21" s="82"/>
      <c r="AK21" s="173" t="s">
        <v>6</v>
      </c>
      <c r="AL21" s="163" t="s">
        <v>131</v>
      </c>
      <c r="AM21" s="174"/>
      <c r="AN21" s="82"/>
      <c r="BK21" s="104"/>
      <c r="BL21" s="105"/>
      <c r="BM21" s="105"/>
      <c r="BN21" s="105"/>
      <c r="BO21" s="105"/>
      <c r="BP21" s="105"/>
      <c r="BQ21" s="105"/>
    </row>
    <row r="22" spans="1:76" ht="13.8" thickBot="1" x14ac:dyDescent="0.3">
      <c r="A22" s="82"/>
      <c r="B22" s="144" t="s">
        <v>116</v>
      </c>
      <c r="C22" s="133" t="s">
        <v>58</v>
      </c>
      <c r="D22" s="145"/>
      <c r="E22" s="82"/>
      <c r="F22" s="82"/>
      <c r="G22" s="167" t="s">
        <v>2</v>
      </c>
      <c r="H22" s="168" t="s">
        <v>131</v>
      </c>
      <c r="I22" s="169"/>
      <c r="J22" s="82"/>
      <c r="K22" s="82"/>
      <c r="L22" s="188" t="s">
        <v>3</v>
      </c>
      <c r="M22" s="189" t="s">
        <v>131</v>
      </c>
      <c r="N22" s="190"/>
      <c r="O22" s="82"/>
      <c r="P22" s="82"/>
      <c r="Q22" s="310" t="str">
        <f t="array" ref="Q22">IFERROR(INDEX(P$8:P$1988,SMALL(IF(P$8:P$1988&lt;&gt;"",ROW(P$8:P$1988)-7),ROW(P1))),"")</f>
        <v>Scarlet Belt</v>
      </c>
      <c r="R22" s="82"/>
      <c r="S22" s="82"/>
      <c r="T22" s="82"/>
      <c r="U22" s="82"/>
      <c r="V22" s="175" t="s">
        <v>3</v>
      </c>
      <c r="W22" s="164" t="s">
        <v>58</v>
      </c>
      <c r="X22" s="143"/>
      <c r="Y22" s="82"/>
      <c r="Z22" s="82"/>
      <c r="AA22" s="175" t="s">
        <v>3</v>
      </c>
      <c r="AB22" s="164" t="s">
        <v>58</v>
      </c>
      <c r="AC22" s="143"/>
      <c r="AD22" s="82"/>
      <c r="AE22" s="82"/>
      <c r="AF22" s="175" t="s">
        <v>3</v>
      </c>
      <c r="AG22" s="164" t="s">
        <v>60</v>
      </c>
      <c r="AH22" s="143"/>
      <c r="AI22" s="82"/>
      <c r="AJ22" s="82"/>
      <c r="AK22" s="194" t="s">
        <v>2</v>
      </c>
      <c r="AL22" s="187" t="s">
        <v>78</v>
      </c>
      <c r="AM22" s="143"/>
      <c r="AN22" s="82"/>
      <c r="BK22" s="104"/>
      <c r="BL22" s="105"/>
      <c r="BM22" s="105"/>
      <c r="BN22" s="105"/>
      <c r="BO22" s="105"/>
      <c r="BP22" s="105"/>
      <c r="BQ22" s="105"/>
    </row>
    <row r="23" spans="1:76" ht="13.8" thickBot="1" x14ac:dyDescent="0.3">
      <c r="A23" s="82"/>
      <c r="B23" s="151" t="s">
        <v>117</v>
      </c>
      <c r="C23" s="152" t="s">
        <v>58</v>
      </c>
      <c r="D23" s="153"/>
      <c r="E23" s="82"/>
      <c r="F23" s="82"/>
      <c r="G23" s="180" t="s">
        <v>71</v>
      </c>
      <c r="H23" s="181" t="s">
        <v>72</v>
      </c>
      <c r="I23" s="182"/>
      <c r="J23" s="82"/>
      <c r="K23" s="82"/>
      <c r="L23" s="139" t="s">
        <v>1</v>
      </c>
      <c r="M23" s="140" t="s">
        <v>50</v>
      </c>
      <c r="N23" s="141"/>
      <c r="O23" s="82"/>
      <c r="P23" s="82"/>
      <c r="Q23" s="310" t="str">
        <f t="array" ref="Q23">IFERROR(INDEX(P$8:P$1988,SMALL(IF(P$8:P$1988&lt;&gt;"",ROW(P$8:P$1988)-7),ROW(P2))),"")</f>
        <v>Amber Belt</v>
      </c>
      <c r="R23" s="82"/>
      <c r="S23" s="82"/>
      <c r="T23" s="82"/>
      <c r="U23" s="82"/>
      <c r="V23" s="149" t="s">
        <v>1</v>
      </c>
      <c r="W23" s="131" t="s">
        <v>82</v>
      </c>
      <c r="X23" s="150"/>
      <c r="Y23" s="82"/>
      <c r="Z23" s="82"/>
      <c r="AA23" s="149" t="s">
        <v>1</v>
      </c>
      <c r="AB23" s="131" t="s">
        <v>82</v>
      </c>
      <c r="AC23" s="150"/>
      <c r="AD23" s="82"/>
      <c r="AE23" s="82"/>
      <c r="AF23" s="149" t="s">
        <v>1</v>
      </c>
      <c r="AG23" s="131" t="s">
        <v>82</v>
      </c>
      <c r="AH23" s="150"/>
      <c r="AI23" s="82"/>
      <c r="AJ23" s="82"/>
      <c r="AK23" s="175" t="s">
        <v>3</v>
      </c>
      <c r="AL23" s="164" t="s">
        <v>58</v>
      </c>
      <c r="AM23" s="143"/>
      <c r="AN23" s="82"/>
      <c r="BK23" s="104"/>
      <c r="BL23" s="105"/>
      <c r="BM23" s="105"/>
      <c r="BN23" s="105"/>
      <c r="BO23" s="105"/>
      <c r="BP23" s="105"/>
      <c r="BQ23" s="105"/>
    </row>
    <row r="24" spans="1:76" ht="13.8" thickBot="1" x14ac:dyDescent="0.3">
      <c r="A24" s="311" t="s">
        <v>14</v>
      </c>
      <c r="B24" s="312"/>
      <c r="C24" s="312"/>
      <c r="D24" s="313"/>
      <c r="E24" s="82"/>
      <c r="F24" s="82"/>
      <c r="G24" s="173" t="s">
        <v>6</v>
      </c>
      <c r="H24" s="163" t="s">
        <v>50</v>
      </c>
      <c r="I24" s="174"/>
      <c r="J24" s="82"/>
      <c r="K24" s="82"/>
      <c r="L24" s="144" t="s">
        <v>5</v>
      </c>
      <c r="M24" s="133" t="s">
        <v>62</v>
      </c>
      <c r="N24" s="145"/>
      <c r="O24" s="82"/>
      <c r="P24" s="82"/>
      <c r="Q24" s="310" t="str">
        <f t="array" ref="Q24">IFERROR(INDEX(P$8:P$1988,SMALL(IF(P$8:P$1988&lt;&gt;"",ROW(P$8:P$1988)-7),ROW(P3))),"")</f>
        <v>Blue Belt</v>
      </c>
      <c r="R24" s="82"/>
      <c r="S24" s="82"/>
      <c r="T24" s="82"/>
      <c r="U24" s="82"/>
      <c r="V24" s="148" t="s">
        <v>7</v>
      </c>
      <c r="W24" s="135" t="s">
        <v>58</v>
      </c>
      <c r="X24" s="143"/>
      <c r="Y24" s="82"/>
      <c r="Z24" s="82"/>
      <c r="AA24" s="148" t="s">
        <v>7</v>
      </c>
      <c r="AB24" s="135" t="s">
        <v>58</v>
      </c>
      <c r="AC24" s="143"/>
      <c r="AD24" s="82"/>
      <c r="AE24" s="82"/>
      <c r="AF24" s="144" t="s">
        <v>5</v>
      </c>
      <c r="AG24" s="133" t="s">
        <v>62</v>
      </c>
      <c r="AH24" s="145"/>
      <c r="AI24" s="82"/>
      <c r="AJ24" s="82"/>
      <c r="AK24" s="146" t="s">
        <v>8</v>
      </c>
      <c r="AL24" s="134" t="s">
        <v>58</v>
      </c>
      <c r="AM24" s="147"/>
      <c r="AN24" s="82"/>
    </row>
    <row r="25" spans="1:76" ht="13.8" thickBot="1" x14ac:dyDescent="0.3">
      <c r="A25" s="82"/>
      <c r="B25" s="136" t="s">
        <v>6</v>
      </c>
      <c r="C25" s="158" t="s">
        <v>131</v>
      </c>
      <c r="D25" s="138"/>
      <c r="E25" s="82"/>
      <c r="F25" s="82"/>
      <c r="G25" s="175" t="s">
        <v>3</v>
      </c>
      <c r="H25" s="164" t="s">
        <v>60</v>
      </c>
      <c r="I25" s="143"/>
      <c r="J25" s="82"/>
      <c r="K25" s="82"/>
      <c r="L25" s="146" t="s">
        <v>8</v>
      </c>
      <c r="M25" s="134" t="s">
        <v>52</v>
      </c>
      <c r="N25" s="147"/>
      <c r="O25" s="82"/>
      <c r="P25" s="82"/>
      <c r="Q25" s="82"/>
      <c r="R25" s="82"/>
      <c r="S25" s="82"/>
      <c r="T25" s="82"/>
      <c r="U25" s="82"/>
      <c r="V25" s="148" t="s">
        <v>63</v>
      </c>
      <c r="W25" s="135" t="s">
        <v>50</v>
      </c>
      <c r="X25" s="143"/>
      <c r="Y25" s="82"/>
      <c r="Z25" s="82"/>
      <c r="AA25" s="148" t="s">
        <v>63</v>
      </c>
      <c r="AB25" s="135" t="s">
        <v>50</v>
      </c>
      <c r="AC25" s="143"/>
      <c r="AD25" s="82"/>
      <c r="AE25" s="82"/>
      <c r="AF25" s="178" t="s">
        <v>71</v>
      </c>
      <c r="AG25" s="179" t="s">
        <v>51</v>
      </c>
      <c r="AH25" s="154"/>
      <c r="AI25" s="82"/>
      <c r="AJ25" s="82"/>
      <c r="AK25" s="148" t="s">
        <v>71</v>
      </c>
      <c r="AL25" s="135" t="s">
        <v>58</v>
      </c>
      <c r="AM25" s="143"/>
      <c r="AN25" s="82"/>
      <c r="BK25" s="106"/>
      <c r="BL25" s="107" t="s">
        <v>43</v>
      </c>
      <c r="BM25" s="107" t="s">
        <v>44</v>
      </c>
      <c r="BN25" s="107" t="s">
        <v>1</v>
      </c>
      <c r="BO25" s="107" t="s">
        <v>45</v>
      </c>
      <c r="BP25" s="107" t="s">
        <v>46</v>
      </c>
      <c r="BQ25" s="108" t="s">
        <v>130</v>
      </c>
      <c r="BR25" s="254" t="s">
        <v>166</v>
      </c>
      <c r="BS25" s="269" t="s">
        <v>167</v>
      </c>
      <c r="BT25" s="254" t="s">
        <v>168</v>
      </c>
      <c r="BU25" s="254" t="s">
        <v>166</v>
      </c>
      <c r="BV25" s="255" t="s">
        <v>167</v>
      </c>
      <c r="BW25" s="249" t="s">
        <v>169</v>
      </c>
      <c r="BX25" s="250" t="s">
        <v>170</v>
      </c>
    </row>
    <row r="26" spans="1:76" ht="13.8" thickBot="1" x14ac:dyDescent="0.3">
      <c r="A26" s="82"/>
      <c r="B26" s="139" t="s">
        <v>1</v>
      </c>
      <c r="C26" s="140" t="s">
        <v>50</v>
      </c>
      <c r="D26" s="141"/>
      <c r="E26" s="82"/>
      <c r="F26" s="82"/>
      <c r="G26" s="144" t="s">
        <v>61</v>
      </c>
      <c r="H26" s="133" t="s">
        <v>62</v>
      </c>
      <c r="I26" s="145"/>
      <c r="J26" s="82"/>
      <c r="K26" s="82"/>
      <c r="L26" s="148" t="s">
        <v>66</v>
      </c>
      <c r="M26" s="135" t="s">
        <v>51</v>
      </c>
      <c r="N26" s="143"/>
      <c r="O26" s="82"/>
      <c r="P26" s="82"/>
      <c r="Q26" s="82"/>
      <c r="R26" s="82"/>
      <c r="S26" s="82"/>
      <c r="T26" s="82"/>
      <c r="U26" s="82"/>
      <c r="V26" s="148" t="s">
        <v>79</v>
      </c>
      <c r="W26" s="135" t="s">
        <v>80</v>
      </c>
      <c r="X26" s="143"/>
      <c r="Y26" s="82"/>
      <c r="Z26" s="82"/>
      <c r="AA26" s="148" t="s">
        <v>79</v>
      </c>
      <c r="AB26" s="135" t="s">
        <v>80</v>
      </c>
      <c r="AC26" s="143"/>
      <c r="AD26" s="82"/>
      <c r="AE26" s="311" t="s">
        <v>31</v>
      </c>
      <c r="AF26" s="312"/>
      <c r="AG26" s="312"/>
      <c r="AH26" s="313"/>
      <c r="AI26" s="82"/>
      <c r="AJ26" s="82"/>
      <c r="AK26" s="148" t="s">
        <v>79</v>
      </c>
      <c r="AL26" s="135" t="s">
        <v>80</v>
      </c>
      <c r="AM26" s="143"/>
      <c r="AN26" s="82"/>
      <c r="BK26" s="109" t="s">
        <v>103</v>
      </c>
      <c r="BL26" s="97">
        <f>ROUND(Calculator!D65*0.71+IF(Calculator!G39=Equipment!AJ28,Calculator!F65*0.02,0),0)</f>
        <v>23</v>
      </c>
      <c r="BM26" s="97">
        <f>ROUND(Equipment!BL26*Calculator!F66/100,0)</f>
        <v>30</v>
      </c>
      <c r="BN26" s="97">
        <f>_xlfn.SWITCH(Calculator!F73,Equipment!BI10,Calculator!D66+D31,Equipment!BI9,100)</f>
        <v>10</v>
      </c>
      <c r="BO26" s="97">
        <f>ROUND(BL26*(1+(BN26/100)*(Calculator!F66/100)),0)</f>
        <v>26</v>
      </c>
      <c r="BP26" s="97">
        <f>ROUND(0.5*100/Calculator!D67,2)</f>
        <v>0.5</v>
      </c>
      <c r="BQ26" s="110">
        <f>ROUND(BO26/(BP26+0.3),0)</f>
        <v>33</v>
      </c>
      <c r="BR26" s="253">
        <f>ROUND(BQ26*(1+D34/100),0)</f>
        <v>33</v>
      </c>
      <c r="BS26" s="270">
        <f>ROUND(BQ26*(1+D35/100),0)</f>
        <v>33</v>
      </c>
      <c r="BT26" s="94">
        <f>ROUND(BL26*(1+(BW26/100)*(Calculator!F66/100))/(BX26+0.3),0)</f>
        <v>32</v>
      </c>
      <c r="BU26" s="274">
        <f>ROUND(BT26*(1+D34/100),0)</f>
        <v>32</v>
      </c>
      <c r="BV26" s="94">
        <f>ROUND(BT26*(1+D35/100),0)</f>
        <v>32</v>
      </c>
      <c r="BW26" s="251">
        <f>_xlfn.SWITCH(Calculator!F73,Equipment!BI10,Calculator!D66+D31+IF(Calculator!C43=Equipment!K8,Equipment!N17,0),Equipment!BI9,100)</f>
        <v>10</v>
      </c>
      <c r="BX26" s="97">
        <f>ROUND(0.5*100/(Calculator!D67+_xlfn.SWITCH(Calculator!C43,Equipment!K8,Equipment!N16,Equipment!K21,Equipment!N28,Equipment!K34,0)),2)</f>
        <v>0.5</v>
      </c>
    </row>
    <row r="27" spans="1:76" ht="13.8" thickBot="1" x14ac:dyDescent="0.3">
      <c r="A27" s="82"/>
      <c r="B27" s="142" t="s">
        <v>0</v>
      </c>
      <c r="C27" s="132" t="s">
        <v>51</v>
      </c>
      <c r="D27" s="143"/>
      <c r="E27" s="82"/>
      <c r="F27" s="82"/>
      <c r="G27" s="176" t="s">
        <v>4</v>
      </c>
      <c r="H27" s="165" t="s">
        <v>62</v>
      </c>
      <c r="I27" s="177"/>
      <c r="J27" s="82"/>
      <c r="K27" s="82"/>
      <c r="L27" s="148" t="s">
        <v>74</v>
      </c>
      <c r="M27" s="135" t="s">
        <v>56</v>
      </c>
      <c r="N27" s="143"/>
      <c r="O27" s="82"/>
      <c r="P27" s="82"/>
      <c r="Q27" s="82"/>
      <c r="R27" s="82"/>
      <c r="S27" s="82"/>
      <c r="T27" s="82"/>
      <c r="U27" s="82"/>
      <c r="V27" s="178" t="s">
        <v>81</v>
      </c>
      <c r="W27" s="179" t="s">
        <v>56</v>
      </c>
      <c r="X27" s="154"/>
      <c r="Y27" s="82"/>
      <c r="Z27" s="82"/>
      <c r="AA27" s="178" t="s">
        <v>81</v>
      </c>
      <c r="AB27" s="179" t="s">
        <v>56</v>
      </c>
      <c r="AC27" s="154"/>
      <c r="AD27" s="82"/>
      <c r="AE27" s="82"/>
      <c r="AF27" s="204" t="s">
        <v>3</v>
      </c>
      <c r="AG27" s="205" t="s">
        <v>131</v>
      </c>
      <c r="AH27" s="190"/>
      <c r="AI27" s="82"/>
      <c r="AJ27" s="82"/>
      <c r="AK27" s="226" t="s">
        <v>4</v>
      </c>
      <c r="AL27" s="223" t="s">
        <v>62</v>
      </c>
      <c r="AM27" s="213"/>
      <c r="AN27" s="82"/>
      <c r="BK27" s="96" t="s">
        <v>104</v>
      </c>
      <c r="BL27" s="98">
        <f>ROUND(Calculator!D65*0.76+IF(Calculator!G39=Equipment!AJ28,Calculator!F65*0.02,0),0)</f>
        <v>24</v>
      </c>
      <c r="BM27" s="98">
        <f>ROUND(Equipment!BL27*Calculator!F66/100,0)</f>
        <v>31</v>
      </c>
      <c r="BN27" s="98">
        <f>Calculator!D66</f>
        <v>10</v>
      </c>
      <c r="BO27" s="98">
        <f>ROUND(BL27*(1+(BN27/100)*(Calculator!F66/100)),0)</f>
        <v>27</v>
      </c>
      <c r="BP27" s="98">
        <f>ROUND(0.78*100/Calculator!D67,2)</f>
        <v>0.78</v>
      </c>
      <c r="BQ27" s="99">
        <f>ROUND(SUM(BO26:BO27)/SUM(BP26:BP27),0)</f>
        <v>41</v>
      </c>
      <c r="BR27" s="251">
        <f>ROUND(BQ27*(1+D34/100),0)</f>
        <v>41</v>
      </c>
      <c r="BS27" s="247">
        <f>ROUND(BQ27*(1+D35/100),0)</f>
        <v>41</v>
      </c>
      <c r="BT27" s="99">
        <f>ROUND(BL27*(1+(BW27/100)*(Calculator!F66/100))/BX27,0)</f>
        <v>35</v>
      </c>
      <c r="BU27" s="271">
        <f>ROUND(BT27*(1+D34/100),0)</f>
        <v>35</v>
      </c>
      <c r="BV27" s="99">
        <f>ROUND(BT27*(1+D35/100),0)</f>
        <v>35</v>
      </c>
      <c r="BW27" s="251">
        <f>Calculator!D66+IF(Calculator!C43=Equipment!K8,Equipment!N17,0)</f>
        <v>10</v>
      </c>
      <c r="BX27" s="98">
        <f>ROUND(0.78*100/(Calculator!D67+_xlfn.SWITCH(Calculator!C43,Equipment!K8,Equipment!N16,Equipment!K21,Equipment!N28,Equipment!K34,0)),2)</f>
        <v>0.78</v>
      </c>
    </row>
    <row r="28" spans="1:76" ht="13.8" thickBot="1" x14ac:dyDescent="0.3">
      <c r="A28" s="82"/>
      <c r="B28" s="144" t="s">
        <v>5</v>
      </c>
      <c r="C28" s="133" t="s">
        <v>50</v>
      </c>
      <c r="D28" s="145"/>
      <c r="E28" s="82"/>
      <c r="F28" s="82"/>
      <c r="G28" s="148" t="s">
        <v>63</v>
      </c>
      <c r="H28" s="135" t="s">
        <v>64</v>
      </c>
      <c r="I28" s="143"/>
      <c r="J28" s="82"/>
      <c r="K28" s="82"/>
      <c r="L28" s="144" t="s">
        <v>75</v>
      </c>
      <c r="M28" s="133" t="s">
        <v>56</v>
      </c>
      <c r="N28" s="145"/>
      <c r="O28" s="82"/>
      <c r="P28" s="82"/>
      <c r="Q28" s="82"/>
      <c r="R28" s="82"/>
      <c r="S28" s="82"/>
      <c r="T28" s="82"/>
      <c r="U28" s="311" t="s">
        <v>28</v>
      </c>
      <c r="V28" s="312"/>
      <c r="W28" s="312"/>
      <c r="X28" s="313"/>
      <c r="Y28" s="82"/>
      <c r="Z28" s="311" t="s">
        <v>28</v>
      </c>
      <c r="AA28" s="312"/>
      <c r="AB28" s="312"/>
      <c r="AC28" s="313"/>
      <c r="AD28" s="82"/>
      <c r="AE28" s="82"/>
      <c r="AF28" s="242" t="s">
        <v>137</v>
      </c>
      <c r="AG28" s="243" t="s">
        <v>138</v>
      </c>
      <c r="AH28" s="244"/>
      <c r="AI28" s="82"/>
      <c r="AJ28" s="311" t="s">
        <v>90</v>
      </c>
      <c r="AK28" s="312"/>
      <c r="AL28" s="312"/>
      <c r="AM28" s="313"/>
      <c r="AN28" s="82"/>
      <c r="BK28" s="96" t="s">
        <v>105</v>
      </c>
      <c r="BL28" s="98">
        <f>ROUND(Calculator!D65*0.78+IF(Calculator!G39=Equipment!AJ28,Calculator!F65*0.02,0),0)</f>
        <v>25</v>
      </c>
      <c r="BM28" s="98">
        <f>ROUND(Equipment!BL28*Calculator!F66/100,0)</f>
        <v>33</v>
      </c>
      <c r="BN28" s="98">
        <f>Calculator!D66</f>
        <v>10</v>
      </c>
      <c r="BO28" s="98">
        <f>ROUND(BL28*(1+(BN28/100)*(Calculator!F66/100)),0)</f>
        <v>28</v>
      </c>
      <c r="BP28" s="98">
        <f>ROUND(0.42*100/Calculator!D67,2)</f>
        <v>0.42</v>
      </c>
      <c r="BQ28" s="99">
        <f>ROUND(SUM(BO26:BO28)/SUM(BP26:BP28),0)</f>
        <v>48</v>
      </c>
      <c r="BR28" s="251">
        <f>ROUND(BQ28*(1+D34/100),0)</f>
        <v>48</v>
      </c>
      <c r="BS28" s="247">
        <f>ROUND(BQ28*(1+D35/100),0)</f>
        <v>48</v>
      </c>
      <c r="BT28" s="99">
        <f>ROUND(BL28*(1+(BW28/100)*(Calculator!F66/100))/BX28,0)</f>
        <v>67</v>
      </c>
      <c r="BU28" s="271">
        <f>ROUND(BT28*(1+D34/100),0)</f>
        <v>67</v>
      </c>
      <c r="BV28" s="99">
        <f>ROUND(BT28*(1+D35/100),0)</f>
        <v>67</v>
      </c>
      <c r="BW28" s="251">
        <f>Calculator!D66+IF(Calculator!C43=Equipment!K8,Equipment!N17,0)</f>
        <v>10</v>
      </c>
      <c r="BX28" s="98">
        <f>ROUND(0.42*100/(Calculator!D67+_xlfn.SWITCH(Calculator!C43,Equipment!K8,Equipment!N16,Equipment!K21,Equipment!N28,Equipment!K34,0)),2)</f>
        <v>0.42</v>
      </c>
    </row>
    <row r="29" spans="1:76" ht="13.8" thickBot="1" x14ac:dyDescent="0.3">
      <c r="A29" s="82"/>
      <c r="B29" s="146" t="s">
        <v>8</v>
      </c>
      <c r="C29" s="134" t="s">
        <v>52</v>
      </c>
      <c r="D29" s="147"/>
      <c r="E29" s="82"/>
      <c r="F29" s="82"/>
      <c r="G29" s="148" t="s">
        <v>66</v>
      </c>
      <c r="H29" s="135" t="s">
        <v>65</v>
      </c>
      <c r="I29" s="143"/>
      <c r="J29" s="82"/>
      <c r="K29" s="82"/>
      <c r="L29" s="173" t="s">
        <v>111</v>
      </c>
      <c r="M29" s="163" t="s">
        <v>50</v>
      </c>
      <c r="N29" s="174"/>
      <c r="O29" s="82"/>
      <c r="P29" s="82"/>
      <c r="Q29" s="82"/>
      <c r="R29" s="82"/>
      <c r="S29" s="82"/>
      <c r="T29" s="82"/>
      <c r="U29" s="82"/>
      <c r="V29" s="167" t="s">
        <v>2</v>
      </c>
      <c r="W29" s="168" t="s">
        <v>131</v>
      </c>
      <c r="X29" s="206"/>
      <c r="Y29" s="82"/>
      <c r="Z29" s="82"/>
      <c r="AA29" s="167" t="s">
        <v>2</v>
      </c>
      <c r="AB29" s="168" t="s">
        <v>131</v>
      </c>
      <c r="AC29" s="206"/>
      <c r="AD29" s="82"/>
      <c r="AE29" s="82"/>
      <c r="AF29" s="173" t="s">
        <v>6</v>
      </c>
      <c r="AG29" s="163" t="s">
        <v>50</v>
      </c>
      <c r="AH29" s="174"/>
      <c r="AI29" s="82"/>
      <c r="AJ29" s="82"/>
      <c r="AK29" s="224" t="s">
        <v>2</v>
      </c>
      <c r="AL29" s="221" t="s">
        <v>131</v>
      </c>
      <c r="AM29" s="216"/>
      <c r="AN29" s="82"/>
      <c r="BK29" s="96" t="s">
        <v>106</v>
      </c>
      <c r="BL29" s="98">
        <f>ROUND(Calculator!D65*1.07*(1+(D30/100))+IF(Calculator!G39=Equipment!AJ28,Calculator!F65*0.02,0),0)</f>
        <v>34</v>
      </c>
      <c r="BM29" s="98">
        <f>ROUND(Equipment!BL29*Calculator!F66/100,0)</f>
        <v>44</v>
      </c>
      <c r="BN29" s="98">
        <f>Calculator!D66</f>
        <v>10</v>
      </c>
      <c r="BO29" s="98">
        <f>ROUND(BL29*(1+(BN29/100)*(Calculator!F66/100)),0)</f>
        <v>38</v>
      </c>
      <c r="BP29" s="98">
        <f>ROUND(0.9*100/Calculator!D67,2)</f>
        <v>0.9</v>
      </c>
      <c r="BQ29" s="99">
        <f>ROUND(SUM(BO26:BO29)/SUM(BP26:BP29),0)</f>
        <v>46</v>
      </c>
      <c r="BR29" s="251">
        <f>ROUND(BQ29*(1+D34/100),0)</f>
        <v>46</v>
      </c>
      <c r="BS29" s="247">
        <f>ROUND(BQ29*(1+D35/100),0)</f>
        <v>46</v>
      </c>
      <c r="BT29" s="99">
        <f>ROUND(BL29*(1+(BW29/100)*(Calculator!F66/100))/BX29,0)</f>
        <v>43</v>
      </c>
      <c r="BU29" s="271">
        <f>ROUND(BT29*(1+D34/100),0)</f>
        <v>43</v>
      </c>
      <c r="BV29" s="99">
        <f>ROUND(BT29*(1+D35/100),0)</f>
        <v>43</v>
      </c>
      <c r="BW29" s="251">
        <f>Calculator!D66+IF(Calculator!C43=Equipment!K8,Equipment!N17,0)</f>
        <v>10</v>
      </c>
      <c r="BX29" s="98">
        <f>ROUND(0.9*100/(Calculator!D67+_xlfn.SWITCH(Calculator!C43,Equipment!K8,Equipment!N16,Equipment!K21,Equipment!N28,Equipment!K34,0)),2)</f>
        <v>0.9</v>
      </c>
    </row>
    <row r="30" spans="1:76" ht="13.8" thickBot="1" x14ac:dyDescent="0.3">
      <c r="A30" s="82"/>
      <c r="B30" s="148" t="s">
        <v>53</v>
      </c>
      <c r="C30" s="135" t="s">
        <v>52</v>
      </c>
      <c r="D30" s="143"/>
      <c r="E30" s="82"/>
      <c r="F30" s="82"/>
      <c r="G30" s="148" t="s">
        <v>67</v>
      </c>
      <c r="H30" s="135" t="s">
        <v>51</v>
      </c>
      <c r="I30" s="143"/>
      <c r="J30" s="82"/>
      <c r="K30" s="82"/>
      <c r="L30" s="173" t="s">
        <v>112</v>
      </c>
      <c r="M30" s="163" t="s">
        <v>50</v>
      </c>
      <c r="N30" s="174"/>
      <c r="O30" s="82"/>
      <c r="P30" s="82"/>
      <c r="Q30" s="82"/>
      <c r="R30" s="82"/>
      <c r="S30" s="82"/>
      <c r="T30" s="82"/>
      <c r="U30" s="82"/>
      <c r="V30" s="215" t="s">
        <v>2</v>
      </c>
      <c r="W30" s="214" t="s">
        <v>78</v>
      </c>
      <c r="X30" s="200"/>
      <c r="Y30" s="82"/>
      <c r="Z30" s="82"/>
      <c r="AA30" s="215" t="s">
        <v>2</v>
      </c>
      <c r="AB30" s="214" t="s">
        <v>78</v>
      </c>
      <c r="AC30" s="200"/>
      <c r="AD30" s="82"/>
      <c r="AE30" s="82"/>
      <c r="AF30" s="194" t="s">
        <v>2</v>
      </c>
      <c r="AG30" s="187" t="s">
        <v>78</v>
      </c>
      <c r="AH30" s="143"/>
      <c r="AI30" s="82"/>
      <c r="AJ30" s="82"/>
      <c r="AK30" s="230" t="s">
        <v>88</v>
      </c>
      <c r="AL30" s="227" t="s">
        <v>139</v>
      </c>
      <c r="AM30" s="217">
        <v>20</v>
      </c>
      <c r="AN30" s="82"/>
      <c r="BK30" s="100" t="s">
        <v>110</v>
      </c>
      <c r="BL30" s="111" t="s">
        <v>110</v>
      </c>
      <c r="BM30" s="102" t="s">
        <v>110</v>
      </c>
      <c r="BN30" s="102" t="s">
        <v>110</v>
      </c>
      <c r="BO30" s="102" t="s">
        <v>110</v>
      </c>
      <c r="BP30" s="102" t="s">
        <v>110</v>
      </c>
      <c r="BQ30" s="103" t="s">
        <v>110</v>
      </c>
      <c r="BR30" s="252" t="s">
        <v>110</v>
      </c>
      <c r="BS30" s="248" t="s">
        <v>110</v>
      </c>
      <c r="BT30" s="252" t="s">
        <v>110</v>
      </c>
      <c r="BU30" s="102" t="s">
        <v>110</v>
      </c>
      <c r="BV30" s="103" t="s">
        <v>110</v>
      </c>
      <c r="BW30" s="275" t="s">
        <v>110</v>
      </c>
      <c r="BX30" s="102" t="s">
        <v>110</v>
      </c>
    </row>
    <row r="31" spans="1:76" ht="13.8" thickBot="1" x14ac:dyDescent="0.3">
      <c r="A31" s="82"/>
      <c r="B31" s="149" t="s">
        <v>54</v>
      </c>
      <c r="C31" s="131" t="s">
        <v>52</v>
      </c>
      <c r="D31" s="150"/>
      <c r="E31" s="82"/>
      <c r="F31" s="82"/>
      <c r="G31" s="148" t="s">
        <v>68</v>
      </c>
      <c r="H31" s="135" t="s">
        <v>56</v>
      </c>
      <c r="I31" s="143"/>
      <c r="J31" s="82"/>
      <c r="K31" s="82"/>
      <c r="L31" s="195" t="s">
        <v>113</v>
      </c>
      <c r="M31" s="196" t="s">
        <v>50</v>
      </c>
      <c r="N31" s="197"/>
      <c r="O31" s="82"/>
      <c r="P31" s="82"/>
      <c r="Q31" s="82"/>
      <c r="R31" s="82"/>
      <c r="S31" s="82"/>
      <c r="T31" s="82"/>
      <c r="U31" s="82"/>
      <c r="V31" s="175" t="s">
        <v>3</v>
      </c>
      <c r="W31" s="164" t="s">
        <v>58</v>
      </c>
      <c r="X31" s="143"/>
      <c r="Y31" s="82"/>
      <c r="Z31" s="82"/>
      <c r="AA31" s="175" t="s">
        <v>3</v>
      </c>
      <c r="AB31" s="164" t="s">
        <v>58</v>
      </c>
      <c r="AC31" s="143"/>
      <c r="AD31" s="82"/>
      <c r="AE31" s="82"/>
      <c r="AF31" s="175" t="s">
        <v>3</v>
      </c>
      <c r="AG31" s="164" t="s">
        <v>60</v>
      </c>
      <c r="AH31" s="143"/>
      <c r="AI31" s="82"/>
      <c r="AJ31" s="82"/>
      <c r="AK31" s="148" t="s">
        <v>71</v>
      </c>
      <c r="AL31" s="228" t="s">
        <v>139</v>
      </c>
      <c r="AM31" s="218">
        <v>20</v>
      </c>
      <c r="AN31" s="82"/>
      <c r="BK31" s="104"/>
      <c r="BL31" s="105"/>
      <c r="BM31" s="105"/>
      <c r="BN31" s="105"/>
      <c r="BO31" s="105"/>
      <c r="BP31" s="105"/>
      <c r="BQ31" s="105"/>
    </row>
    <row r="32" spans="1:76" ht="13.8" thickBot="1" x14ac:dyDescent="0.3">
      <c r="A32" s="82"/>
      <c r="B32" s="148" t="s">
        <v>55</v>
      </c>
      <c r="C32" s="135" t="s">
        <v>52</v>
      </c>
      <c r="D32" s="143"/>
      <c r="E32" s="82"/>
      <c r="F32" s="82"/>
      <c r="G32" s="148" t="s">
        <v>70</v>
      </c>
      <c r="H32" s="135" t="s">
        <v>56</v>
      </c>
      <c r="I32" s="143"/>
      <c r="J32" s="82"/>
      <c r="K32" s="82"/>
      <c r="L32" s="84"/>
      <c r="M32" s="84"/>
      <c r="N32" s="83"/>
      <c r="O32" s="82"/>
      <c r="P32" s="82"/>
      <c r="Q32" s="82"/>
      <c r="R32" s="82"/>
      <c r="S32" s="82"/>
      <c r="T32" s="82"/>
      <c r="U32" s="82"/>
      <c r="V32" s="148" t="s">
        <v>7</v>
      </c>
      <c r="W32" s="135" t="s">
        <v>58</v>
      </c>
      <c r="X32" s="143"/>
      <c r="Y32" s="82"/>
      <c r="Z32" s="82"/>
      <c r="AA32" s="148" t="s">
        <v>7</v>
      </c>
      <c r="AB32" s="135" t="s">
        <v>58</v>
      </c>
      <c r="AC32" s="143"/>
      <c r="AD32" s="82"/>
      <c r="AE32" s="82"/>
      <c r="AF32" s="149" t="s">
        <v>1</v>
      </c>
      <c r="AG32" s="131" t="s">
        <v>82</v>
      </c>
      <c r="AH32" s="150"/>
      <c r="AI32" s="82"/>
      <c r="AJ32" s="82"/>
      <c r="AK32" s="231" t="s">
        <v>89</v>
      </c>
      <c r="AL32" s="229" t="s">
        <v>139</v>
      </c>
      <c r="AM32" s="219">
        <v>2</v>
      </c>
      <c r="AN32" s="82"/>
      <c r="BK32" s="104"/>
      <c r="BL32" s="105"/>
      <c r="BM32" s="105"/>
      <c r="BN32" s="105"/>
      <c r="BO32" s="105"/>
      <c r="BP32" s="105"/>
      <c r="BQ32" s="105"/>
    </row>
    <row r="33" spans="1:76" ht="13.8" thickBot="1" x14ac:dyDescent="0.3">
      <c r="A33" s="82"/>
      <c r="B33" s="148" t="s">
        <v>7</v>
      </c>
      <c r="C33" s="135" t="s">
        <v>56</v>
      </c>
      <c r="D33" s="143"/>
      <c r="E33" s="82"/>
      <c r="F33" s="82"/>
      <c r="G33" s="178" t="s">
        <v>69</v>
      </c>
      <c r="H33" s="179" t="s">
        <v>52</v>
      </c>
      <c r="I33" s="154"/>
      <c r="J33" s="82"/>
      <c r="K33" s="82"/>
      <c r="L33" s="84"/>
      <c r="M33" s="84"/>
      <c r="N33" s="83"/>
      <c r="O33" s="82"/>
      <c r="P33" s="82"/>
      <c r="Q33" s="82"/>
      <c r="R33" s="82"/>
      <c r="S33" s="82"/>
      <c r="T33" s="82"/>
      <c r="U33" s="82"/>
      <c r="V33" s="148" t="s">
        <v>63</v>
      </c>
      <c r="W33" s="135" t="s">
        <v>50</v>
      </c>
      <c r="X33" s="143"/>
      <c r="Y33" s="82"/>
      <c r="Z33" s="82"/>
      <c r="AA33" s="148" t="s">
        <v>63</v>
      </c>
      <c r="AB33" s="135" t="s">
        <v>50</v>
      </c>
      <c r="AC33" s="143"/>
      <c r="AD33" s="82"/>
      <c r="AE33" s="82"/>
      <c r="AF33" s="146" t="s">
        <v>8</v>
      </c>
      <c r="AG33" s="134" t="s">
        <v>58</v>
      </c>
      <c r="AH33" s="147"/>
      <c r="AI33" s="82"/>
      <c r="AJ33" s="82"/>
      <c r="AK33" s="85"/>
      <c r="AL33" s="86"/>
      <c r="AM33" s="83"/>
      <c r="AN33" s="82"/>
      <c r="BK33" s="104"/>
      <c r="BL33" s="105"/>
      <c r="BM33" s="105"/>
      <c r="BN33" s="105"/>
      <c r="BO33" s="105"/>
      <c r="BP33" s="105"/>
      <c r="BQ33" s="105"/>
    </row>
    <row r="34" spans="1:76" ht="13.8" thickBot="1" x14ac:dyDescent="0.3">
      <c r="A34" s="82"/>
      <c r="B34" s="266" t="s">
        <v>57</v>
      </c>
      <c r="C34" s="267" t="s">
        <v>58</v>
      </c>
      <c r="D34" s="268"/>
      <c r="E34" s="82"/>
      <c r="F34" s="311" t="s">
        <v>18</v>
      </c>
      <c r="G34" s="312"/>
      <c r="H34" s="312"/>
      <c r="I34" s="313"/>
      <c r="J34" s="82"/>
      <c r="K34" s="311" t="s">
        <v>22</v>
      </c>
      <c r="L34" s="317"/>
      <c r="M34" s="317"/>
      <c r="N34" s="318"/>
      <c r="O34" s="82"/>
      <c r="P34" s="82"/>
      <c r="Q34" s="82"/>
      <c r="R34" s="82"/>
      <c r="S34" s="82"/>
      <c r="T34" s="82"/>
      <c r="U34" s="82"/>
      <c r="V34" s="148" t="s">
        <v>66</v>
      </c>
      <c r="W34" s="135" t="s">
        <v>64</v>
      </c>
      <c r="X34" s="143"/>
      <c r="Y34" s="82"/>
      <c r="Z34" s="82"/>
      <c r="AA34" s="148" t="s">
        <v>66</v>
      </c>
      <c r="AB34" s="135" t="s">
        <v>64</v>
      </c>
      <c r="AC34" s="143"/>
      <c r="AD34" s="82"/>
      <c r="AE34" s="82"/>
      <c r="AF34" s="178" t="s">
        <v>71</v>
      </c>
      <c r="AG34" s="179" t="s">
        <v>51</v>
      </c>
      <c r="AH34" s="154"/>
      <c r="AI34" s="82"/>
      <c r="AJ34" s="82"/>
      <c r="AK34" s="85"/>
      <c r="AL34" s="86"/>
      <c r="AM34" s="83"/>
      <c r="AN34" s="82"/>
      <c r="BK34" s="104"/>
      <c r="BL34" s="105"/>
      <c r="BM34" s="105"/>
      <c r="BN34" s="105"/>
      <c r="BO34" s="105"/>
      <c r="BP34" s="105"/>
      <c r="BQ34" s="105"/>
    </row>
    <row r="35" spans="1:76" ht="13.8" thickBot="1" x14ac:dyDescent="0.3">
      <c r="A35" s="82"/>
      <c r="B35" s="266" t="s">
        <v>59</v>
      </c>
      <c r="C35" s="267" t="s">
        <v>56</v>
      </c>
      <c r="D35" s="268"/>
      <c r="E35" s="82"/>
      <c r="F35" s="82"/>
      <c r="G35" s="167" t="s">
        <v>2</v>
      </c>
      <c r="H35" s="168" t="s">
        <v>131</v>
      </c>
      <c r="I35" s="169"/>
      <c r="J35" s="82"/>
      <c r="K35" s="82"/>
      <c r="L35" s="188" t="s">
        <v>3</v>
      </c>
      <c r="M35" s="189" t="s">
        <v>131</v>
      </c>
      <c r="N35" s="190"/>
      <c r="O35" s="82"/>
      <c r="P35" s="82"/>
      <c r="Q35" s="82"/>
      <c r="R35" s="82"/>
      <c r="S35" s="82"/>
      <c r="T35" s="82"/>
      <c r="U35" s="82"/>
      <c r="V35" s="148" t="s">
        <v>70</v>
      </c>
      <c r="W35" s="135" t="s">
        <v>58</v>
      </c>
      <c r="X35" s="143"/>
      <c r="Y35" s="82"/>
      <c r="Z35" s="82"/>
      <c r="AA35" s="148" t="s">
        <v>70</v>
      </c>
      <c r="AB35" s="135" t="s">
        <v>58</v>
      </c>
      <c r="AC35" s="143"/>
      <c r="AD35" s="82"/>
      <c r="AE35" s="82"/>
      <c r="AF35" s="82"/>
      <c r="AG35" s="82"/>
      <c r="AH35" s="82"/>
      <c r="AI35" s="82"/>
      <c r="AJ35" s="82"/>
      <c r="AK35" s="85"/>
      <c r="AL35" s="86"/>
      <c r="AM35" s="83"/>
      <c r="AN35" s="82"/>
      <c r="BK35" s="104"/>
      <c r="BL35" s="105"/>
      <c r="BM35" s="105"/>
      <c r="BN35" s="105"/>
      <c r="BO35" s="105"/>
      <c r="BP35" s="105"/>
      <c r="BQ35" s="105"/>
    </row>
    <row r="36" spans="1:76" x14ac:dyDescent="0.25">
      <c r="A36" s="82"/>
      <c r="B36" s="142" t="s">
        <v>118</v>
      </c>
      <c r="C36" s="132" t="s">
        <v>52</v>
      </c>
      <c r="D36" s="143"/>
      <c r="E36" s="82"/>
      <c r="F36" s="82"/>
      <c r="G36" s="183" t="s">
        <v>8</v>
      </c>
      <c r="H36" s="184" t="s">
        <v>72</v>
      </c>
      <c r="I36" s="185"/>
      <c r="J36" s="82"/>
      <c r="K36" s="82"/>
      <c r="L36" s="139" t="s">
        <v>1</v>
      </c>
      <c r="M36" s="140" t="s">
        <v>50</v>
      </c>
      <c r="N36" s="141"/>
      <c r="O36" s="82"/>
      <c r="P36" s="82"/>
      <c r="Q36" s="82"/>
      <c r="R36" s="82"/>
      <c r="S36" s="82"/>
      <c r="T36" s="82"/>
      <c r="U36" s="82"/>
      <c r="V36" s="148" t="s">
        <v>79</v>
      </c>
      <c r="W36" s="135" t="s">
        <v>80</v>
      </c>
      <c r="X36" s="143"/>
      <c r="Y36" s="82"/>
      <c r="Z36" s="82"/>
      <c r="AA36" s="148" t="s">
        <v>79</v>
      </c>
      <c r="AB36" s="135" t="s">
        <v>80</v>
      </c>
      <c r="AC36" s="143"/>
      <c r="AD36" s="82"/>
      <c r="AE36" s="82"/>
      <c r="AF36" s="309" t="s">
        <v>87</v>
      </c>
      <c r="AG36" s="82"/>
      <c r="AH36" s="82"/>
      <c r="AI36" s="82"/>
      <c r="AJ36" s="82"/>
      <c r="AK36" s="85"/>
      <c r="AL36" s="86"/>
      <c r="AM36" s="83"/>
      <c r="AN36" s="82"/>
      <c r="BK36" s="104"/>
      <c r="BL36" s="105"/>
      <c r="BM36" s="105"/>
      <c r="BN36" s="105"/>
      <c r="BO36" s="105"/>
      <c r="BP36" s="105"/>
      <c r="BQ36" s="105"/>
    </row>
    <row r="37" spans="1:76" ht="13.8" thickBot="1" x14ac:dyDescent="0.3">
      <c r="A37" s="82"/>
      <c r="B37" s="142" t="s">
        <v>120</v>
      </c>
      <c r="C37" s="132" t="s">
        <v>52</v>
      </c>
      <c r="D37" s="143"/>
      <c r="E37" s="82"/>
      <c r="F37" s="82"/>
      <c r="G37" s="173" t="s">
        <v>6</v>
      </c>
      <c r="H37" s="163" t="s">
        <v>50</v>
      </c>
      <c r="I37" s="174"/>
      <c r="J37" s="82"/>
      <c r="K37" s="82"/>
      <c r="L37" s="176" t="s">
        <v>4</v>
      </c>
      <c r="M37" s="165" t="s">
        <v>50</v>
      </c>
      <c r="N37" s="177"/>
      <c r="O37" s="82"/>
      <c r="P37" s="82"/>
      <c r="Q37" s="82"/>
      <c r="R37" s="82"/>
      <c r="S37" s="82"/>
      <c r="T37" s="82"/>
      <c r="U37" s="82"/>
      <c r="V37" s="178" t="s">
        <v>81</v>
      </c>
      <c r="W37" s="179" t="s">
        <v>56</v>
      </c>
      <c r="X37" s="154"/>
      <c r="Y37" s="82"/>
      <c r="Z37" s="82"/>
      <c r="AA37" s="178" t="s">
        <v>81</v>
      </c>
      <c r="AB37" s="179" t="s">
        <v>56</v>
      </c>
      <c r="AC37" s="154"/>
      <c r="AD37" s="82"/>
      <c r="AE37" s="82"/>
      <c r="AF37" s="309" t="str">
        <f t="array" ref="AF37">IFERROR(INDEX(AE$8:AE$1988,SMALL(IF(AE$8:AE$1988&lt;&gt;"",ROW(AE$8:AE$1988)-7),ROW(AE1))),"")</f>
        <v>Swallowtail Fan</v>
      </c>
      <c r="AG37" s="82"/>
      <c r="AH37" s="82"/>
      <c r="AI37" s="82"/>
      <c r="AJ37" s="82"/>
      <c r="AK37" s="85"/>
      <c r="AL37" s="86"/>
      <c r="AM37" s="83"/>
      <c r="AN37" s="82"/>
      <c r="BK37" s="104"/>
      <c r="BL37" s="105"/>
      <c r="BM37" s="105"/>
      <c r="BN37" s="105"/>
      <c r="BO37" s="105"/>
      <c r="BP37" s="105"/>
      <c r="BQ37" s="105"/>
    </row>
    <row r="38" spans="1:76" ht="13.8" thickBot="1" x14ac:dyDescent="0.3">
      <c r="A38" s="82"/>
      <c r="B38" s="142" t="s">
        <v>122</v>
      </c>
      <c r="C38" s="132" t="s">
        <v>52</v>
      </c>
      <c r="D38" s="143"/>
      <c r="E38" s="82"/>
      <c r="F38" s="82"/>
      <c r="G38" s="175" t="s">
        <v>3</v>
      </c>
      <c r="H38" s="164" t="s">
        <v>60</v>
      </c>
      <c r="I38" s="143"/>
      <c r="J38" s="82"/>
      <c r="K38" s="82"/>
      <c r="L38" s="146" t="s">
        <v>8</v>
      </c>
      <c r="M38" s="134" t="s">
        <v>52</v>
      </c>
      <c r="N38" s="147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309" t="str">
        <f t="array" ref="AF38">IFERROR(INDEX(AE$8:AE$1988,SMALL(IF(AE$8:AE$1988&lt;&gt;"",ROW(AE$8:AE$1988)-7),ROW(AE2))),"")</f>
        <v>Apricot Flower Fan</v>
      </c>
      <c r="AG38" s="82"/>
      <c r="AH38" s="82"/>
      <c r="AI38" s="82"/>
      <c r="AJ38" s="311" t="s">
        <v>34</v>
      </c>
      <c r="AK38" s="317"/>
      <c r="AL38" s="317"/>
      <c r="AM38" s="318"/>
      <c r="AN38" s="82"/>
      <c r="BK38" s="104"/>
      <c r="BL38" s="105"/>
      <c r="BM38" s="105"/>
      <c r="BN38" s="105"/>
      <c r="BO38" s="105"/>
      <c r="BP38" s="105"/>
      <c r="BQ38" s="105"/>
    </row>
    <row r="39" spans="1:76" ht="13.8" thickBot="1" x14ac:dyDescent="0.3">
      <c r="A39" s="82"/>
      <c r="B39" s="160" t="s">
        <v>125</v>
      </c>
      <c r="C39" s="159" t="s">
        <v>52</v>
      </c>
      <c r="D39" s="154"/>
      <c r="E39" s="82"/>
      <c r="F39" s="82"/>
      <c r="G39" s="144" t="s">
        <v>61</v>
      </c>
      <c r="H39" s="133" t="s">
        <v>62</v>
      </c>
      <c r="I39" s="145"/>
      <c r="J39" s="82"/>
      <c r="K39" s="82"/>
      <c r="L39" s="148" t="s">
        <v>74</v>
      </c>
      <c r="M39" s="135" t="s">
        <v>56</v>
      </c>
      <c r="N39" s="143"/>
      <c r="O39" s="82"/>
      <c r="P39" s="82"/>
      <c r="Q39" s="82"/>
      <c r="R39" s="82"/>
      <c r="S39" s="82"/>
      <c r="T39" s="82"/>
      <c r="U39" s="82"/>
      <c r="V39" s="309" t="s">
        <v>85</v>
      </c>
      <c r="W39" s="82"/>
      <c r="X39" s="82"/>
      <c r="Y39" s="82"/>
      <c r="Z39" s="82"/>
      <c r="AA39" s="309" t="s">
        <v>86</v>
      </c>
      <c r="AB39" s="82"/>
      <c r="AC39" s="82"/>
      <c r="AD39" s="82"/>
      <c r="AE39" s="82"/>
      <c r="AF39" s="309" t="str">
        <f t="array" ref="AF39">IFERROR(INDEX(AE$8:AE$1988,SMALL(IF(AE$8:AE$1988&lt;&gt;"",ROW(AE$8:AE$1988)-7),ROW(AE3))),"")</f>
        <v>Bamboo Fan</v>
      </c>
      <c r="AG39" s="82"/>
      <c r="AH39" s="82"/>
      <c r="AI39" s="82"/>
      <c r="AJ39" s="82"/>
      <c r="AK39" s="136" t="s">
        <v>6</v>
      </c>
      <c r="AL39" s="158" t="s">
        <v>131</v>
      </c>
      <c r="AM39" s="138"/>
      <c r="AN39" s="82"/>
      <c r="BK39" s="104"/>
      <c r="BL39" s="105"/>
      <c r="BM39" s="105"/>
      <c r="BN39" s="105"/>
      <c r="BO39" s="105"/>
      <c r="BP39" s="105"/>
      <c r="BQ39" s="105"/>
    </row>
    <row r="40" spans="1:76" ht="13.8" thickBot="1" x14ac:dyDescent="0.3">
      <c r="A40" s="311" t="s">
        <v>15</v>
      </c>
      <c r="B40" s="312"/>
      <c r="C40" s="312"/>
      <c r="D40" s="313"/>
      <c r="E40" s="82"/>
      <c r="F40" s="82"/>
      <c r="G40" s="176" t="s">
        <v>4</v>
      </c>
      <c r="H40" s="165" t="s">
        <v>62</v>
      </c>
      <c r="I40" s="177"/>
      <c r="J40" s="82"/>
      <c r="K40" s="82"/>
      <c r="L40" s="148" t="s">
        <v>71</v>
      </c>
      <c r="M40" s="135" t="s">
        <v>51</v>
      </c>
      <c r="N40" s="143"/>
      <c r="O40" s="82"/>
      <c r="P40" s="82"/>
      <c r="Q40" s="82"/>
      <c r="R40" s="82"/>
      <c r="S40" s="82"/>
      <c r="T40" s="82"/>
      <c r="U40" s="82"/>
      <c r="V40" s="309" t="str">
        <f t="array" ref="V40">IFERROR(INDEX(U$8:U$1988,SMALL(IF(U$8:U$1988&lt;&gt;"",ROW(U$8:U$1988)-7),ROW(U1))),"")</f>
        <v>Red Phoenix Ring</v>
      </c>
      <c r="W40" s="82"/>
      <c r="X40" s="82"/>
      <c r="Y40" s="82"/>
      <c r="Z40" s="82"/>
      <c r="AA40" s="309" t="str">
        <f t="array" ref="AA40">IFERROR(INDEX(Z$8:Z$1988,SMALL(IF(Z$8:Z$1988&lt;&gt;"",ROW(Z$8:Z$1988)-7),ROW(Z1))),"")</f>
        <v>Red Phoenix Ring</v>
      </c>
      <c r="AB40" s="82"/>
      <c r="AC40" s="82"/>
      <c r="AD40" s="82"/>
      <c r="AE40" s="82"/>
      <c r="AF40" s="82"/>
      <c r="AG40" s="82"/>
      <c r="AH40" s="82"/>
      <c r="AI40" s="82"/>
      <c r="AJ40" s="82"/>
      <c r="AK40" s="225" t="s">
        <v>9</v>
      </c>
      <c r="AL40" s="222" t="s">
        <v>52</v>
      </c>
      <c r="AM40" s="200"/>
      <c r="AN40" s="82"/>
    </row>
    <row r="41" spans="1:76" ht="13.8" thickBot="1" x14ac:dyDescent="0.3">
      <c r="A41" s="82"/>
      <c r="B41" s="136" t="s">
        <v>6</v>
      </c>
      <c r="C41" s="158" t="s">
        <v>131</v>
      </c>
      <c r="D41" s="155"/>
      <c r="E41" s="82"/>
      <c r="F41" s="82"/>
      <c r="G41" s="148" t="s">
        <v>63</v>
      </c>
      <c r="H41" s="135" t="s">
        <v>64</v>
      </c>
      <c r="I41" s="143"/>
      <c r="J41" s="82"/>
      <c r="K41" s="82"/>
      <c r="L41" s="148" t="s">
        <v>77</v>
      </c>
      <c r="M41" s="135" t="s">
        <v>72</v>
      </c>
      <c r="N41" s="143"/>
      <c r="O41" s="82"/>
      <c r="P41" s="82"/>
      <c r="Q41" s="82"/>
      <c r="R41" s="82"/>
      <c r="S41" s="82"/>
      <c r="T41" s="82"/>
      <c r="U41" s="82"/>
      <c r="V41" s="309" t="str">
        <f t="array" ref="V41">IFERROR(INDEX(U$8:U$1988,SMALL(IF(U$8:U$1988&lt;&gt;"",ROW(U$8:U$1988)-7),ROW(U2))),"")</f>
        <v>White Tiger Ring</v>
      </c>
      <c r="W41" s="82"/>
      <c r="X41" s="82"/>
      <c r="Y41" s="82"/>
      <c r="Z41" s="82"/>
      <c r="AA41" s="309" t="str">
        <f t="array" ref="AA41">IFERROR(INDEX(Z$8:Z$1988,SMALL(IF(Z$8:Z$1988&lt;&gt;"",ROW(Z$8:Z$1988)-7),ROW(Z2))),"")</f>
        <v>White Tiger Ring</v>
      </c>
      <c r="AB41" s="82"/>
      <c r="AC41" s="82"/>
      <c r="AD41" s="82"/>
      <c r="AE41" s="82"/>
      <c r="AF41" s="82"/>
      <c r="AG41" s="82"/>
      <c r="AH41" s="82"/>
      <c r="AI41" s="82"/>
      <c r="AJ41" s="82"/>
      <c r="AK41" s="173" t="s">
        <v>6</v>
      </c>
      <c r="AL41" s="163" t="s">
        <v>131</v>
      </c>
      <c r="AM41" s="174"/>
      <c r="AN41" s="82"/>
      <c r="BK41" s="106"/>
      <c r="BL41" s="107" t="s">
        <v>43</v>
      </c>
      <c r="BM41" s="107" t="s">
        <v>44</v>
      </c>
      <c r="BN41" s="107" t="s">
        <v>1</v>
      </c>
      <c r="BO41" s="107" t="s">
        <v>45</v>
      </c>
      <c r="BP41" s="107" t="s">
        <v>46</v>
      </c>
      <c r="BQ41" s="108" t="s">
        <v>130</v>
      </c>
      <c r="BR41" s="254" t="s">
        <v>166</v>
      </c>
      <c r="BS41" s="269" t="s">
        <v>167</v>
      </c>
      <c r="BT41" s="254" t="s">
        <v>168</v>
      </c>
      <c r="BU41" s="254" t="s">
        <v>166</v>
      </c>
      <c r="BV41" s="255" t="s">
        <v>167</v>
      </c>
      <c r="BW41" s="249" t="s">
        <v>169</v>
      </c>
      <c r="BX41" s="250" t="s">
        <v>170</v>
      </c>
    </row>
    <row r="42" spans="1:76" x14ac:dyDescent="0.25">
      <c r="A42" s="82"/>
      <c r="B42" s="139" t="s">
        <v>1</v>
      </c>
      <c r="C42" s="140" t="s">
        <v>50</v>
      </c>
      <c r="D42" s="157"/>
      <c r="E42" s="82"/>
      <c r="F42" s="82"/>
      <c r="G42" s="148" t="s">
        <v>66</v>
      </c>
      <c r="H42" s="135" t="s">
        <v>65</v>
      </c>
      <c r="I42" s="143"/>
      <c r="J42" s="82"/>
      <c r="K42" s="82"/>
      <c r="L42" s="173" t="s">
        <v>111</v>
      </c>
      <c r="M42" s="163" t="s">
        <v>50</v>
      </c>
      <c r="N42" s="174"/>
      <c r="O42" s="82"/>
      <c r="P42" s="82"/>
      <c r="Q42" s="82"/>
      <c r="R42" s="82"/>
      <c r="S42" s="82"/>
      <c r="T42" s="82"/>
      <c r="U42" s="82"/>
      <c r="V42" s="309" t="str">
        <f t="array" ref="V42">IFERROR(INDEX(U$8:U$1988,SMALL(IF(U$8:U$1988&lt;&gt;"",ROW(U$8:U$1988)-7),ROW(U3))),"")</f>
        <v>Blue Dragon Ring</v>
      </c>
      <c r="W42" s="82"/>
      <c r="X42" s="82"/>
      <c r="Y42" s="82"/>
      <c r="Z42" s="82"/>
      <c r="AA42" s="309" t="str">
        <f t="array" ref="AA42">IFERROR(INDEX(Z$8:Z$1988,SMALL(IF(Z$8:Z$1988&lt;&gt;"",ROW(Z$8:Z$1988)-7),ROW(Z3))),"")</f>
        <v>Blue Dragon Ring</v>
      </c>
      <c r="AB42" s="82"/>
      <c r="AC42" s="82"/>
      <c r="AD42" s="82"/>
      <c r="AE42" s="82"/>
      <c r="AF42" s="82"/>
      <c r="AG42" s="82"/>
      <c r="AH42" s="82"/>
      <c r="AI42" s="82"/>
      <c r="AJ42" s="82"/>
      <c r="AK42" s="194" t="s">
        <v>2</v>
      </c>
      <c r="AL42" s="187" t="s">
        <v>78</v>
      </c>
      <c r="AM42" s="143"/>
      <c r="AN42" s="82"/>
      <c r="BK42" s="92" t="s">
        <v>107</v>
      </c>
      <c r="BL42" s="93">
        <f>ROUND(Calculator!D65*0.97+IF(Calculator!G39=Equipment!AJ28,Calculator!F65*0.02,0),0)</f>
        <v>31</v>
      </c>
      <c r="BM42" s="93">
        <f>ROUND(Equipment!BL42*Calculator!F66/100,0)</f>
        <v>40</v>
      </c>
      <c r="BN42" s="93">
        <f>_xlfn.SWITCH(Calculator!F73,Equipment!BI10,Calculator!D66+D47,Equipment!BI9,100)</f>
        <v>10</v>
      </c>
      <c r="BO42" s="93">
        <f>ROUND(BL42*(1+(BN42/100)*(Calculator!F66/100)),0)</f>
        <v>35</v>
      </c>
      <c r="BP42" s="93">
        <f>ROUND(0.8*100/Calculator!D67,2)</f>
        <v>0.8</v>
      </c>
      <c r="BQ42" s="94">
        <f>ROUND(SUM(BO42)/SUM(BP42,0.3),0)</f>
        <v>32</v>
      </c>
      <c r="BR42" s="253">
        <f>ROUND(BQ42*(1+D50/100),0)</f>
        <v>32</v>
      </c>
      <c r="BS42" s="270">
        <f>ROUND(BQ42*(1+D51/100),0)</f>
        <v>32</v>
      </c>
      <c r="BT42" s="94">
        <f>ROUND(BL42*(1+(BW42/100)*(Calculator!F66/100))/(BX42+0.3),0)</f>
        <v>32</v>
      </c>
      <c r="BU42" s="274">
        <f>ROUND(BT42*(1+D50/100),0)</f>
        <v>32</v>
      </c>
      <c r="BV42" s="94">
        <f>ROUND(BT42*(1+D51/100),0)</f>
        <v>32</v>
      </c>
      <c r="BW42" s="251">
        <f>_xlfn.SWITCH(Calculator!F73,Equipment!BI10,Calculator!D66+D47+IF(Calculator!C43=Equipment!K8,Equipment!N17,0),Equipment!BI9,100)</f>
        <v>10</v>
      </c>
      <c r="BX42" s="93">
        <f>ROUND(0.8*100/(Calculator!D67+_xlfn.SWITCH(Calculator!C43,Equipment!K8,Equipment!N16,Equipment!K21,Equipment!N28,Equipment!K34,0)),2)</f>
        <v>0.8</v>
      </c>
    </row>
    <row r="43" spans="1:76" x14ac:dyDescent="0.25">
      <c r="A43" s="82"/>
      <c r="B43" s="142" t="s">
        <v>0</v>
      </c>
      <c r="C43" s="132" t="s">
        <v>51</v>
      </c>
      <c r="D43" s="143"/>
      <c r="E43" s="82"/>
      <c r="F43" s="82"/>
      <c r="G43" s="148" t="s">
        <v>67</v>
      </c>
      <c r="H43" s="135" t="s">
        <v>51</v>
      </c>
      <c r="I43" s="143"/>
      <c r="J43" s="82"/>
      <c r="K43" s="82"/>
      <c r="L43" s="173" t="s">
        <v>112</v>
      </c>
      <c r="M43" s="163" t="s">
        <v>50</v>
      </c>
      <c r="N43" s="174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175" t="s">
        <v>3</v>
      </c>
      <c r="AL43" s="164" t="s">
        <v>58</v>
      </c>
      <c r="AM43" s="143"/>
      <c r="AN43" s="82"/>
      <c r="BK43" s="96" t="s">
        <v>108</v>
      </c>
      <c r="BL43" s="98">
        <f>ROUND(Calculator!D65*1.33+IF(Calculator!G39=Equipment!AJ28,Calculator!F65*0.02,0),0)</f>
        <v>43</v>
      </c>
      <c r="BM43" s="98">
        <f>ROUND(Equipment!BL43*Calculator!F66/100,0)</f>
        <v>56</v>
      </c>
      <c r="BN43" s="98">
        <f>Calculator!D66</f>
        <v>10</v>
      </c>
      <c r="BO43" s="98">
        <f>ROUND(BL43*(1+(BN43/100)*(Calculator!F66/100)),0)</f>
        <v>49</v>
      </c>
      <c r="BP43" s="98">
        <f>ROUND(1.02*100/Calculator!D67,2)</f>
        <v>1.02</v>
      </c>
      <c r="BQ43" s="99">
        <f>ROUND(SUM(BO42:BO43)/SUM(BP42:BP43),0)</f>
        <v>46</v>
      </c>
      <c r="BR43" s="251">
        <f>ROUND(BQ43*(1+D50/100),0)</f>
        <v>46</v>
      </c>
      <c r="BS43" s="247">
        <f>ROUND(BQ43*(1+D51/100),0)</f>
        <v>46</v>
      </c>
      <c r="BT43" s="99">
        <f>ROUND(BL43*(1+(BW43/100)*(Calculator!F66/100))/BX43,0)</f>
        <v>48</v>
      </c>
      <c r="BU43" s="271">
        <f>ROUND(BT43*(1+D50/100),0)</f>
        <v>48</v>
      </c>
      <c r="BV43" s="99">
        <f>ROUND(BT43*(1+D51/100),0)</f>
        <v>48</v>
      </c>
      <c r="BW43" s="251">
        <f>Calculator!D66+IF(Calculator!C43=Equipment!K8,Equipment!N17,0)</f>
        <v>10</v>
      </c>
      <c r="BX43" s="98">
        <f>ROUND(1.02*100/(Calculator!D67+_xlfn.SWITCH(Calculator!C43,Equipment!K8,Equipment!N16,Equipment!K21,Equipment!N28,Equipment!K34,0)),2)</f>
        <v>1.02</v>
      </c>
    </row>
    <row r="44" spans="1:76" ht="13.8" thickBot="1" x14ac:dyDescent="0.3">
      <c r="A44" s="82"/>
      <c r="B44" s="144" t="s">
        <v>5</v>
      </c>
      <c r="C44" s="133" t="s">
        <v>50</v>
      </c>
      <c r="D44" s="145"/>
      <c r="E44" s="82"/>
      <c r="F44" s="82"/>
      <c r="G44" s="148" t="s">
        <v>68</v>
      </c>
      <c r="H44" s="135" t="s">
        <v>56</v>
      </c>
      <c r="I44" s="143"/>
      <c r="J44" s="82"/>
      <c r="K44" s="82"/>
      <c r="L44" s="195" t="s">
        <v>113</v>
      </c>
      <c r="M44" s="196" t="s">
        <v>50</v>
      </c>
      <c r="N44" s="197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146" t="s">
        <v>8</v>
      </c>
      <c r="AL44" s="134" t="s">
        <v>58</v>
      </c>
      <c r="AM44" s="147"/>
      <c r="AN44" s="82"/>
      <c r="BK44" s="96" t="s">
        <v>109</v>
      </c>
      <c r="BL44" s="98">
        <f>ROUND(Calculator!D65*1.53*(1+(D46/100))+IF(Calculator!G39=Equipment!AJ28,Calculator!F65*0.02,0),0)</f>
        <v>49</v>
      </c>
      <c r="BM44" s="98">
        <f>ROUND(Equipment!BL44*Calculator!F66/100,0)</f>
        <v>64</v>
      </c>
      <c r="BN44" s="98">
        <f>Calculator!D66</f>
        <v>10</v>
      </c>
      <c r="BO44" s="98">
        <f>ROUND(BL44*(1+(BN44/100)*(Calculator!F66/100)),0)</f>
        <v>55</v>
      </c>
      <c r="BP44" s="98">
        <f>ROUND(1.3*100/Calculator!D67,2)</f>
        <v>1.3</v>
      </c>
      <c r="BQ44" s="99">
        <f>ROUND(SUM(BO42:BO44)/SUM(BP42:BP44),0)</f>
        <v>45</v>
      </c>
      <c r="BR44" s="251">
        <f>ROUND(BQ44*(1+D50/100),0)</f>
        <v>45</v>
      </c>
      <c r="BS44" s="247">
        <f>ROUND(BQ44*(1+D51/100),0)</f>
        <v>45</v>
      </c>
      <c r="BT44" s="99">
        <f>ROUND(BL44*(1+(BW44/100)*(Calculator!F66/100))/BX44,0)</f>
        <v>43</v>
      </c>
      <c r="BU44" s="271">
        <f>ROUND(BT44*(1+D50/100),0)</f>
        <v>43</v>
      </c>
      <c r="BV44" s="99">
        <f>ROUND(BT44*(1+D51/100),0)</f>
        <v>43</v>
      </c>
      <c r="BW44" s="251">
        <f>Calculator!D66+IF(Calculator!C43=Equipment!K8,Equipment!N17,0)</f>
        <v>10</v>
      </c>
      <c r="BX44" s="98">
        <f>ROUND(1.3*100/(Calculator!D67+_xlfn.SWITCH(Calculator!C43,Equipment!K8,Equipment!N16,Equipment!K21,Equipment!N28,Equipment!K34,0)),2)</f>
        <v>1.3</v>
      </c>
    </row>
    <row r="45" spans="1:76" x14ac:dyDescent="0.25">
      <c r="A45" s="82"/>
      <c r="B45" s="146" t="s">
        <v>8</v>
      </c>
      <c r="C45" s="134" t="s">
        <v>52</v>
      </c>
      <c r="D45" s="147"/>
      <c r="E45" s="82"/>
      <c r="F45" s="82"/>
      <c r="G45" s="148" t="s">
        <v>70</v>
      </c>
      <c r="H45" s="135" t="s">
        <v>56</v>
      </c>
      <c r="I45" s="143"/>
      <c r="J45" s="82"/>
      <c r="K45" s="82"/>
      <c r="L45" s="84"/>
      <c r="M45" s="84"/>
      <c r="N45" s="83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186" t="s">
        <v>66</v>
      </c>
      <c r="AL45" s="166" t="s">
        <v>64</v>
      </c>
      <c r="AM45" s="143"/>
      <c r="AN45" s="82"/>
      <c r="BK45" s="96" t="s">
        <v>110</v>
      </c>
      <c r="BL45" s="98" t="s">
        <v>110</v>
      </c>
      <c r="BM45" s="98" t="s">
        <v>110</v>
      </c>
      <c r="BN45" s="98" t="s">
        <v>110</v>
      </c>
      <c r="BO45" s="98" t="s">
        <v>110</v>
      </c>
      <c r="BP45" s="98" t="s">
        <v>110</v>
      </c>
      <c r="BQ45" s="99" t="s">
        <v>110</v>
      </c>
      <c r="BR45" s="251" t="s">
        <v>110</v>
      </c>
      <c r="BS45" s="247" t="s">
        <v>110</v>
      </c>
      <c r="BT45" s="251" t="s">
        <v>110</v>
      </c>
      <c r="BU45" s="98" t="s">
        <v>110</v>
      </c>
      <c r="BV45" s="99" t="s">
        <v>110</v>
      </c>
      <c r="BW45" s="251" t="s">
        <v>110</v>
      </c>
      <c r="BX45" s="98" t="s">
        <v>110</v>
      </c>
    </row>
    <row r="46" spans="1:76" ht="13.8" thickBot="1" x14ac:dyDescent="0.3">
      <c r="A46" s="82"/>
      <c r="B46" s="148" t="s">
        <v>53</v>
      </c>
      <c r="C46" s="135" t="s">
        <v>52</v>
      </c>
      <c r="D46" s="143"/>
      <c r="E46" s="82"/>
      <c r="F46" s="82"/>
      <c r="G46" s="178" t="s">
        <v>69</v>
      </c>
      <c r="H46" s="179" t="s">
        <v>52</v>
      </c>
      <c r="I46" s="154"/>
      <c r="J46" s="82"/>
      <c r="K46" s="82"/>
      <c r="L46" s="84"/>
      <c r="M46" s="84"/>
      <c r="N46" s="83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148" t="s">
        <v>71</v>
      </c>
      <c r="AL46" s="135" t="s">
        <v>58</v>
      </c>
      <c r="AM46" s="143"/>
      <c r="AN46" s="82"/>
      <c r="BK46" s="100" t="s">
        <v>110</v>
      </c>
      <c r="BL46" s="112" t="s">
        <v>110</v>
      </c>
      <c r="BM46" s="112" t="s">
        <v>110</v>
      </c>
      <c r="BN46" s="112" t="s">
        <v>110</v>
      </c>
      <c r="BO46" s="112" t="s">
        <v>110</v>
      </c>
      <c r="BP46" s="112" t="s">
        <v>110</v>
      </c>
      <c r="BQ46" s="113" t="s">
        <v>110</v>
      </c>
      <c r="BR46" s="252" t="s">
        <v>110</v>
      </c>
      <c r="BS46" s="248" t="s">
        <v>110</v>
      </c>
      <c r="BT46" s="252" t="s">
        <v>110</v>
      </c>
      <c r="BU46" s="102" t="s">
        <v>110</v>
      </c>
      <c r="BV46" s="103" t="s">
        <v>110</v>
      </c>
      <c r="BW46" s="252" t="s">
        <v>110</v>
      </c>
      <c r="BX46" s="102" t="s">
        <v>110</v>
      </c>
    </row>
    <row r="47" spans="1:76" ht="13.8" thickBot="1" x14ac:dyDescent="0.3">
      <c r="A47" s="82"/>
      <c r="B47" s="149" t="s">
        <v>54</v>
      </c>
      <c r="C47" s="131" t="s">
        <v>52</v>
      </c>
      <c r="D47" s="150"/>
      <c r="E47" s="82"/>
      <c r="F47" s="311" t="s">
        <v>19</v>
      </c>
      <c r="G47" s="312"/>
      <c r="H47" s="312"/>
      <c r="I47" s="313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233" t="s">
        <v>1</v>
      </c>
      <c r="AL47" s="232" t="s">
        <v>82</v>
      </c>
      <c r="AM47" s="156"/>
      <c r="AN47" s="82"/>
    </row>
    <row r="48" spans="1:76" ht="13.8" thickBot="1" x14ac:dyDescent="0.3">
      <c r="A48" s="82"/>
      <c r="B48" s="148" t="s">
        <v>55</v>
      </c>
      <c r="C48" s="135" t="s">
        <v>52</v>
      </c>
      <c r="D48" s="143"/>
      <c r="E48" s="82"/>
      <c r="F48" s="82"/>
      <c r="G48" s="167" t="s">
        <v>2</v>
      </c>
      <c r="H48" s="168" t="s">
        <v>131</v>
      </c>
      <c r="I48" s="169"/>
      <c r="J48" s="82"/>
      <c r="K48" s="82"/>
      <c r="L48" s="309" t="s">
        <v>83</v>
      </c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311" t="s">
        <v>35</v>
      </c>
      <c r="AK48" s="312"/>
      <c r="AL48" s="312"/>
      <c r="AM48" s="313"/>
      <c r="AN48" s="82"/>
    </row>
    <row r="49" spans="1:40" ht="13.8" thickBot="1" x14ac:dyDescent="0.3">
      <c r="A49" s="82"/>
      <c r="B49" s="148" t="s">
        <v>7</v>
      </c>
      <c r="C49" s="135" t="s">
        <v>56</v>
      </c>
      <c r="D49" s="143"/>
      <c r="E49" s="82"/>
      <c r="F49" s="82"/>
      <c r="G49" s="180" t="s">
        <v>70</v>
      </c>
      <c r="H49" s="181" t="s">
        <v>72</v>
      </c>
      <c r="I49" s="182"/>
      <c r="J49" s="82"/>
      <c r="K49" s="82"/>
      <c r="L49" s="309" t="str">
        <f t="array" ref="L49">IFERROR(INDEX(K$8:K$1992,SMALL(IF(K$8:K$1992&lt;&gt;"",ROW(K$8:K$1992)-7),ROW(K1))),"")</f>
        <v>Inferno Necklace</v>
      </c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82"/>
      <c r="AK49" s="136" t="s">
        <v>6</v>
      </c>
      <c r="AL49" s="158" t="s">
        <v>131</v>
      </c>
      <c r="AM49" s="138"/>
      <c r="AN49" s="82"/>
    </row>
    <row r="50" spans="1:40" x14ac:dyDescent="0.25">
      <c r="A50" s="82"/>
      <c r="B50" s="266" t="s">
        <v>57</v>
      </c>
      <c r="C50" s="267" t="s">
        <v>58</v>
      </c>
      <c r="D50" s="268"/>
      <c r="E50" s="82"/>
      <c r="F50" s="82"/>
      <c r="G50" s="173" t="s">
        <v>6</v>
      </c>
      <c r="H50" s="163" t="s">
        <v>50</v>
      </c>
      <c r="I50" s="174"/>
      <c r="J50" s="82"/>
      <c r="K50" s="82"/>
      <c r="L50" s="309" t="str">
        <f t="array" ref="L50">IFERROR(INDEX(K$8:K$1992,SMALL(IF(K$8:K$1992&lt;&gt;"",ROW(K$8:K$1992)-7),ROW(K2))),"")</f>
        <v>Full Moon Necklace</v>
      </c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225" t="s">
        <v>10</v>
      </c>
      <c r="AL50" s="222" t="s">
        <v>136</v>
      </c>
      <c r="AM50" s="200"/>
      <c r="AN50" s="82"/>
    </row>
    <row r="51" spans="1:40" x14ac:dyDescent="0.25">
      <c r="A51" s="82"/>
      <c r="B51" s="266" t="s">
        <v>59</v>
      </c>
      <c r="C51" s="267" t="s">
        <v>56</v>
      </c>
      <c r="D51" s="268"/>
      <c r="E51" s="82"/>
      <c r="F51" s="82"/>
      <c r="G51" s="175" t="s">
        <v>3</v>
      </c>
      <c r="H51" s="164" t="s">
        <v>60</v>
      </c>
      <c r="I51" s="143"/>
      <c r="J51" s="82"/>
      <c r="K51" s="82"/>
      <c r="L51" s="309" t="str">
        <f t="array" ref="L51">IFERROR(INDEX(K$8:K$1992,SMALL(IF(K$8:K$1992&lt;&gt;"",ROW(K$8:K$1992)-7),ROW(K3))),"")</f>
        <v>Wave Necklace</v>
      </c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173" t="s">
        <v>6</v>
      </c>
      <c r="AL51" s="163" t="s">
        <v>131</v>
      </c>
      <c r="AM51" s="174"/>
      <c r="AN51" s="82"/>
    </row>
    <row r="52" spans="1:40" x14ac:dyDescent="0.25">
      <c r="A52" s="82"/>
      <c r="B52" s="149" t="s">
        <v>119</v>
      </c>
      <c r="C52" s="131" t="s">
        <v>58</v>
      </c>
      <c r="D52" s="150"/>
      <c r="E52" s="82"/>
      <c r="F52" s="82"/>
      <c r="G52" s="144" t="s">
        <v>61</v>
      </c>
      <c r="H52" s="133" t="s">
        <v>62</v>
      </c>
      <c r="I52" s="145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194" t="s">
        <v>2</v>
      </c>
      <c r="AL52" s="187" t="s">
        <v>78</v>
      </c>
      <c r="AM52" s="143"/>
      <c r="AN52" s="82"/>
    </row>
    <row r="53" spans="1:40" x14ac:dyDescent="0.25">
      <c r="A53" s="82"/>
      <c r="B53" s="149" t="s">
        <v>121</v>
      </c>
      <c r="C53" s="131" t="s">
        <v>58</v>
      </c>
      <c r="D53" s="150"/>
      <c r="E53" s="82"/>
      <c r="F53" s="82"/>
      <c r="G53" s="176" t="s">
        <v>4</v>
      </c>
      <c r="H53" s="165" t="s">
        <v>62</v>
      </c>
      <c r="I53" s="177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175" t="s">
        <v>3</v>
      </c>
      <c r="AL53" s="164" t="s">
        <v>58</v>
      </c>
      <c r="AM53" s="143"/>
      <c r="AN53" s="82"/>
    </row>
    <row r="54" spans="1:40" x14ac:dyDescent="0.25">
      <c r="A54" s="82"/>
      <c r="B54" s="149" t="s">
        <v>123</v>
      </c>
      <c r="C54" s="131" t="s">
        <v>58</v>
      </c>
      <c r="D54" s="150"/>
      <c r="E54" s="82"/>
      <c r="F54" s="82"/>
      <c r="G54" s="148" t="s">
        <v>63</v>
      </c>
      <c r="H54" s="135" t="s">
        <v>64</v>
      </c>
      <c r="I54" s="143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146" t="s">
        <v>8</v>
      </c>
      <c r="AL54" s="134" t="s">
        <v>58</v>
      </c>
      <c r="AM54" s="147"/>
      <c r="AN54" s="82"/>
    </row>
    <row r="55" spans="1:40" ht="13.8" thickBot="1" x14ac:dyDescent="0.3">
      <c r="A55" s="82"/>
      <c r="B55" s="162" t="s">
        <v>124</v>
      </c>
      <c r="C55" s="161" t="s">
        <v>58</v>
      </c>
      <c r="D55" s="156"/>
      <c r="E55" s="82"/>
      <c r="F55" s="82"/>
      <c r="G55" s="148" t="s">
        <v>66</v>
      </c>
      <c r="H55" s="135" t="s">
        <v>65</v>
      </c>
      <c r="I55" s="143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186" t="s">
        <v>66</v>
      </c>
      <c r="AL55" s="166" t="s">
        <v>64</v>
      </c>
      <c r="AM55" s="143"/>
      <c r="AN55" s="82"/>
    </row>
    <row r="56" spans="1:40" x14ac:dyDescent="0.25">
      <c r="A56" s="82"/>
      <c r="B56" s="82"/>
      <c r="C56" s="82"/>
      <c r="D56" s="82"/>
      <c r="E56" s="82"/>
      <c r="F56" s="82"/>
      <c r="G56" s="148" t="s">
        <v>67</v>
      </c>
      <c r="H56" s="135" t="s">
        <v>51</v>
      </c>
      <c r="I56" s="143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148" t="s">
        <v>71</v>
      </c>
      <c r="AL56" s="135" t="s">
        <v>58</v>
      </c>
      <c r="AM56" s="143"/>
      <c r="AN56" s="82"/>
    </row>
    <row r="57" spans="1:40" ht="13.8" thickBot="1" x14ac:dyDescent="0.3">
      <c r="A57" s="82"/>
      <c r="B57" s="309" t="s">
        <v>48</v>
      </c>
      <c r="C57" s="82"/>
      <c r="D57" s="82"/>
      <c r="E57" s="82"/>
      <c r="F57" s="82"/>
      <c r="G57" s="148" t="s">
        <v>68</v>
      </c>
      <c r="H57" s="135" t="s">
        <v>56</v>
      </c>
      <c r="I57" s="143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233" t="s">
        <v>1</v>
      </c>
      <c r="AL57" s="232" t="s">
        <v>82</v>
      </c>
      <c r="AM57" s="156"/>
      <c r="AN57" s="82"/>
    </row>
    <row r="58" spans="1:40" ht="13.8" thickBot="1" x14ac:dyDescent="0.3">
      <c r="A58" s="82"/>
      <c r="B58" s="309" t="str">
        <f t="array" ref="B58">IFERROR(INDEX(A$8:A$1997,SMALL(IF(A$8:A$1997&lt;&gt;"",ROW(A$8:A$1997)-7),ROW(A1))),"")</f>
        <v>Whirlwind Twin Swords</v>
      </c>
      <c r="C58" s="82"/>
      <c r="D58" s="82"/>
      <c r="E58" s="82"/>
      <c r="F58" s="82"/>
      <c r="G58" s="186" t="s">
        <v>73</v>
      </c>
      <c r="H58" s="166" t="s">
        <v>52</v>
      </c>
      <c r="I58" s="143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311" t="s">
        <v>37</v>
      </c>
      <c r="AK58" s="312"/>
      <c r="AL58" s="312"/>
      <c r="AM58" s="313"/>
      <c r="AN58" s="82"/>
    </row>
    <row r="59" spans="1:40" ht="13.8" thickBot="1" x14ac:dyDescent="0.3">
      <c r="A59" s="82"/>
      <c r="B59" s="309" t="str">
        <f t="array" ref="B59">IFERROR(INDEX(A$8:A$1997,SMALL(IF(A$8:A$1997&lt;&gt;"",ROW(A$8:A$1997)-7),ROW(A2))),"")</f>
        <v>Shura Sword</v>
      </c>
      <c r="C59" s="82"/>
      <c r="D59" s="82"/>
      <c r="E59" s="82"/>
      <c r="F59" s="82"/>
      <c r="G59" s="178" t="s">
        <v>69</v>
      </c>
      <c r="H59" s="179" t="s">
        <v>52</v>
      </c>
      <c r="I59" s="154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236" t="s">
        <v>0</v>
      </c>
      <c r="AL59" s="234" t="s">
        <v>131</v>
      </c>
      <c r="AM59" s="220"/>
      <c r="AN59" s="82"/>
    </row>
    <row r="60" spans="1:40" x14ac:dyDescent="0.25">
      <c r="A60" s="82"/>
      <c r="B60" s="309" t="str">
        <f t="array" ref="B60">IFERROR(INDEX(A$8:A$1997,SMALL(IF(A$8:A$1997&lt;&gt;"",ROW(A$8:A$1997)-7),ROW(A3))),"")</f>
        <v>Crescent Moon Blade</v>
      </c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  <c r="AB60" s="82"/>
      <c r="AC60" s="82"/>
      <c r="AD60" s="82"/>
      <c r="AE60" s="82"/>
      <c r="AF60" s="82"/>
      <c r="AG60" s="82"/>
      <c r="AH60" s="82"/>
      <c r="AI60" s="82"/>
      <c r="AJ60" s="82"/>
      <c r="AK60" s="225" t="s">
        <v>11</v>
      </c>
      <c r="AL60" s="222" t="s">
        <v>58</v>
      </c>
      <c r="AM60" s="200"/>
      <c r="AN60" s="82"/>
    </row>
    <row r="61" spans="1:40" x14ac:dyDescent="0.25">
      <c r="A61" s="82"/>
      <c r="B61" s="82"/>
      <c r="C61" s="82"/>
      <c r="D61" s="82"/>
      <c r="E61" s="82"/>
      <c r="F61" s="82"/>
      <c r="G61" s="309" t="s">
        <v>49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173" t="s">
        <v>6</v>
      </c>
      <c r="AL61" s="163" t="s">
        <v>131</v>
      </c>
      <c r="AM61" s="174"/>
      <c r="AN61" s="82"/>
    </row>
    <row r="62" spans="1:40" x14ac:dyDescent="0.25">
      <c r="A62" s="82"/>
      <c r="B62" s="82"/>
      <c r="C62" s="82"/>
      <c r="D62" s="82"/>
      <c r="E62" s="82"/>
      <c r="F62" s="82"/>
      <c r="G62" s="309" t="str">
        <f t="array" ref="G62">IFERROR(INDEX(F$8:F$1988,SMALL(IF(F$8:F$1988&lt;&gt;"",ROW(F$8:F$1988)-7),ROW(F1))),"")</f>
        <v>Shinobi Stealth Suit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82"/>
      <c r="AC62" s="82"/>
      <c r="AD62" s="82"/>
      <c r="AE62" s="82"/>
      <c r="AF62" s="82"/>
      <c r="AG62" s="82"/>
      <c r="AH62" s="82"/>
      <c r="AI62" s="82"/>
      <c r="AJ62" s="82"/>
      <c r="AK62" s="194" t="s">
        <v>2</v>
      </c>
      <c r="AL62" s="187" t="s">
        <v>78</v>
      </c>
      <c r="AM62" s="143"/>
      <c r="AN62" s="82"/>
    </row>
    <row r="63" spans="1:40" x14ac:dyDescent="0.25">
      <c r="A63" s="82"/>
      <c r="B63" s="82"/>
      <c r="C63" s="82"/>
      <c r="D63" s="82"/>
      <c r="E63" s="82"/>
      <c r="F63" s="82"/>
      <c r="G63" s="309" t="str">
        <f t="array" ref="G63">IFERROR(INDEX(F$8:F$1988,SMALL(IF(F$8:F$1988&lt;&gt;"",ROW(F$8:F$1988)-7),ROW(F2))),"")</f>
        <v>Vagabond Tunic</v>
      </c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175" t="s">
        <v>3</v>
      </c>
      <c r="AL63" s="164" t="s">
        <v>58</v>
      </c>
      <c r="AM63" s="143"/>
      <c r="AN63" s="82"/>
    </row>
    <row r="64" spans="1:40" x14ac:dyDescent="0.25">
      <c r="A64" s="82"/>
      <c r="B64" s="82"/>
      <c r="C64" s="82"/>
      <c r="D64" s="82"/>
      <c r="E64" s="82"/>
      <c r="F64" s="82"/>
      <c r="G64" s="309" t="str">
        <f t="array" ref="G64">IFERROR(INDEX(F$8:F$1988,SMALL(IF(F$8:F$1988&lt;&gt;"",ROW(F$8:F$1988)-7),ROW(F3))),"")</f>
        <v>Samurai's Hakama</v>
      </c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146" t="s">
        <v>8</v>
      </c>
      <c r="AL64" s="134" t="s">
        <v>58</v>
      </c>
      <c r="AM64" s="147"/>
      <c r="AN64" s="82"/>
    </row>
    <row r="65" spans="1:40" x14ac:dyDescent="0.25">
      <c r="A65" s="82"/>
      <c r="B65" s="82"/>
      <c r="C65" s="82"/>
      <c r="D65" s="82"/>
      <c r="E65" s="82"/>
      <c r="F65" s="82"/>
      <c r="G65" s="309" t="str">
        <f t="array" ref="G65">IFERROR(INDEX(F$8:F$1988,SMALL(IF(F$8:F$1988&lt;&gt;"",ROW(F$8:F$1988)-7),ROW(F4))),"")</f>
        <v>Warrior Armor</v>
      </c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  <c r="AB65" s="82"/>
      <c r="AC65" s="82"/>
      <c r="AD65" s="82"/>
      <c r="AE65" s="82"/>
      <c r="AF65" s="82"/>
      <c r="AG65" s="82"/>
      <c r="AH65" s="82"/>
      <c r="AI65" s="82"/>
      <c r="AJ65" s="82"/>
      <c r="AK65" s="186" t="s">
        <v>66</v>
      </c>
      <c r="AL65" s="166" t="s">
        <v>64</v>
      </c>
      <c r="AM65" s="143"/>
      <c r="AN65" s="82"/>
    </row>
    <row r="66" spans="1:40" x14ac:dyDescent="0.25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148" t="s">
        <v>71</v>
      </c>
      <c r="AL66" s="135" t="s">
        <v>58</v>
      </c>
      <c r="AM66" s="143"/>
      <c r="AN66" s="82"/>
    </row>
    <row r="67" spans="1:40" ht="13.8" thickBot="1" x14ac:dyDescent="0.3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2"/>
      <c r="AB67" s="82"/>
      <c r="AC67" s="82"/>
      <c r="AD67" s="82"/>
      <c r="AE67" s="82"/>
      <c r="AF67" s="82"/>
      <c r="AG67" s="82"/>
      <c r="AH67" s="82"/>
      <c r="AI67" s="82"/>
      <c r="AJ67" s="82"/>
      <c r="AK67" s="237" t="s">
        <v>5</v>
      </c>
      <c r="AL67" s="235" t="s">
        <v>62</v>
      </c>
      <c r="AM67" s="153"/>
      <c r="AN67" s="82"/>
    </row>
    <row r="68" spans="1:40" ht="13.8" thickBot="1" x14ac:dyDescent="0.3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  <c r="AA68" s="82"/>
      <c r="AB68" s="82"/>
      <c r="AC68" s="82"/>
      <c r="AD68" s="82"/>
      <c r="AE68" s="82"/>
      <c r="AF68" s="82"/>
      <c r="AG68" s="82"/>
      <c r="AH68" s="82"/>
      <c r="AI68" s="82"/>
      <c r="AJ68" s="311" t="s">
        <v>36</v>
      </c>
      <c r="AK68" s="312"/>
      <c r="AL68" s="312"/>
      <c r="AM68" s="313"/>
      <c r="AN68" s="82"/>
    </row>
    <row r="69" spans="1:40" ht="13.8" thickBot="1" x14ac:dyDescent="0.3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82"/>
      <c r="AB69" s="82"/>
      <c r="AC69" s="82"/>
      <c r="AD69" s="82"/>
      <c r="AE69" s="82"/>
      <c r="AF69" s="82"/>
      <c r="AG69" s="82"/>
      <c r="AH69" s="82"/>
      <c r="AI69" s="82"/>
      <c r="AJ69" s="82"/>
      <c r="AK69" s="236" t="s">
        <v>0</v>
      </c>
      <c r="AL69" s="234" t="s">
        <v>131</v>
      </c>
      <c r="AM69" s="220"/>
      <c r="AN69" s="82"/>
    </row>
    <row r="70" spans="1:40" x14ac:dyDescent="0.25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225" t="s">
        <v>132</v>
      </c>
      <c r="AL70" s="222" t="s">
        <v>51</v>
      </c>
      <c r="AM70" s="200"/>
      <c r="AN70" s="82"/>
    </row>
    <row r="71" spans="1:40" x14ac:dyDescent="0.25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  <c r="AJ71" s="82"/>
      <c r="AK71" s="173" t="s">
        <v>6</v>
      </c>
      <c r="AL71" s="163" t="s">
        <v>131</v>
      </c>
      <c r="AM71" s="174"/>
      <c r="AN71" s="82"/>
    </row>
    <row r="72" spans="1:40" x14ac:dyDescent="0.25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2"/>
      <c r="AB72" s="82"/>
      <c r="AC72" s="82"/>
      <c r="AD72" s="82"/>
      <c r="AE72" s="82"/>
      <c r="AF72" s="82"/>
      <c r="AG72" s="82"/>
      <c r="AH72" s="82"/>
      <c r="AI72" s="82"/>
      <c r="AJ72" s="82"/>
      <c r="AK72" s="194" t="s">
        <v>2</v>
      </c>
      <c r="AL72" s="187" t="s">
        <v>78</v>
      </c>
      <c r="AM72" s="143"/>
      <c r="AN72" s="82"/>
    </row>
    <row r="73" spans="1:40" x14ac:dyDescent="0.25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  <c r="AH73" s="82"/>
      <c r="AI73" s="82"/>
      <c r="AJ73" s="82"/>
      <c r="AK73" s="175" t="s">
        <v>3</v>
      </c>
      <c r="AL73" s="164" t="s">
        <v>58</v>
      </c>
      <c r="AM73" s="143"/>
      <c r="AN73" s="82"/>
    </row>
    <row r="74" spans="1:40" x14ac:dyDescent="0.25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82"/>
      <c r="AI74" s="82"/>
      <c r="AJ74" s="82"/>
      <c r="AK74" s="146" t="s">
        <v>8</v>
      </c>
      <c r="AL74" s="134" t="s">
        <v>58</v>
      </c>
      <c r="AM74" s="147"/>
      <c r="AN74" s="82"/>
    </row>
    <row r="75" spans="1:40" x14ac:dyDescent="0.25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  <c r="AA75" s="82"/>
      <c r="AB75" s="82"/>
      <c r="AC75" s="82"/>
      <c r="AD75" s="82"/>
      <c r="AE75" s="82"/>
      <c r="AF75" s="82"/>
      <c r="AG75" s="82"/>
      <c r="AH75" s="82"/>
      <c r="AI75" s="82"/>
      <c r="AJ75" s="82"/>
      <c r="AK75" s="186" t="s">
        <v>66</v>
      </c>
      <c r="AL75" s="166" t="s">
        <v>64</v>
      </c>
      <c r="AM75" s="143"/>
      <c r="AN75" s="82"/>
    </row>
    <row r="76" spans="1:40" x14ac:dyDescent="0.25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  <c r="AA76" s="82"/>
      <c r="AB76" s="82"/>
      <c r="AC76" s="82"/>
      <c r="AD76" s="82"/>
      <c r="AE76" s="82"/>
      <c r="AF76" s="82"/>
      <c r="AG76" s="82"/>
      <c r="AH76" s="82"/>
      <c r="AI76" s="82"/>
      <c r="AJ76" s="82"/>
      <c r="AK76" s="148" t="s">
        <v>71</v>
      </c>
      <c r="AL76" s="135" t="s">
        <v>58</v>
      </c>
      <c r="AM76" s="143"/>
      <c r="AN76" s="82"/>
    </row>
    <row r="77" spans="1:40" ht="13.8" thickBot="1" x14ac:dyDescent="0.3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G77" s="82"/>
      <c r="AH77" s="82"/>
      <c r="AI77" s="82"/>
      <c r="AJ77" s="82"/>
      <c r="AK77" s="237" t="s">
        <v>5</v>
      </c>
      <c r="AL77" s="235" t="s">
        <v>62</v>
      </c>
      <c r="AM77" s="153"/>
      <c r="AN77" s="82"/>
    </row>
    <row r="78" spans="1:40" x14ac:dyDescent="0.25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  <c r="AB78" s="82"/>
      <c r="AC78" s="82"/>
      <c r="AD78" s="82"/>
      <c r="AE78" s="82"/>
      <c r="AF78" s="82"/>
      <c r="AG78" s="82"/>
      <c r="AH78" s="82"/>
      <c r="AI78" s="82"/>
      <c r="AJ78" s="82"/>
      <c r="AK78" s="82"/>
      <c r="AL78" s="82"/>
      <c r="AM78" s="82"/>
      <c r="AN78" s="82"/>
    </row>
    <row r="79" spans="1:40" x14ac:dyDescent="0.25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  <c r="AJ79" s="82"/>
      <c r="AK79" s="309" t="s">
        <v>91</v>
      </c>
      <c r="AL79" s="82"/>
      <c r="AM79" s="82"/>
      <c r="AN79" s="82"/>
    </row>
    <row r="80" spans="1:40" x14ac:dyDescent="0.25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  <c r="AA80" s="82"/>
      <c r="AB80" s="82"/>
      <c r="AC80" s="82"/>
      <c r="AD80" s="82"/>
      <c r="AE80" s="82"/>
      <c r="AF80" s="82"/>
      <c r="AG80" s="82"/>
      <c r="AH80" s="82"/>
      <c r="AI80" s="82"/>
      <c r="AJ80" s="82"/>
      <c r="AK80" s="309" t="str">
        <f t="array" ref="AK80">IFERROR(INDEX(AJ$8:AJ$1993,SMALL(IF(AJ$8:AJ$1993&lt;&gt;"",ROW(AJ$8:AJ$1993)-7),ROW(AJ1))),"")</f>
        <v>Dog Collar</v>
      </c>
      <c r="AL80" s="82"/>
      <c r="AM80" s="82"/>
      <c r="AN80" s="82"/>
    </row>
    <row r="81" spans="1:40" x14ac:dyDescent="0.25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  <c r="AA81" s="82"/>
      <c r="AB81" s="82"/>
      <c r="AC81" s="82"/>
      <c r="AD81" s="82"/>
      <c r="AE81" s="82"/>
      <c r="AF81" s="82"/>
      <c r="AG81" s="82"/>
      <c r="AH81" s="82"/>
      <c r="AI81" s="82"/>
      <c r="AJ81" s="82"/>
      <c r="AK81" s="309" t="str">
        <f t="array" ref="AK81">IFERROR(INDEX(AJ$8:AJ$1993,SMALL(IF(AJ$8:AJ$1993&lt;&gt;"",ROW(AJ$8:AJ$1993)-7),ROW(AJ2))),"")</f>
        <v>Much Dog Such Collar</v>
      </c>
      <c r="AL81" s="82"/>
      <c r="AM81" s="82"/>
      <c r="AN81" s="82"/>
    </row>
    <row r="82" spans="1:40" x14ac:dyDescent="0.25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2"/>
      <c r="AC82" s="82"/>
      <c r="AD82" s="82"/>
      <c r="AE82" s="82"/>
      <c r="AF82" s="82"/>
      <c r="AG82" s="82"/>
      <c r="AH82" s="82"/>
      <c r="AI82" s="82"/>
      <c r="AJ82" s="82"/>
      <c r="AK82" s="309" t="str">
        <f t="array" ref="AK82">IFERROR(INDEX(AJ$8:AJ$1993,SMALL(IF(AJ$8:AJ$1993&lt;&gt;"",ROW(AJ$8:AJ$1993)-7),ROW(AJ3))),"")</f>
        <v>Victory collar</v>
      </c>
      <c r="AL82" s="82"/>
      <c r="AM82" s="82"/>
      <c r="AN82" s="82"/>
    </row>
    <row r="83" spans="1:40" x14ac:dyDescent="0.25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  <c r="AA83" s="82"/>
      <c r="AB83" s="82"/>
      <c r="AC83" s="82"/>
      <c r="AD83" s="82"/>
      <c r="AE83" s="82"/>
      <c r="AF83" s="82"/>
      <c r="AG83" s="82"/>
      <c r="AH83" s="82"/>
      <c r="AI83" s="82"/>
      <c r="AJ83" s="82"/>
      <c r="AK83" s="309" t="str">
        <f t="array" ref="AK83">IFERROR(INDEX(AJ$8:AJ$1993,SMALL(IF(AJ$8:AJ$1993&lt;&gt;"",ROW(AJ$8:AJ$1993)-7),ROW(AJ4))),"")</f>
        <v>Cat Belt</v>
      </c>
      <c r="AL83" s="82"/>
      <c r="AM83" s="82"/>
      <c r="AN83" s="82"/>
    </row>
    <row r="84" spans="1:40" x14ac:dyDescent="0.25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82"/>
      <c r="AC84" s="82"/>
      <c r="AD84" s="82"/>
      <c r="AE84" s="82"/>
      <c r="AF84" s="82"/>
      <c r="AG84" s="82"/>
      <c r="AH84" s="82"/>
      <c r="AI84" s="82"/>
      <c r="AJ84" s="82"/>
      <c r="AK84" s="309" t="str">
        <f t="array" ref="AK84">IFERROR(INDEX(AJ$8:AJ$1993,SMALL(IF(AJ$8:AJ$1993&lt;&gt;"",ROW(AJ$8:AJ$1993)-7),ROW(AJ5))),"")</f>
        <v>Panda</v>
      </c>
      <c r="AL84" s="82"/>
      <c r="AM84" s="82"/>
      <c r="AN84" s="82"/>
    </row>
    <row r="85" spans="1:40" x14ac:dyDescent="0.25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82"/>
      <c r="AC85" s="82"/>
      <c r="AD85" s="82"/>
      <c r="AE85" s="82"/>
      <c r="AF85" s="82"/>
      <c r="AG85" s="82"/>
      <c r="AH85" s="82"/>
      <c r="AI85" s="82"/>
      <c r="AJ85" s="308"/>
      <c r="AK85" s="309" t="str">
        <f t="array" ref="AK85">IFERROR(INDEX(AJ$8:AJ$1993,SMALL(IF(AJ$8:AJ$1993&lt;&gt;"",ROW(AJ$8:AJ$1993)-7),ROW(AJ6))),"")</f>
        <v>Crow Horn</v>
      </c>
      <c r="AL85" s="82"/>
      <c r="AM85" s="82"/>
      <c r="AN85" s="82"/>
    </row>
    <row r="86" spans="1:40" x14ac:dyDescent="0.25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309" t="str">
        <f t="array" ref="AK86">IFERROR(INDEX(AJ$8:AJ$1993,SMALL(IF(AJ$8:AJ$1993&lt;&gt;"",ROW(AJ$8:AJ$1993)-7),ROW(AJ7))),"")</f>
        <v>Falcon Glove</v>
      </c>
      <c r="AL86" s="82"/>
      <c r="AM86" s="82"/>
      <c r="AN86" s="82"/>
    </row>
  </sheetData>
  <sheetProtection sheet="1" objects="1" scenarios="1"/>
  <mergeCells count="37">
    <mergeCell ref="AJ58:AM58"/>
    <mergeCell ref="AJ68:AM68"/>
    <mergeCell ref="Q6:S6"/>
    <mergeCell ref="V6:X6"/>
    <mergeCell ref="AA6:AC6"/>
    <mergeCell ref="AF6:AH6"/>
    <mergeCell ref="U18:X18"/>
    <mergeCell ref="U28:X28"/>
    <mergeCell ref="Z18:AC18"/>
    <mergeCell ref="Z28:AC28"/>
    <mergeCell ref="AE17:AH17"/>
    <mergeCell ref="AE26:AH26"/>
    <mergeCell ref="AJ18:AM18"/>
    <mergeCell ref="AJ28:AM28"/>
    <mergeCell ref="AJ38:AM38"/>
    <mergeCell ref="AJ48:AM48"/>
    <mergeCell ref="B6:D6"/>
    <mergeCell ref="G6:I6"/>
    <mergeCell ref="L6:N6"/>
    <mergeCell ref="AK6:AM6"/>
    <mergeCell ref="A8:D8"/>
    <mergeCell ref="U8:X8"/>
    <mergeCell ref="Z8:AC8"/>
    <mergeCell ref="AE8:AH8"/>
    <mergeCell ref="AJ8:AM8"/>
    <mergeCell ref="A24:D24"/>
    <mergeCell ref="A40:D40"/>
    <mergeCell ref="F8:I8"/>
    <mergeCell ref="F21:I21"/>
    <mergeCell ref="F34:I34"/>
    <mergeCell ref="F47:I47"/>
    <mergeCell ref="K8:N8"/>
    <mergeCell ref="K21:N21"/>
    <mergeCell ref="K34:N34"/>
    <mergeCell ref="P8:S8"/>
    <mergeCell ref="P12:S12"/>
    <mergeCell ref="P16:S16"/>
  </mergeCells>
  <phoneticPr fontId="3" type="noConversion"/>
  <pageMargins left="0.75" right="0.75" top="1" bottom="1" header="0.4921259845" footer="0.4921259845"/>
  <pageSetup paperSize="9" orientation="portrait" horizontalDpi="4294967293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2"/>
  <sheetViews>
    <sheetView topLeftCell="B1" zoomScaleNormal="100" workbookViewId="0">
      <selection activeCell="C13" sqref="C13:E13"/>
    </sheetView>
  </sheetViews>
  <sheetFormatPr baseColWidth="10" defaultColWidth="8.88671875" defaultRowHeight="13.2" x14ac:dyDescent="0.25"/>
  <cols>
    <col min="2" max="2" width="12.6640625" customWidth="1"/>
    <col min="3" max="3" width="25.21875" customWidth="1"/>
    <col min="4" max="4" width="14" customWidth="1"/>
    <col min="5" max="5" width="13.88671875" customWidth="1"/>
    <col min="6" max="6" width="14.6640625" customWidth="1"/>
    <col min="7" max="7" width="31.21875" customWidth="1"/>
    <col min="8" max="8" width="14.44140625" customWidth="1"/>
    <col min="9" max="9" width="14.88671875" customWidth="1"/>
    <col min="10" max="257" width="11.44140625" customWidth="1"/>
  </cols>
  <sheetData>
    <row r="1" spans="1:15" ht="13.8" thickBot="1" x14ac:dyDescent="0.3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13.8" thickBot="1" x14ac:dyDescent="0.3">
      <c r="B2" s="3"/>
      <c r="C2" s="328" t="s">
        <v>101</v>
      </c>
      <c r="D2" s="329"/>
      <c r="E2" s="329"/>
      <c r="F2" s="330"/>
      <c r="G2" s="3"/>
      <c r="H2" s="3"/>
      <c r="I2" s="3"/>
      <c r="J2" s="3"/>
      <c r="K2" s="3"/>
      <c r="L2" s="3"/>
      <c r="M2" s="3"/>
      <c r="N2" s="3"/>
      <c r="O2" s="3"/>
    </row>
    <row r="3" spans="1:15" x14ac:dyDescent="0.25">
      <c r="B3" s="3"/>
      <c r="C3" s="33" t="s">
        <v>6</v>
      </c>
      <c r="D3" s="114"/>
      <c r="E3" s="31" t="s">
        <v>2</v>
      </c>
      <c r="F3" s="117"/>
      <c r="G3" s="3"/>
      <c r="H3" s="3"/>
      <c r="I3" s="3"/>
      <c r="J3" s="3"/>
      <c r="K3" s="3"/>
      <c r="L3" s="3"/>
      <c r="M3" s="3"/>
      <c r="N3" s="3"/>
      <c r="O3" s="3"/>
    </row>
    <row r="4" spans="1:15" x14ac:dyDescent="0.25">
      <c r="B4" s="3"/>
      <c r="C4" s="21" t="s">
        <v>126</v>
      </c>
      <c r="D4" s="115"/>
      <c r="E4" s="32" t="s">
        <v>3</v>
      </c>
      <c r="F4" s="118"/>
      <c r="G4" s="3"/>
      <c r="H4" s="3"/>
      <c r="I4" s="3"/>
      <c r="J4" s="3"/>
      <c r="K4" s="3"/>
      <c r="L4" s="3"/>
      <c r="M4" s="3"/>
      <c r="N4" s="3"/>
      <c r="O4" s="3"/>
    </row>
    <row r="5" spans="1:15" ht="13.8" thickBot="1" x14ac:dyDescent="0.3">
      <c r="B5" s="3"/>
      <c r="C5" s="24" t="s">
        <v>127</v>
      </c>
      <c r="D5" s="116"/>
      <c r="E5" s="19" t="s">
        <v>128</v>
      </c>
      <c r="F5" s="119"/>
      <c r="G5" s="3"/>
      <c r="H5" s="3"/>
      <c r="I5" s="3"/>
      <c r="J5" s="3"/>
      <c r="K5" s="3"/>
      <c r="L5" s="3"/>
      <c r="M5" s="3"/>
      <c r="N5" s="3"/>
      <c r="O5" s="3"/>
    </row>
    <row r="6" spans="1:15" ht="13.8" thickBot="1" x14ac:dyDescent="0.3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8" thickBot="1" x14ac:dyDescent="0.3">
      <c r="B7" s="3"/>
      <c r="C7" s="322" t="s">
        <v>102</v>
      </c>
      <c r="D7" s="323"/>
      <c r="E7" s="323"/>
      <c r="F7" s="324"/>
      <c r="G7" s="3"/>
      <c r="H7" s="3"/>
      <c r="I7" s="3"/>
      <c r="J7" s="3"/>
      <c r="K7" s="3"/>
      <c r="L7" s="3"/>
      <c r="M7" s="3"/>
      <c r="N7" s="3"/>
      <c r="O7" s="3"/>
    </row>
    <row r="8" spans="1:15" x14ac:dyDescent="0.25">
      <c r="B8" s="3"/>
      <c r="C8" s="33" t="s">
        <v>6</v>
      </c>
      <c r="D8" s="114"/>
      <c r="E8" s="31" t="s">
        <v>2</v>
      </c>
      <c r="F8" s="117"/>
      <c r="G8" s="3"/>
      <c r="H8" s="3"/>
      <c r="I8" s="3"/>
      <c r="J8" s="3"/>
      <c r="K8" s="3"/>
      <c r="L8" s="3"/>
      <c r="M8" s="3"/>
      <c r="N8" s="3"/>
      <c r="O8" s="3"/>
    </row>
    <row r="9" spans="1:15" ht="13.8" thickBot="1" x14ac:dyDescent="0.3">
      <c r="B9" s="3"/>
      <c r="C9" s="12" t="s">
        <v>129</v>
      </c>
      <c r="D9" s="120"/>
      <c r="E9" s="19" t="s">
        <v>128</v>
      </c>
      <c r="F9" s="119"/>
      <c r="G9" s="3"/>
      <c r="H9" s="3"/>
      <c r="I9" s="3"/>
      <c r="J9" s="3"/>
      <c r="K9" s="2"/>
      <c r="L9" s="3"/>
      <c r="M9" s="3"/>
      <c r="N9" s="3"/>
      <c r="O9" s="3"/>
    </row>
    <row r="10" spans="1:15" ht="13.8" thickBot="1" x14ac:dyDescent="0.3">
      <c r="B10" s="3"/>
      <c r="C10" s="3"/>
      <c r="D10" s="3"/>
      <c r="E10" s="3"/>
      <c r="F10" s="3"/>
      <c r="G10" s="3"/>
      <c r="H10" s="3"/>
      <c r="I10" s="3"/>
      <c r="J10" s="3"/>
      <c r="K10" s="2"/>
      <c r="L10" s="3"/>
      <c r="M10" s="3"/>
      <c r="N10" s="3"/>
      <c r="O10" s="3"/>
    </row>
    <row r="11" spans="1:15" ht="13.8" thickBot="1" x14ac:dyDescent="0.3">
      <c r="A11" s="1"/>
      <c r="B11" s="3"/>
      <c r="C11" s="322" t="s">
        <v>100</v>
      </c>
      <c r="D11" s="323"/>
      <c r="E11" s="323"/>
      <c r="F11" s="323"/>
      <c r="G11" s="323"/>
      <c r="H11" s="323"/>
      <c r="I11" s="324"/>
      <c r="J11" s="79"/>
      <c r="K11" s="2"/>
      <c r="L11" s="3"/>
      <c r="M11" s="3"/>
      <c r="N11" s="3"/>
      <c r="O11" s="3"/>
    </row>
    <row r="12" spans="1:15" ht="13.8" thickBot="1" x14ac:dyDescent="0.3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3"/>
      <c r="M12" s="3"/>
      <c r="N12" s="3"/>
      <c r="O12" s="3"/>
    </row>
    <row r="13" spans="1:15" ht="13.8" thickBot="1" x14ac:dyDescent="0.3">
      <c r="A13" s="1"/>
      <c r="B13" s="2"/>
      <c r="C13" s="325" t="s">
        <v>47</v>
      </c>
      <c r="D13" s="326"/>
      <c r="E13" s="327"/>
      <c r="F13" s="2"/>
      <c r="G13" s="325" t="s">
        <v>26</v>
      </c>
      <c r="H13" s="326"/>
      <c r="I13" s="327"/>
      <c r="J13" s="2"/>
      <c r="K13" s="2"/>
      <c r="L13" s="3"/>
      <c r="M13" s="3"/>
      <c r="N13" s="3"/>
      <c r="O13" s="3"/>
    </row>
    <row r="14" spans="1:15" ht="13.8" thickBot="1" x14ac:dyDescent="0.3">
      <c r="A14" s="1"/>
      <c r="B14" s="2"/>
      <c r="C14" s="15" t="str">
        <f t="array" aca="1" ref="C14:E28" ca="1">OFFSET(Equipment!B9:D23,MATCH(C13,Equipment!A8:A1997,0)-1,)</f>
        <v>ATK</v>
      </c>
      <c r="D14" s="36" t="str">
        <f ca="1"/>
        <v>(Improvable)</v>
      </c>
      <c r="E14" s="16">
        <f ca="1"/>
        <v>0</v>
      </c>
      <c r="F14" s="2"/>
      <c r="G14" s="44" t="str">
        <f t="array" aca="1" ref="G14:I22" ca="1">OFFSET(Equipment!V9:X17,MATCH(G13,Equipment!U8:U1988,0)-1,)</f>
        <v>ATK</v>
      </c>
      <c r="H14" s="45" t="str">
        <f ca="1"/>
        <v>(Improvable)</v>
      </c>
      <c r="I14" s="46">
        <f ca="1"/>
        <v>0</v>
      </c>
      <c r="J14" s="2"/>
      <c r="K14" s="2"/>
      <c r="L14" s="3"/>
      <c r="M14" s="3"/>
      <c r="N14" s="3"/>
      <c r="O14" s="3"/>
    </row>
    <row r="15" spans="1:15" x14ac:dyDescent="0.25">
      <c r="A15" s="1"/>
      <c r="B15" s="80"/>
      <c r="C15" s="37" t="str">
        <f ca="1"/>
        <v>CR</v>
      </c>
      <c r="D15" s="38" t="str">
        <f ca="1"/>
        <v>5,5-10%</v>
      </c>
      <c r="E15" s="40">
        <f ca="1"/>
        <v>0</v>
      </c>
      <c r="F15" s="2"/>
      <c r="G15" s="47" t="str">
        <f ca="1"/>
        <v>HP</v>
      </c>
      <c r="H15" s="48" t="str">
        <f ca="1"/>
        <v>4,4-8%</v>
      </c>
      <c r="I15" s="49">
        <f ca="1"/>
        <v>0</v>
      </c>
      <c r="J15" s="2"/>
      <c r="K15" s="2"/>
      <c r="L15" s="3"/>
      <c r="M15" s="3"/>
      <c r="N15" s="3"/>
      <c r="O15" s="3"/>
    </row>
    <row r="16" spans="1:15" x14ac:dyDescent="0.25">
      <c r="A16" s="1"/>
      <c r="B16" s="2"/>
      <c r="C16" s="27" t="str">
        <f ca="1"/>
        <v>CD</v>
      </c>
      <c r="D16" s="10" t="str">
        <f ca="1"/>
        <v>13,8-25%</v>
      </c>
      <c r="E16" s="41">
        <f ca="1"/>
        <v>0</v>
      </c>
      <c r="F16" s="2"/>
      <c r="G16" s="39" t="str">
        <f ca="1"/>
        <v>Posture</v>
      </c>
      <c r="H16" s="35" t="str">
        <f ca="1"/>
        <v>8,3-15%</v>
      </c>
      <c r="I16" s="5">
        <f ca="1"/>
        <v>0</v>
      </c>
      <c r="J16" s="2"/>
      <c r="K16" s="2"/>
      <c r="L16" s="3"/>
      <c r="M16" s="3"/>
      <c r="N16" s="3"/>
      <c r="O16" s="3"/>
    </row>
    <row r="17" spans="1:15" x14ac:dyDescent="0.25">
      <c r="A17" s="1"/>
      <c r="B17" s="2"/>
      <c r="C17" s="39" t="str">
        <f ca="1"/>
        <v>AS</v>
      </c>
      <c r="D17" s="35" t="str">
        <f ca="1"/>
        <v>5,5-10%</v>
      </c>
      <c r="E17" s="5">
        <f ca="1"/>
        <v>0</v>
      </c>
      <c r="F17" s="2"/>
      <c r="G17" s="27" t="str">
        <f ca="1"/>
        <v>CF Dmg</v>
      </c>
      <c r="H17" s="10" t="str">
        <f ca="1"/>
        <v>8,3-15%</v>
      </c>
      <c r="I17" s="41">
        <f ca="1"/>
        <v>0</v>
      </c>
      <c r="J17" s="2"/>
      <c r="K17" s="2"/>
      <c r="L17" s="3"/>
      <c r="M17" s="3"/>
      <c r="N17" s="3"/>
      <c r="O17" s="3"/>
    </row>
    <row r="18" spans="1:15" x14ac:dyDescent="0.25">
      <c r="A18" s="1"/>
      <c r="B18" s="2"/>
      <c r="C18" s="27" t="str">
        <f ca="1"/>
        <v>CF Dmg</v>
      </c>
      <c r="D18" s="10" t="str">
        <f ca="1"/>
        <v>16,5-30%</v>
      </c>
      <c r="E18" s="41">
        <f ca="1"/>
        <v>0</v>
      </c>
      <c r="F18" s="2"/>
      <c r="G18" s="39" t="str">
        <f ca="1"/>
        <v>Posture Dmg</v>
      </c>
      <c r="H18" s="35" t="str">
        <f ca="1"/>
        <v>8,3-15%</v>
      </c>
      <c r="I18" s="5">
        <f ca="1"/>
        <v>0</v>
      </c>
      <c r="J18" s="2"/>
      <c r="K18" s="2"/>
      <c r="L18" s="3"/>
      <c r="M18" s="3"/>
      <c r="N18" s="3"/>
      <c r="O18" s="3"/>
    </row>
    <row r="19" spans="1:15" x14ac:dyDescent="0.25">
      <c r="A19" s="1"/>
      <c r="B19" s="2"/>
      <c r="C19" s="39" t="str">
        <f ca="1"/>
        <v>Last combo attack Dmg</v>
      </c>
      <c r="D19" s="35" t="str">
        <f ca="1"/>
        <v>16,5-30%</v>
      </c>
      <c r="E19" s="5">
        <f ca="1"/>
        <v>0</v>
      </c>
      <c r="F19" s="2"/>
      <c r="G19" s="27" t="str">
        <f ca="1"/>
        <v>Dmg reduction</v>
      </c>
      <c r="H19" s="10" t="str">
        <f ca="1"/>
        <v>5,5-10%</v>
      </c>
      <c r="I19" s="41">
        <f ca="1"/>
        <v>0</v>
      </c>
      <c r="J19" s="2"/>
      <c r="K19" s="2"/>
      <c r="L19" s="3"/>
      <c r="M19" s="3"/>
      <c r="N19" s="3"/>
      <c r="O19" s="3"/>
    </row>
    <row r="20" spans="1:15" x14ac:dyDescent="0.25">
      <c r="A20" s="1"/>
      <c r="B20" s="2"/>
      <c r="C20" s="27" t="str">
        <f ca="1"/>
        <v xml:space="preserve">First attack CR </v>
      </c>
      <c r="D20" s="10" t="str">
        <f ca="1"/>
        <v>16,5-30%</v>
      </c>
      <c r="E20" s="41">
        <f ca="1"/>
        <v>0</v>
      </c>
      <c r="F20" s="2"/>
      <c r="G20" s="39" t="str">
        <f ca="1"/>
        <v>Parrying Posture Dmg</v>
      </c>
      <c r="H20" s="35" t="str">
        <f ca="1"/>
        <v>8,3-15%</v>
      </c>
      <c r="I20" s="5">
        <f ca="1"/>
        <v>0</v>
      </c>
      <c r="J20" s="2"/>
      <c r="K20" s="2"/>
      <c r="L20" s="3"/>
      <c r="M20" s="3"/>
      <c r="N20" s="3"/>
      <c r="O20" s="3"/>
    </row>
    <row r="21" spans="1:15" x14ac:dyDescent="0.25">
      <c r="A21" s="1"/>
      <c r="B21" s="2"/>
      <c r="C21" s="39" t="str">
        <f ca="1"/>
        <v>Skill Dmg</v>
      </c>
      <c r="D21" s="35" t="str">
        <f ca="1"/>
        <v>16,5-30%</v>
      </c>
      <c r="E21" s="5">
        <f ca="1"/>
        <v>0</v>
      </c>
      <c r="F21" s="2"/>
      <c r="G21" s="27" t="str">
        <f ca="1"/>
        <v>Enemy Stun duration</v>
      </c>
      <c r="H21" s="10" t="str">
        <f ca="1"/>
        <v>0,5-0,9 sec</v>
      </c>
      <c r="I21" s="41">
        <f ca="1"/>
        <v>0</v>
      </c>
      <c r="J21" s="2"/>
      <c r="K21" s="2"/>
      <c r="L21" s="3"/>
      <c r="M21" s="3"/>
      <c r="N21" s="3"/>
      <c r="O21" s="3"/>
    </row>
    <row r="22" spans="1:15" ht="13.8" thickBot="1" x14ac:dyDescent="0.3">
      <c r="A22" s="1"/>
      <c r="B22" s="2"/>
      <c r="C22" s="27" t="str">
        <f ca="1"/>
        <v>Posture Dmg</v>
      </c>
      <c r="D22" s="10" t="str">
        <f ca="1"/>
        <v>11-20%</v>
      </c>
      <c r="E22" s="41">
        <f ca="1"/>
        <v>0</v>
      </c>
      <c r="F22" s="2"/>
      <c r="G22" s="50" t="str">
        <f ca="1"/>
        <v>Skill gauge charge rate</v>
      </c>
      <c r="H22" s="51" t="str">
        <f ca="1"/>
        <v>11-20%</v>
      </c>
      <c r="I22" s="6">
        <f ca="1"/>
        <v>0</v>
      </c>
      <c r="J22" s="2"/>
      <c r="K22" s="2"/>
      <c r="L22" s="3"/>
      <c r="M22" s="3"/>
      <c r="N22" s="3"/>
      <c r="O22" s="3"/>
    </row>
    <row r="23" spans="1:15" x14ac:dyDescent="0.25">
      <c r="A23" s="1"/>
      <c r="B23" s="2"/>
      <c r="C23" s="39" t="str">
        <f ca="1"/>
        <v>HP&gt;80% Dmg</v>
      </c>
      <c r="D23" s="35" t="str">
        <f ca="1"/>
        <v>8,3-15%</v>
      </c>
      <c r="E23" s="5">
        <f ca="1"/>
        <v>0</v>
      </c>
      <c r="F23" s="2"/>
      <c r="G23" s="2"/>
      <c r="H23" s="2"/>
      <c r="I23" s="2"/>
      <c r="J23" s="2"/>
      <c r="K23" s="2"/>
      <c r="L23" s="3"/>
      <c r="M23" s="3"/>
      <c r="N23" s="3"/>
      <c r="O23" s="3"/>
    </row>
    <row r="24" spans="1:15" x14ac:dyDescent="0.25">
      <c r="A24" s="1"/>
      <c r="B24" s="2"/>
      <c r="C24" s="27" t="str">
        <f ca="1"/>
        <v>HP&lt;30% Dmg</v>
      </c>
      <c r="D24" s="10" t="str">
        <f ca="1"/>
        <v>11-20%</v>
      </c>
      <c r="E24" s="41">
        <f ca="1"/>
        <v>0</v>
      </c>
      <c r="F24" s="2"/>
      <c r="G24" s="2"/>
      <c r="H24" s="2"/>
      <c r="I24" s="2"/>
      <c r="J24" s="2"/>
      <c r="K24" s="2"/>
      <c r="L24" s="3"/>
      <c r="M24" s="3"/>
      <c r="N24" s="3"/>
      <c r="O24" s="3"/>
    </row>
    <row r="25" spans="1:15" ht="13.8" thickBot="1" x14ac:dyDescent="0.3">
      <c r="A25" s="1"/>
      <c r="B25" s="2"/>
      <c r="C25" s="39" t="str">
        <f ca="1"/>
        <v>AS (Shinobi Stealth Suit)</v>
      </c>
      <c r="D25" s="35" t="str">
        <f ca="1"/>
        <v>8,3-15%</v>
      </c>
      <c r="E25" s="5">
        <f ca="1"/>
        <v>0</v>
      </c>
      <c r="F25" s="2"/>
      <c r="G25" s="3"/>
      <c r="H25" s="3"/>
      <c r="I25" s="3"/>
      <c r="J25" s="2"/>
      <c r="K25" s="2"/>
      <c r="L25" s="3"/>
      <c r="M25" s="3"/>
      <c r="N25" s="3"/>
      <c r="O25" s="3"/>
    </row>
    <row r="26" spans="1:15" ht="13.8" thickBot="1" x14ac:dyDescent="0.3">
      <c r="A26" s="1"/>
      <c r="B26" s="2"/>
      <c r="C26" s="27" t="str">
        <f ca="1"/>
        <v>AS (Vagabond Tunic)</v>
      </c>
      <c r="D26" s="10" t="str">
        <f ca="1"/>
        <v>8,3-15%</v>
      </c>
      <c r="E26" s="41">
        <f ca="1"/>
        <v>0</v>
      </c>
      <c r="F26" s="2"/>
      <c r="G26" s="325" t="s">
        <v>26</v>
      </c>
      <c r="H26" s="326"/>
      <c r="I26" s="327"/>
      <c r="J26" s="2"/>
      <c r="K26" s="2"/>
      <c r="L26" s="3"/>
      <c r="M26" s="3"/>
      <c r="N26" s="3"/>
      <c r="O26" s="3"/>
    </row>
    <row r="27" spans="1:15" ht="13.8" thickBot="1" x14ac:dyDescent="0.3">
      <c r="A27" s="1"/>
      <c r="B27" s="2"/>
      <c r="C27" s="39" t="str">
        <f ca="1"/>
        <v>AS (Samurai's Hakama)</v>
      </c>
      <c r="D27" s="35" t="str">
        <f ca="1"/>
        <v>8,3-15%</v>
      </c>
      <c r="E27" s="5">
        <f ca="1"/>
        <v>0</v>
      </c>
      <c r="F27" s="2"/>
      <c r="G27" s="44" t="str">
        <f t="array" aca="1" ref="G27:I35" ca="1">OFFSET(Equipment!AA9:AC17,MATCH(G26,Equipment!Z8:Z1988,0)-1,)</f>
        <v>ATK</v>
      </c>
      <c r="H27" s="45" t="str">
        <f ca="1"/>
        <v>(Improvable)</v>
      </c>
      <c r="I27" s="46">
        <f ca="1"/>
        <v>0</v>
      </c>
      <c r="J27" s="2"/>
      <c r="K27" s="2"/>
      <c r="L27" s="3"/>
      <c r="M27" s="3"/>
      <c r="N27" s="3"/>
      <c r="O27" s="3"/>
    </row>
    <row r="28" spans="1:15" ht="13.8" thickBot="1" x14ac:dyDescent="0.3">
      <c r="A28" s="1"/>
      <c r="B28" s="2"/>
      <c r="C28" s="28" t="str">
        <f ca="1"/>
        <v>AS (Warrior Armor)</v>
      </c>
      <c r="D28" s="11" t="str">
        <f ca="1"/>
        <v>8,3-15%</v>
      </c>
      <c r="E28" s="42">
        <f ca="1"/>
        <v>0</v>
      </c>
      <c r="F28" s="2"/>
      <c r="G28" s="47" t="str">
        <f ca="1"/>
        <v>HP</v>
      </c>
      <c r="H28" s="48" t="str">
        <f ca="1"/>
        <v>4,4-8%</v>
      </c>
      <c r="I28" s="49">
        <f ca="1"/>
        <v>0</v>
      </c>
      <c r="J28" s="2"/>
      <c r="K28" s="2"/>
      <c r="L28" s="3"/>
      <c r="M28" s="3"/>
      <c r="N28" s="3"/>
      <c r="O28" s="3"/>
    </row>
    <row r="29" spans="1:15" ht="13.8" thickBot="1" x14ac:dyDescent="0.3">
      <c r="A29" s="1"/>
      <c r="B29" s="2"/>
      <c r="C29" s="3"/>
      <c r="D29" s="3"/>
      <c r="E29" s="3"/>
      <c r="F29" s="2"/>
      <c r="G29" s="39" t="str">
        <f ca="1"/>
        <v>Posture</v>
      </c>
      <c r="H29" s="35" t="str">
        <f ca="1"/>
        <v>8,3-15%</v>
      </c>
      <c r="I29" s="5">
        <f ca="1"/>
        <v>0</v>
      </c>
      <c r="J29" s="2"/>
      <c r="K29" s="2"/>
      <c r="L29" s="3"/>
      <c r="M29" s="3"/>
      <c r="N29" s="3"/>
      <c r="O29" s="3"/>
    </row>
    <row r="30" spans="1:15" ht="13.8" thickBot="1" x14ac:dyDescent="0.3">
      <c r="A30" s="1"/>
      <c r="B30" s="2"/>
      <c r="C30" s="325" t="s">
        <v>16</v>
      </c>
      <c r="D30" s="326"/>
      <c r="E30" s="327"/>
      <c r="F30" s="2"/>
      <c r="G30" s="27" t="str">
        <f ca="1"/>
        <v>CF Dmg</v>
      </c>
      <c r="H30" s="10" t="str">
        <f ca="1"/>
        <v>8,3-15%</v>
      </c>
      <c r="I30" s="41">
        <f ca="1"/>
        <v>0</v>
      </c>
      <c r="J30" s="2"/>
      <c r="K30" s="2"/>
      <c r="L30" s="3"/>
      <c r="M30" s="3"/>
      <c r="N30" s="3"/>
      <c r="O30" s="3"/>
    </row>
    <row r="31" spans="1:15" ht="13.8" thickBot="1" x14ac:dyDescent="0.3">
      <c r="A31" s="1"/>
      <c r="B31" s="2"/>
      <c r="C31" s="64" t="str">
        <f t="array" aca="1" ref="C31:E41" ca="1">OFFSET(Equipment!G9:I20,MATCH(C30,Equipment!F8:F1988,0)-1,)</f>
        <v>HP</v>
      </c>
      <c r="D31" s="65" t="str">
        <f ca="1"/>
        <v>(Improvable)</v>
      </c>
      <c r="E31" s="63">
        <f ca="1"/>
        <v>0</v>
      </c>
      <c r="F31" s="2"/>
      <c r="G31" s="39" t="str">
        <f ca="1"/>
        <v>Posture Dmg</v>
      </c>
      <c r="H31" s="35" t="str">
        <f ca="1"/>
        <v>8,3-15%</v>
      </c>
      <c r="I31" s="5">
        <f ca="1"/>
        <v>0</v>
      </c>
      <c r="J31" s="2"/>
      <c r="K31" s="2"/>
      <c r="L31" s="3"/>
      <c r="M31" s="3"/>
      <c r="N31" s="3"/>
      <c r="O31" s="3"/>
    </row>
    <row r="32" spans="1:15" x14ac:dyDescent="0.25">
      <c r="A32" s="1"/>
      <c r="B32" s="2"/>
      <c r="C32" s="52" t="str">
        <f ca="1"/>
        <v>CR</v>
      </c>
      <c r="D32" s="53" t="str">
        <f ca="1"/>
        <v>8,3-15%</v>
      </c>
      <c r="E32" s="54">
        <f ca="1"/>
        <v>0</v>
      </c>
      <c r="F32" s="2"/>
      <c r="G32" s="27" t="str">
        <f ca="1"/>
        <v>Dmg reduction</v>
      </c>
      <c r="H32" s="10" t="str">
        <f ca="1"/>
        <v>5,5-10%</v>
      </c>
      <c r="I32" s="41">
        <f ca="1"/>
        <v>0</v>
      </c>
      <c r="J32" s="2"/>
      <c r="K32" s="2"/>
      <c r="L32" s="3"/>
      <c r="M32" s="3"/>
      <c r="N32" s="3"/>
      <c r="O32" s="3"/>
    </row>
    <row r="33" spans="1:15" x14ac:dyDescent="0.25">
      <c r="A33" s="1"/>
      <c r="B33" s="2"/>
      <c r="C33" s="39" t="str">
        <f ca="1"/>
        <v>ATK</v>
      </c>
      <c r="D33" s="35" t="str">
        <f ca="1"/>
        <v>5,5-10%</v>
      </c>
      <c r="E33" s="5">
        <f ca="1"/>
        <v>0</v>
      </c>
      <c r="F33" s="2"/>
      <c r="G33" s="39" t="str">
        <f ca="1"/>
        <v>Parrying Posture Dmg</v>
      </c>
      <c r="H33" s="35" t="str">
        <f ca="1"/>
        <v>8,3-15%</v>
      </c>
      <c r="I33" s="5">
        <f ca="1"/>
        <v>0</v>
      </c>
      <c r="J33" s="2"/>
      <c r="K33" s="2"/>
      <c r="L33" s="3"/>
      <c r="M33" s="3"/>
      <c r="N33" s="3"/>
      <c r="O33" s="3"/>
    </row>
    <row r="34" spans="1:15" x14ac:dyDescent="0.25">
      <c r="A34" s="1"/>
      <c r="B34" s="2"/>
      <c r="C34" s="27" t="str">
        <f ca="1"/>
        <v>Posture</v>
      </c>
      <c r="D34" s="10" t="str">
        <f ca="1"/>
        <v>13,2-24%</v>
      </c>
      <c r="E34" s="41">
        <f ca="1"/>
        <v>0</v>
      </c>
      <c r="F34" s="2"/>
      <c r="G34" s="27" t="str">
        <f ca="1"/>
        <v>Enemy Stun duration</v>
      </c>
      <c r="H34" s="10" t="str">
        <f ca="1"/>
        <v>0,5-0,9 sec</v>
      </c>
      <c r="I34" s="41">
        <f ca="1"/>
        <v>0</v>
      </c>
      <c r="J34" s="2"/>
      <c r="K34" s="2"/>
      <c r="L34" s="3"/>
      <c r="M34" s="3"/>
      <c r="N34" s="3"/>
      <c r="O34" s="3"/>
    </row>
    <row r="35" spans="1:15" ht="13.8" thickBot="1" x14ac:dyDescent="0.3">
      <c r="A35" s="1"/>
      <c r="B35" s="2"/>
      <c r="C35" s="39" t="str">
        <f ca="1"/>
        <v>CD</v>
      </c>
      <c r="D35" s="35" t="str">
        <f ca="1"/>
        <v>13,8-25%</v>
      </c>
      <c r="E35" s="5">
        <f ca="1"/>
        <v>0</v>
      </c>
      <c r="F35" s="2"/>
      <c r="G35" s="50" t="str">
        <f ca="1"/>
        <v>Skill gauge charge rate</v>
      </c>
      <c r="H35" s="51" t="str">
        <f ca="1"/>
        <v>11-20%</v>
      </c>
      <c r="I35" s="6">
        <f ca="1"/>
        <v>0</v>
      </c>
      <c r="J35" s="2"/>
      <c r="K35" s="2"/>
      <c r="L35" s="3"/>
      <c r="M35" s="3"/>
      <c r="N35" s="3"/>
      <c r="O35" s="3"/>
    </row>
    <row r="36" spans="1:15" x14ac:dyDescent="0.25">
      <c r="A36" s="1"/>
      <c r="B36" s="2"/>
      <c r="C36" s="27" t="str">
        <f ca="1"/>
        <v xml:space="preserve">AS </v>
      </c>
      <c r="D36" s="10" t="str">
        <f ca="1"/>
        <v>3,3-6%</v>
      </c>
      <c r="E36" s="41">
        <f ca="1"/>
        <v>0</v>
      </c>
      <c r="F36" s="2"/>
      <c r="G36" s="3"/>
      <c r="H36" s="3"/>
      <c r="I36" s="3"/>
      <c r="J36" s="2"/>
      <c r="K36" s="2"/>
      <c r="L36" s="3"/>
      <c r="M36" s="3"/>
      <c r="N36" s="3"/>
      <c r="O36" s="3"/>
    </row>
    <row r="37" spans="1:15" x14ac:dyDescent="0.25">
      <c r="A37" s="1"/>
      <c r="B37" s="2"/>
      <c r="C37" s="39" t="str">
        <f ca="1"/>
        <v>Dodge</v>
      </c>
      <c r="D37" s="35" t="str">
        <f ca="1"/>
        <v>3,3-6%</v>
      </c>
      <c r="E37" s="5">
        <f ca="1"/>
        <v>0</v>
      </c>
      <c r="F37" s="2"/>
      <c r="G37" s="3"/>
      <c r="H37" s="3"/>
      <c r="I37" s="3"/>
      <c r="J37" s="2"/>
      <c r="K37" s="2"/>
      <c r="L37" s="3"/>
      <c r="M37" s="3"/>
      <c r="N37" s="3"/>
      <c r="O37" s="3"/>
    </row>
    <row r="38" spans="1:15" ht="13.8" thickBot="1" x14ac:dyDescent="0.3">
      <c r="A38" s="1"/>
      <c r="B38" s="2"/>
      <c r="C38" s="27" t="str">
        <f ca="1"/>
        <v>Dmg reduction</v>
      </c>
      <c r="D38" s="10" t="str">
        <f ca="1"/>
        <v>7,7-14%</v>
      </c>
      <c r="E38" s="41">
        <f ca="1"/>
        <v>0</v>
      </c>
      <c r="F38" s="2"/>
      <c r="G38" s="3"/>
      <c r="H38" s="3"/>
      <c r="I38" s="3"/>
      <c r="J38" s="2"/>
      <c r="K38" s="2"/>
      <c r="L38" s="3"/>
      <c r="M38" s="3"/>
      <c r="N38" s="3"/>
      <c r="O38" s="3"/>
    </row>
    <row r="39" spans="1:15" ht="13.8" thickBot="1" x14ac:dyDescent="0.3">
      <c r="A39" s="1"/>
      <c r="B39" s="2"/>
      <c r="C39" s="39" t="str">
        <f ca="1"/>
        <v>Posture Dmg reduction</v>
      </c>
      <c r="D39" s="35" t="str">
        <f ca="1"/>
        <v>9,9-18%</v>
      </c>
      <c r="E39" s="5">
        <f ca="1"/>
        <v>0</v>
      </c>
      <c r="F39" s="2"/>
      <c r="G39" s="325" t="s">
        <v>32</v>
      </c>
      <c r="H39" s="326"/>
      <c r="I39" s="327"/>
      <c r="J39" s="2"/>
      <c r="K39" s="2"/>
      <c r="L39" s="3"/>
      <c r="M39" s="3"/>
      <c r="N39" s="3"/>
      <c r="O39" s="3"/>
    </row>
    <row r="40" spans="1:15" ht="13.8" thickBot="1" x14ac:dyDescent="0.3">
      <c r="A40" s="1"/>
      <c r="B40" s="2"/>
      <c r="C40" s="27" t="str">
        <f ca="1"/>
        <v>Normal enemy Dmg reduction</v>
      </c>
      <c r="D40" s="10" t="str">
        <f ca="1"/>
        <v>13,8-25%</v>
      </c>
      <c r="E40" s="41">
        <f ca="1"/>
        <v>0</v>
      </c>
      <c r="F40" s="2"/>
      <c r="G40" s="44" t="str">
        <f t="array" aca="1" ref="G40:I48" ca="1">OFFSET(Equipment!AK9:AM17,MATCH(G39,Equipment!AJ8:AJ1993,0)-1,)</f>
        <v>HP</v>
      </c>
      <c r="H40" s="45" t="str">
        <f ca="1"/>
        <v>(Improvable)</v>
      </c>
      <c r="I40" s="46">
        <f ca="1"/>
        <v>0</v>
      </c>
      <c r="J40" s="2"/>
      <c r="K40" s="2"/>
      <c r="L40" s="3"/>
      <c r="M40" s="3"/>
      <c r="N40" s="3"/>
      <c r="O40" s="3"/>
    </row>
    <row r="41" spans="1:15" ht="13.8" thickBot="1" x14ac:dyDescent="0.3">
      <c r="A41" s="1"/>
      <c r="B41" s="2"/>
      <c r="C41" s="50" t="str">
        <f ca="1"/>
        <v>Strong enemy Dmg reduction</v>
      </c>
      <c r="D41" s="51" t="str">
        <f ca="1"/>
        <v>11-20%</v>
      </c>
      <c r="E41" s="6">
        <f ca="1"/>
        <v>0</v>
      </c>
      <c r="F41" s="2"/>
      <c r="G41" s="52" t="str">
        <f ca="1"/>
        <v>HP restoration on kill</v>
      </c>
      <c r="H41" s="53" t="str">
        <f ca="1"/>
        <v>(Improvable)</v>
      </c>
      <c r="I41" s="54">
        <f ca="1"/>
        <v>0</v>
      </c>
      <c r="J41" s="2"/>
      <c r="K41" s="2"/>
      <c r="L41" s="3"/>
      <c r="M41" s="3"/>
      <c r="N41" s="3"/>
      <c r="O41" s="3"/>
    </row>
    <row r="42" spans="1:15" ht="13.8" thickBot="1" x14ac:dyDescent="0.3">
      <c r="A42" s="1"/>
      <c r="B42" s="2"/>
      <c r="C42" s="2"/>
      <c r="D42" s="2"/>
      <c r="E42" s="2"/>
      <c r="F42" s="2"/>
      <c r="G42" s="39" t="str">
        <f ca="1"/>
        <v>ATK</v>
      </c>
      <c r="H42" s="35" t="str">
        <f ca="1"/>
        <v>(Improvable)</v>
      </c>
      <c r="I42" s="5">
        <f ca="1"/>
        <v>0</v>
      </c>
      <c r="J42" s="2"/>
      <c r="K42" s="2"/>
      <c r="L42" s="3"/>
      <c r="M42" s="3"/>
      <c r="N42" s="3"/>
      <c r="O42" s="3"/>
    </row>
    <row r="43" spans="1:15" ht="13.8" thickBot="1" x14ac:dyDescent="0.3">
      <c r="A43" s="1"/>
      <c r="B43" s="2"/>
      <c r="C43" s="325" t="s">
        <v>20</v>
      </c>
      <c r="D43" s="326"/>
      <c r="E43" s="327"/>
      <c r="F43" s="2"/>
      <c r="G43" s="27" t="str">
        <f ca="1"/>
        <v>HP</v>
      </c>
      <c r="H43" s="10" t="str">
        <f ca="1"/>
        <v>4,4-8%</v>
      </c>
      <c r="I43" s="41">
        <f ca="1"/>
        <v>0</v>
      </c>
      <c r="J43" s="2"/>
      <c r="K43" s="2"/>
      <c r="L43" s="3"/>
      <c r="M43" s="3"/>
      <c r="N43" s="3"/>
      <c r="O43" s="3"/>
    </row>
    <row r="44" spans="1:15" ht="13.8" thickBot="1" x14ac:dyDescent="0.3">
      <c r="A44" s="1"/>
      <c r="B44" s="2"/>
      <c r="C44" s="57" t="str">
        <f t="array" aca="1" ref="C44:E55" ca="1">OFFSET(Equipment!L9:N20,MATCH(C43,Equipment!K8:K1992,0)-1,)</f>
        <v>Posture</v>
      </c>
      <c r="D44" s="8" t="str">
        <f ca="1"/>
        <v>(Improvable)</v>
      </c>
      <c r="E44" s="9">
        <f ca="1"/>
        <v>0</v>
      </c>
      <c r="F44" s="2"/>
      <c r="G44" s="39" t="str">
        <f ca="1"/>
        <v>Posture</v>
      </c>
      <c r="H44" s="35" t="str">
        <f ca="1"/>
        <v>8,3-15%</v>
      </c>
      <c r="I44" s="5">
        <f ca="1"/>
        <v>0</v>
      </c>
      <c r="J44" s="2"/>
      <c r="K44" s="2"/>
      <c r="L44" s="3"/>
      <c r="M44" s="3"/>
      <c r="N44" s="3"/>
      <c r="O44" s="3"/>
    </row>
    <row r="45" spans="1:15" x14ac:dyDescent="0.25">
      <c r="A45" s="1"/>
      <c r="B45" s="2"/>
      <c r="C45" s="47" t="str">
        <f ca="1"/>
        <v>ATK</v>
      </c>
      <c r="D45" s="48" t="str">
        <f ca="1"/>
        <v>5,5-10%</v>
      </c>
      <c r="E45" s="49">
        <f ca="1"/>
        <v>0</v>
      </c>
      <c r="F45" s="2"/>
      <c r="G45" s="27" t="str">
        <f ca="1"/>
        <v>CF Dmg</v>
      </c>
      <c r="H45" s="10" t="str">
        <f ca="1"/>
        <v>8,3-15%</v>
      </c>
      <c r="I45" s="41">
        <f ca="1"/>
        <v>0</v>
      </c>
      <c r="J45" s="2"/>
      <c r="K45" s="2"/>
      <c r="L45" s="3"/>
      <c r="M45" s="3"/>
      <c r="N45" s="3"/>
      <c r="O45" s="3"/>
    </row>
    <row r="46" spans="1:15" x14ac:dyDescent="0.25">
      <c r="A46" s="1"/>
      <c r="B46" s="2"/>
      <c r="C46" s="39" t="str">
        <f ca="1"/>
        <v>HP</v>
      </c>
      <c r="D46" s="35" t="str">
        <f ca="1"/>
        <v>8,3-15%</v>
      </c>
      <c r="E46" s="5">
        <f ca="1"/>
        <v>0</v>
      </c>
      <c r="F46" s="2"/>
      <c r="G46" s="39" t="str">
        <f ca="1"/>
        <v>Posture Dmg reduction</v>
      </c>
      <c r="H46" s="35" t="str">
        <f ca="1"/>
        <v>7,7-14%</v>
      </c>
      <c r="I46" s="5">
        <f ca="1"/>
        <v>0</v>
      </c>
      <c r="J46" s="2"/>
      <c r="K46" s="2"/>
      <c r="L46" s="3"/>
      <c r="M46" s="3"/>
      <c r="N46" s="3"/>
      <c r="O46" s="3"/>
    </row>
    <row r="47" spans="1:15" x14ac:dyDescent="0.25">
      <c r="A47" s="1"/>
      <c r="B47" s="2"/>
      <c r="C47" s="27" t="str">
        <f ca="1"/>
        <v>CR</v>
      </c>
      <c r="D47" s="10" t="str">
        <f ca="1"/>
        <v>5,5-10%</v>
      </c>
      <c r="E47" s="41">
        <f ca="1"/>
        <v>0</v>
      </c>
      <c r="F47" s="2"/>
      <c r="G47" s="27" t="str">
        <f ca="1"/>
        <v>Parrying Posture Dmg</v>
      </c>
      <c r="H47" s="10" t="str">
        <f ca="1"/>
        <v>8,3-15%</v>
      </c>
      <c r="I47" s="41">
        <f ca="1"/>
        <v>0</v>
      </c>
      <c r="J47" s="2"/>
      <c r="K47" s="2"/>
      <c r="L47" s="3"/>
      <c r="M47" s="3"/>
      <c r="N47" s="3"/>
      <c r="O47" s="3"/>
    </row>
    <row r="48" spans="1:15" ht="13.8" thickBot="1" x14ac:dyDescent="0.3">
      <c r="A48" s="1"/>
      <c r="B48" s="2"/>
      <c r="C48" s="39" t="str">
        <f ca="1"/>
        <v>CF Dmg</v>
      </c>
      <c r="D48" s="35" t="str">
        <f ca="1"/>
        <v>16,5-30%</v>
      </c>
      <c r="E48" s="5">
        <f ca="1"/>
        <v>0</v>
      </c>
      <c r="F48" s="2"/>
      <c r="G48" s="55" t="str">
        <f ca="1"/>
        <v>Dodge</v>
      </c>
      <c r="H48" s="56" t="str">
        <f ca="1"/>
        <v>3,3-6%</v>
      </c>
      <c r="I48" s="34">
        <f ca="1"/>
        <v>0</v>
      </c>
      <c r="J48" s="2"/>
      <c r="K48" s="2"/>
      <c r="L48" s="3"/>
      <c r="M48" s="3"/>
      <c r="N48" s="3"/>
      <c r="O48" s="3"/>
    </row>
    <row r="49" spans="1:15" x14ac:dyDescent="0.25">
      <c r="A49" s="1"/>
      <c r="B49" s="2"/>
      <c r="C49" s="27" t="str">
        <f ca="1"/>
        <v>Posture Dmg reduction</v>
      </c>
      <c r="D49" s="10" t="str">
        <f ca="1"/>
        <v>13,8-25%</v>
      </c>
      <c r="E49" s="41">
        <f ca="1"/>
        <v>0</v>
      </c>
      <c r="F49" s="2"/>
      <c r="G49" s="3"/>
      <c r="H49" s="3"/>
      <c r="I49" s="3"/>
      <c r="J49" s="2"/>
      <c r="K49" s="2"/>
      <c r="L49" s="3"/>
      <c r="M49" s="3"/>
      <c r="N49" s="3"/>
      <c r="O49" s="3"/>
    </row>
    <row r="50" spans="1:15" x14ac:dyDescent="0.25">
      <c r="A50" s="1"/>
      <c r="B50" s="2"/>
      <c r="C50" s="39" t="str">
        <f ca="1"/>
        <v>Heavy Atk Dmg reduction</v>
      </c>
      <c r="D50" s="35" t="str">
        <f ca="1"/>
        <v>11-20%</v>
      </c>
      <c r="E50" s="5">
        <f ca="1"/>
        <v>0</v>
      </c>
      <c r="F50" s="2"/>
      <c r="G50" s="3"/>
      <c r="H50" s="3"/>
      <c r="I50" s="3"/>
      <c r="J50" s="2"/>
      <c r="K50" s="2"/>
      <c r="L50" s="3"/>
      <c r="M50" s="3"/>
      <c r="N50" s="3"/>
      <c r="O50" s="3"/>
    </row>
    <row r="51" spans="1:15" ht="13.8" thickBot="1" x14ac:dyDescent="0.3">
      <c r="A51" s="1"/>
      <c r="B51" s="2"/>
      <c r="C51" s="27" t="str">
        <f ca="1"/>
        <v>AS first 5sec</v>
      </c>
      <c r="D51" s="10" t="str">
        <f ca="1"/>
        <v>11-20%</v>
      </c>
      <c r="E51" s="41">
        <f ca="1"/>
        <v>0</v>
      </c>
      <c r="F51" s="2"/>
      <c r="G51" s="3"/>
      <c r="H51" s="3"/>
      <c r="I51" s="3"/>
      <c r="J51" s="2"/>
      <c r="K51" s="2"/>
      <c r="L51" s="3"/>
      <c r="M51" s="3"/>
      <c r="N51" s="3"/>
      <c r="O51" s="3"/>
    </row>
    <row r="52" spans="1:15" ht="13.8" thickBot="1" x14ac:dyDescent="0.3">
      <c r="A52" s="1"/>
      <c r="B52" s="2"/>
      <c r="C52" s="39" t="str">
        <f ca="1"/>
        <v>CR first 5sec</v>
      </c>
      <c r="D52" s="35" t="str">
        <f ca="1"/>
        <v>16,5-30%</v>
      </c>
      <c r="E52" s="5">
        <f ca="1"/>
        <v>0</v>
      </c>
      <c r="F52" s="2"/>
      <c r="G52" s="325" t="s">
        <v>29</v>
      </c>
      <c r="H52" s="326"/>
      <c r="I52" s="327"/>
      <c r="J52" s="2"/>
      <c r="K52" s="2"/>
      <c r="L52" s="3"/>
      <c r="M52" s="3"/>
      <c r="N52" s="3"/>
      <c r="O52" s="3"/>
    </row>
    <row r="53" spans="1:15" ht="13.8" thickBot="1" x14ac:dyDescent="0.3">
      <c r="A53" s="1"/>
      <c r="B53" s="2"/>
      <c r="C53" s="27" t="str">
        <f ca="1"/>
        <v>ATK (Whirlwind Twin Swords)</v>
      </c>
      <c r="D53" s="10" t="str">
        <f ca="1"/>
        <v>5,5-10%</v>
      </c>
      <c r="E53" s="41">
        <f ca="1"/>
        <v>0</v>
      </c>
      <c r="F53" s="2"/>
      <c r="G53" s="57" t="str">
        <f t="array" aca="1" ref="G53:I60" ca="1">OFFSET(Equipment!AF9:AH16,MATCH(G52,Equipment!AE8:AE1988,0)-1,)</f>
        <v>Posture</v>
      </c>
      <c r="H53" s="8" t="str">
        <f ca="1"/>
        <v>(Improvable)</v>
      </c>
      <c r="I53" s="9">
        <f ca="1"/>
        <v>0</v>
      </c>
      <c r="J53" s="2"/>
      <c r="K53" s="2"/>
      <c r="L53" s="3"/>
      <c r="M53" s="3"/>
      <c r="N53" s="3"/>
      <c r="O53" s="3"/>
    </row>
    <row r="54" spans="1:15" x14ac:dyDescent="0.25">
      <c r="A54" s="1"/>
      <c r="B54" s="2"/>
      <c r="C54" s="39" t="str">
        <f ca="1"/>
        <v>ATK (Shura Sword)</v>
      </c>
      <c r="D54" s="35" t="str">
        <f ca="1"/>
        <v>5,5-10%</v>
      </c>
      <c r="E54" s="5">
        <f ca="1"/>
        <v>0</v>
      </c>
      <c r="F54" s="2"/>
      <c r="G54" s="52" t="str">
        <f ca="1"/>
        <v>Time Distortion duration</v>
      </c>
      <c r="H54" s="53" t="str">
        <f ca="1"/>
        <v>0,88-2 sec</v>
      </c>
      <c r="I54" s="54">
        <f ca="1"/>
        <v>0</v>
      </c>
      <c r="J54" s="2"/>
      <c r="K54" s="2"/>
      <c r="L54" s="3"/>
      <c r="M54" s="3"/>
      <c r="N54" s="3"/>
      <c r="O54" s="3"/>
    </row>
    <row r="55" spans="1:15" ht="13.8" thickBot="1" x14ac:dyDescent="0.3">
      <c r="A55" s="1"/>
      <c r="B55" s="2"/>
      <c r="C55" s="28" t="str">
        <f ca="1"/>
        <v>ATK (Crescent Moon Blade)</v>
      </c>
      <c r="D55" s="11" t="str">
        <f ca="1"/>
        <v>5,5-10%</v>
      </c>
      <c r="E55" s="42">
        <f ca="1"/>
        <v>0</v>
      </c>
      <c r="F55" s="2"/>
      <c r="G55" s="58" t="str">
        <f ca="1"/>
        <v>ATK</v>
      </c>
      <c r="H55" s="43" t="str">
        <f ca="1"/>
        <v>(Improvable)</v>
      </c>
      <c r="I55" s="7">
        <f ca="1"/>
        <v>0</v>
      </c>
      <c r="J55" s="2"/>
      <c r="K55" s="2"/>
      <c r="L55" s="3"/>
      <c r="M55" s="3"/>
      <c r="N55" s="3"/>
      <c r="O55" s="3"/>
    </row>
    <row r="56" spans="1:15" ht="13.8" thickBot="1" x14ac:dyDescent="0.3">
      <c r="A56" s="1"/>
      <c r="B56" s="2"/>
      <c r="C56" s="3"/>
      <c r="D56" s="3"/>
      <c r="E56" s="3"/>
      <c r="F56" s="2"/>
      <c r="G56" s="29" t="str">
        <f ca="1"/>
        <v>HP</v>
      </c>
      <c r="H56" s="30" t="str">
        <f ca="1"/>
        <v>4,4-8%</v>
      </c>
      <c r="I56" s="59">
        <f ca="1"/>
        <v>0</v>
      </c>
      <c r="J56" s="2"/>
      <c r="K56" s="2"/>
      <c r="L56" s="3"/>
      <c r="M56" s="3"/>
      <c r="N56" s="3"/>
      <c r="O56" s="3"/>
    </row>
    <row r="57" spans="1:15" ht="13.8" thickBot="1" x14ac:dyDescent="0.3">
      <c r="A57" s="1"/>
      <c r="B57" s="2"/>
      <c r="C57" s="325" t="s">
        <v>23</v>
      </c>
      <c r="D57" s="326"/>
      <c r="E57" s="327"/>
      <c r="F57" s="2"/>
      <c r="G57" s="58" t="str">
        <f ca="1"/>
        <v>Posture</v>
      </c>
      <c r="H57" s="43" t="str">
        <f ca="1"/>
        <v>13,2-24%</v>
      </c>
      <c r="I57" s="7">
        <f ca="1"/>
        <v>0</v>
      </c>
      <c r="J57" s="2"/>
      <c r="K57" s="2"/>
      <c r="L57" s="3"/>
      <c r="M57" s="3"/>
      <c r="N57" s="3"/>
      <c r="O57" s="3"/>
    </row>
    <row r="58" spans="1:15" ht="13.8" thickBot="1" x14ac:dyDescent="0.3">
      <c r="A58" s="1"/>
      <c r="B58" s="2"/>
      <c r="C58" s="44" t="str">
        <f t="array" aca="1" ref="C58:E60" ca="1">OFFSET(Equipment!Q9:S11,MATCH(C57,Equipment!P8:P1988,0)-1,)</f>
        <v>ATK</v>
      </c>
      <c r="D58" s="45" t="str">
        <f ca="1"/>
        <v>(Improvable)</v>
      </c>
      <c r="E58" s="46">
        <f ca="1"/>
        <v>0</v>
      </c>
      <c r="F58" s="2"/>
      <c r="G58" s="29" t="str">
        <f ca="1"/>
        <v>CF Dmg</v>
      </c>
      <c r="H58" s="30" t="str">
        <f ca="1"/>
        <v>8,3-15%</v>
      </c>
      <c r="I58" s="59">
        <f ca="1"/>
        <v>0</v>
      </c>
      <c r="J58" s="2"/>
      <c r="K58" s="2"/>
      <c r="L58" s="3"/>
      <c r="M58" s="3"/>
      <c r="N58" s="3"/>
      <c r="O58" s="3"/>
    </row>
    <row r="59" spans="1:15" x14ac:dyDescent="0.25">
      <c r="A59" s="1"/>
      <c r="B59" s="2"/>
      <c r="C59" s="47" t="str">
        <f ca="1"/>
        <v>Posture Dmg</v>
      </c>
      <c r="D59" s="48" t="str">
        <f ca="1"/>
        <v>(Improvable)</v>
      </c>
      <c r="E59" s="49">
        <f ca="1"/>
        <v>0</v>
      </c>
      <c r="F59" s="2"/>
      <c r="G59" s="58" t="str">
        <f ca="1"/>
        <v>Posture Dmg</v>
      </c>
      <c r="H59" s="43" t="str">
        <f ca="1"/>
        <v>11-20%</v>
      </c>
      <c r="I59" s="7">
        <f ca="1"/>
        <v>0</v>
      </c>
      <c r="J59" s="2"/>
      <c r="K59" s="2"/>
      <c r="L59" s="3"/>
      <c r="M59" s="3"/>
      <c r="N59" s="3"/>
      <c r="O59" s="3"/>
    </row>
    <row r="60" spans="1:15" ht="13.8" thickBot="1" x14ac:dyDescent="0.3">
      <c r="A60" s="1"/>
      <c r="B60" s="2"/>
      <c r="C60" s="50" t="str">
        <f ca="1"/>
        <v>CF Dmg</v>
      </c>
      <c r="D60" s="51" t="str">
        <f ca="1"/>
        <v>(Improvable)</v>
      </c>
      <c r="E60" s="6">
        <f ca="1"/>
        <v>0</v>
      </c>
      <c r="F60" s="2"/>
      <c r="G60" s="60" t="str">
        <f ca="1"/>
        <v>Parrying Posture Dmg</v>
      </c>
      <c r="H60" s="61" t="str">
        <f ca="1"/>
        <v>13,8-25%</v>
      </c>
      <c r="I60" s="62">
        <f ca="1"/>
        <v>0</v>
      </c>
      <c r="J60" s="2"/>
      <c r="K60" s="2"/>
      <c r="L60" s="3"/>
      <c r="M60" s="3"/>
      <c r="N60" s="3"/>
      <c r="O60" s="3"/>
    </row>
    <row r="61" spans="1:15" x14ac:dyDescent="0.25">
      <c r="A61" s="1"/>
      <c r="B61" s="2"/>
      <c r="C61" s="2"/>
      <c r="D61" s="2"/>
      <c r="E61" s="2"/>
      <c r="F61" s="2"/>
      <c r="G61" s="3"/>
      <c r="H61" s="3"/>
      <c r="I61" s="3"/>
      <c r="J61" s="2"/>
      <c r="K61" s="2"/>
      <c r="L61" s="3"/>
      <c r="M61" s="3"/>
      <c r="N61" s="3"/>
      <c r="O61" s="3"/>
    </row>
    <row r="62" spans="1:15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3"/>
      <c r="M62" s="3"/>
      <c r="N62" s="3"/>
      <c r="O62" s="3"/>
    </row>
    <row r="63" spans="1:15" ht="13.8" thickBot="1" x14ac:dyDescent="0.3">
      <c r="A63" s="1"/>
      <c r="B63" s="3"/>
      <c r="C63" s="4"/>
      <c r="D63" s="4"/>
      <c r="E63" s="3"/>
      <c r="F63" s="3"/>
      <c r="G63" s="3"/>
      <c r="H63" s="3"/>
      <c r="I63" s="3"/>
      <c r="J63" s="3"/>
      <c r="K63" s="2"/>
      <c r="L63" s="3"/>
      <c r="M63" s="3"/>
      <c r="N63" s="3"/>
      <c r="O63" s="3"/>
    </row>
    <row r="64" spans="1:15" ht="13.8" thickBot="1" x14ac:dyDescent="0.3">
      <c r="A64" s="1"/>
      <c r="B64" s="3"/>
      <c r="C64" s="322" t="s">
        <v>140</v>
      </c>
      <c r="D64" s="323"/>
      <c r="E64" s="323"/>
      <c r="F64" s="323"/>
      <c r="G64" s="323"/>
      <c r="H64" s="324"/>
      <c r="I64" s="3"/>
      <c r="J64" s="3"/>
      <c r="K64" s="3"/>
      <c r="L64" s="3"/>
      <c r="M64" s="3"/>
      <c r="N64" s="3"/>
      <c r="O64" s="3"/>
    </row>
    <row r="65" spans="1:15" ht="13.8" thickBot="1" x14ac:dyDescent="0.3">
      <c r="A65" s="1"/>
      <c r="B65" s="3"/>
      <c r="C65" s="15" t="s">
        <v>6</v>
      </c>
      <c r="D65" s="16">
        <f>ROUND(SUM(32,D3,D8,_xlfn.SWITCH(C13,Equipment!A8,Equipment!D9,Equipment!A24,Equipment!D25,Equipment!A40,Equipment!D41),IF(C57=Equipment!P8,Equipment!S9,0),_xlfn.SWITCH(G13,Equipment!U8,Equipment!X9,Equipment!U18,Equipment!X20,Equipment!U28,0),_xlfn.SWITCH(G26,Equipment!Z8,Equipment!AC9,Equipment!Z18,Equipment!AC20,Equipment!Z28,0),_xlfn.SWITCH(G52,Equipment!AE8,Equipment!AH11,Equipment!AE17,Equipment!AH20,Equipment!AE26,0),_xlfn.SWITCH(G39,Equipment!AJ8,Equipment!AM11,Equipment!AJ18,Equipment!AM21,Equipment!AJ28,0,Equipment!AJ38,Equipment!AM39+Equipment!AM41,Equipment!AJ48,Equipment!AM49+Equipment!AM51,Equipment!AJ58,Equipment!AM61,Equipment!AJ68,Equipment!AM71))*(1+(SUM(_xlfn.SWITCH(C30,Equipment!F8,Equipment!I11,Equipment!F21,Equipment!I24,Equipment!F34,Equipment!I37,Equipment!F47,Equipment!I50),IF(C43=Equipment!K8,Equipment!N10,0),_xlfn.SWITCH(C43,Equipment!K8,_xlfn.SWITCH(C13,Equipment!A8,Equipment!N18,Equipment!A24,Equipment!N19,Equipment!A40,Equipment!N20),Equipment!K21,_xlfn.SWITCH(C13,Equipment!A8,Equipment!N29,Equipment!A24,Equipment!N30,Equipment!A40,Equipment!N31),Equipment!K34,_xlfn.SWITCH(C13,Equipment!A8,Equipment!N42,Equipment!A24,Equipment!N43,Equipment!A40,Equipment!N44)),IF(G52=Equipment!AE26,Equipment!AH29,0)))/100)*(1+(D70/100)),0)</f>
        <v>32</v>
      </c>
      <c r="E65" s="17" t="s">
        <v>2</v>
      </c>
      <c r="F65" s="18">
        <f>ROUND(SUM(211,F3,F8,_xlfn.SWITCH(C30,Equipment!F8,Equipment!I9,Equipment!F21,Equipment!I22,Equipment!F34,Equipment!I35,Equipment!F47,Equipment!I48),IF(Calculator!C57=Equipment!P16,Equipment!S17,0),IF(Calculator!G13=Equipment!U28,Equipment!X29,0),IF(Calculator!G26=Equipment!Z28,Equipment!AC29,0),_xlfn.SWITCH(Calculator!G39,Equipment!AJ8,Equipment!AM9,Equipment!AJ18,Equipment!AM19,Equipment!AJ28,Equipment!AM29,Equipment!AJ38,0,Equipment!AJ48,0,Equipment!AJ58,0,Equipment!AJ68,0))*(1+(SUM(IF(Calculator!C43=Equipment!K8,Equipment!N11,0),_xlfn.SWITCH(Calculator!G13,Equipment!U8,Equipment!X10,Equipment!U18,Equipment!X21,Equipment!U28,Equipment!X30),_xlfn.SWITCH(Calculator!G26,Equipment!Z8,Equipment!AC10,Equipment!Z18,Equipment!AC21,Equipment!Z28,Equipment!AC30),_xlfn.SWITCH(Calculator!G52,Equipment!AE8,Equipment!AH12,Equipment!AE17,Equipment!AH21,Equipment!AE26,Equipment!AH30),_xlfn.SWITCH(Calculator!G39,Equipment!AJ8,Equipment!AM12,Equipment!AJ18,Equipment!AM22,Equipment!AJ28,0,Equipment!AJ38,Equipment!AM42,Equipment!AJ48,Equipment!AM52,Equipment!AJ58,Equipment!AM62,Equipment!AJ68,Equipment!AM72)))/100)*(1+(D71/100)),0)</f>
        <v>211</v>
      </c>
      <c r="G65" s="8" t="s">
        <v>3</v>
      </c>
      <c r="H65" s="9">
        <f>ROUND(SUM(155,F4,_xlfn.SWITCH(C43,Equipment!K8,Equipment!N9,Equipment!K21,Equipment!N22,Equipment!K34,Equipment!N35),IF(Calculator!C57=Equipment!P12,Equipment!S13,0),IF(Calculator!G13=Equipment!U18,Equipment!X19,0),IF(Calculator!G26=Equipment!Z18,Equipment!AC19,0),_xlfn.SWITCH(Calculator!G52,Equipment!AE8,Equipment!AH9,Equipment!AE17,Equipment!AH18,Equipment!AE26,Equipment!AH27))*(1+(SUM(_xlfn.SWITCH(Calculator!C30,Equipment!F8,Equipment!I12,Equipment!F21,Equipment!I25,Equipment!F34,Equipment!I38,Equipment!F47,Equipment!I51),_xlfn.SWITCH(Calculator!G13,Equipment!U8,Equipment!X11,Equipment!U18,Equipment!X22,Equipment!U28,Equipment!X31),_xlfn.SWITCH(Calculator!G26,Equipment!Z8,Equipment!AC11,Equipment!Z18,Equipment!AC22,Equipment!Z28,Equipment!AC31),_xlfn.SWITCH(Calculator!G52,Equipment!AE8,Equipment!AH13,Equipment!AE17,Equipment!AH22,Equipment!AE26,Equipment!AH31),_xlfn.SWITCH(Calculator!G39,Equipment!AJ8,Equipment!AM13,Equipment!AJ18,Equipment!AM23,Equipment!AJ28,0,Equipment!AJ38,Equipment!AM43,Equipment!AJ48,Equipment!AM53,Equipment!AJ58,Equipment!AM63,Equipment!AJ68,Equipment!AM73)))/100)*(1+(D72/100)),0)</f>
        <v>155</v>
      </c>
      <c r="I65" s="3"/>
      <c r="J65" s="3"/>
      <c r="K65" s="3"/>
      <c r="L65" s="3"/>
      <c r="M65" s="3"/>
      <c r="N65" s="3"/>
      <c r="O65" s="3"/>
    </row>
    <row r="66" spans="1:15" x14ac:dyDescent="0.25">
      <c r="A66" s="1"/>
      <c r="B66" s="3"/>
      <c r="C66" s="25" t="s">
        <v>127</v>
      </c>
      <c r="D66" s="26">
        <f>SUM(10,D5,_xlfn.SWITCH(C13,Equipment!A8,Equipment!D10,Equipment!A24,Equipment!D26,Equipment!A40,Equipment!D42),IF(Calculator!C30=Equipment!F8,Equipment!I10,0),_xlfn.SWITCH(Calculator!C43,Equipment!K8,Equipment!N12,Equipment!K21,Equipment!N23,Equipment!K34,Equipment!N36),IF(Calculator!C57=Equipment!P16,Equipment!S18,0),IF(Calculator!G13=Equipment!U18,Equipment!X23,0),IF(Calculator!G26=Equipment!Z18,Equipment!AC23,0),_xlfn.SWITCH(Calculator!G52,Equipment!AE8,0,Equipment!AE17,Equipment!AH23,Equipment!AE26,Equipment!AH32),_xlfn.SWITCH(Calculator!G39,Equipment!AJ8,0,Equipment!AJ18,0,Equipment!AJ28,0,Equipment!AJ38,Equipment!AM47,Equipment!AJ48,Equipment!AM57,Equipment!AJ58,0,Equipment!AJ68,0),IF(C13=Equipment!A40,_xlfn.SWITCH(Calculator!C30,Equipment!F8,Equipment!D52,Equipment!F21,Equipment!D53,Equipment!F34,Equipment!D54,Equipment!F47,Equipment!D55),0),D73)</f>
        <v>10</v>
      </c>
      <c r="E66" s="22" t="s">
        <v>126</v>
      </c>
      <c r="F66" s="23">
        <f>SUM(130,D4,_xlfn.SWITCH(C13,Equipment!A8,Equipment!D11,Equipment!A24,Equipment!D27,Equipment!A40,Equipment!D43),IF(Calculator!C57=Equipment!P12,Equipment!S15,0),_xlfn.SWITCH(Calculator!G39,Equipment!AJ8,0,Equipment!AJ18,0,Equipment!AJ28,0,Equipment!AJ38,0,Equipment!AJ48,0,Equipment!AJ58,Equipment!AM59,Equipment!AJ68,Equipment!AM69),IF(C13=Equipment!A24,_xlfn.SWITCH(Calculator!C30,Equipment!F8,Equipment!D36,Equipment!F21,Equipment!D37,Equipment!F34,Equipment!D38,Equipment!F47,Equipment!D39),0),F70)</f>
        <v>130</v>
      </c>
      <c r="G66" s="69" t="s">
        <v>141</v>
      </c>
      <c r="H66" s="70">
        <f>SUM(200,_xlfn.SWITCH(C13,Equipment!A8,Equipment!D13,Equipment!A24,Equipment!D29,Equipment!A40,Equipment!D45),IF(C30=Equipment!F34,Equipment!I36,0),_xlfn.SWITCH(Calculator!C43,Equipment!K8,Equipment!N13,Equipment!K21,Equipment!N25,Equipment!K34,Equipment!N38),IF(Calculator!C57=Equipment!P8,Equipment!S11,0),IF(Calculator!G13=Equipment!U8,Equipment!X12,0),IF(Calculator!G26=Equipment!Z8,Equipment!AC12,0),_xlfn.SWITCH(Calculator!G52,Equipment!AE8,Equipment!AH14,Equipment!AE17,0,Equipment!AE26,Equipment!AH33),_xlfn.SWITCH(Calculator!G39,Equipment!AJ8,Equipment!AM14,Equipment!AJ18,Equipment!AM24,Equipment!AJ28,0,Equipment!AJ38,Equipment!AM44,Equipment!AJ48,Equipment!AM54,Equipment!AJ58,Equipment!AM64,Equipment!AJ68,Equipment!AM74),F71)</f>
        <v>200</v>
      </c>
      <c r="I66" s="3"/>
      <c r="J66" s="3"/>
      <c r="K66" s="3"/>
      <c r="L66" s="3"/>
      <c r="M66" s="3"/>
      <c r="N66" s="3"/>
      <c r="O66" s="3"/>
    </row>
    <row r="67" spans="1:15" ht="13.8" thickBot="1" x14ac:dyDescent="0.3">
      <c r="A67" s="1"/>
      <c r="B67" s="3"/>
      <c r="C67" s="12" t="s">
        <v>129</v>
      </c>
      <c r="D67" s="13">
        <f>SUM(100,D9,_xlfn.SWITCH(C13,Equipment!A8,Equipment!D12,Equipment!A24,Equipment!D28,Equipment!A40,Equipment!D44),_xlfn.SWITCH(C30,Equipment!F8,Equipment!I14,Equipment!F21,Equipment!I26,Equipment!F34,Equipment!I39,Equipment!F47,Equipment!I52),IF(C43=Equipment!K21,Equipment!N24,0),IF(Calculator!C57=Equipment!P12,Equipment!S14,0),IF(Calculator!G52=Equipment!AE17,Equipment!AH24,0),_xlfn.SWITCH(Calculator!G39,Equipment!AJ8,0,Equipment!AJ18,0,Equipment!AJ28,0,Equipment!AJ38,0,Equipment!AJ48,0,Equipment!AJ58,Equipment!AM67,Equipment!AJ68,Equipment!AM77),IF(C13=Equipment!A8,_xlfn.SWITCH(Calculator!C30,Equipment!F8,Equipment!D20,Equipment!F21,Equipment!D21,Equipment!F34,Equipment!D22,Equipment!F47,Equipment!D23),0))</f>
        <v>100</v>
      </c>
      <c r="E67" s="73" t="s">
        <v>128</v>
      </c>
      <c r="F67" s="20">
        <f>SUM(F5,F9,_xlfn.SWITCH(C30,Equipment!F8,Equipment!I15,Equipment!F21,Equipment!I27,Equipment!F34,Equipment!I40,Equipment!F47,Equipment!I53),IF(C43=Equipment!K34,Equipment!N37,0),IF(Calculator!C57=Equipment!P16,Equipment!S19,0),_xlfn.SWITCH(G39,Equipment!AJ8,Equipment!AM17,Equipment!AJ18,Equipment!AM27,Equipment!AJ28,0,Equipment!AJ38,0,Equipment!AJ48,0,Equipment!AJ58,0,Equipment!AJ68,0),F72)</f>
        <v>0</v>
      </c>
      <c r="G67" s="71" t="s">
        <v>142</v>
      </c>
      <c r="H67" s="72">
        <f>D65*(H66+F71)/100</f>
        <v>64</v>
      </c>
      <c r="I67" s="3"/>
      <c r="J67" s="3"/>
      <c r="K67" s="3"/>
      <c r="L67" s="3"/>
      <c r="M67" s="3"/>
      <c r="N67" s="3"/>
      <c r="O67" s="3"/>
    </row>
    <row r="68" spans="1:15" ht="13.8" thickBot="1" x14ac:dyDescent="0.3">
      <c r="A68" s="1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1:15" ht="13.8" thickBot="1" x14ac:dyDescent="0.3">
      <c r="A69" s="1"/>
      <c r="B69" s="3"/>
      <c r="C69" s="322" t="s">
        <v>172</v>
      </c>
      <c r="D69" s="323"/>
      <c r="E69" s="323"/>
      <c r="F69" s="324"/>
      <c r="G69" s="2"/>
      <c r="H69" s="3"/>
      <c r="I69" s="3"/>
      <c r="J69" s="3"/>
      <c r="K69" s="3"/>
      <c r="L69" s="3"/>
      <c r="M69" s="3"/>
      <c r="N69" s="3"/>
      <c r="O69" s="3"/>
    </row>
    <row r="70" spans="1:15" x14ac:dyDescent="0.25">
      <c r="A70" s="1"/>
      <c r="B70" s="3"/>
      <c r="C70" s="33" t="s">
        <v>147</v>
      </c>
      <c r="D70" s="114"/>
      <c r="E70" s="76" t="s">
        <v>126</v>
      </c>
      <c r="F70" s="122"/>
      <c r="G70" s="2"/>
      <c r="H70" s="3"/>
      <c r="I70" s="3"/>
      <c r="J70" s="3"/>
      <c r="K70" s="3"/>
      <c r="L70" s="3"/>
      <c r="M70" s="3"/>
      <c r="N70" s="3"/>
      <c r="O70" s="3"/>
    </row>
    <row r="71" spans="1:15" x14ac:dyDescent="0.25">
      <c r="A71" s="1"/>
      <c r="B71" s="3"/>
      <c r="C71" s="74" t="s">
        <v>148</v>
      </c>
      <c r="D71" s="121"/>
      <c r="E71" s="77" t="s">
        <v>141</v>
      </c>
      <c r="F71" s="123"/>
      <c r="G71" s="2"/>
      <c r="H71" s="3"/>
      <c r="I71" s="3"/>
      <c r="J71" s="3"/>
      <c r="K71" s="3"/>
      <c r="L71" s="3"/>
      <c r="M71" s="3"/>
      <c r="N71" s="3"/>
      <c r="O71" s="3"/>
    </row>
    <row r="72" spans="1:15" x14ac:dyDescent="0.25">
      <c r="A72" s="1"/>
      <c r="B72" s="3"/>
      <c r="C72" s="75" t="s">
        <v>149</v>
      </c>
      <c r="D72" s="118"/>
      <c r="E72" s="78" t="s">
        <v>128</v>
      </c>
      <c r="F72" s="124"/>
      <c r="G72" s="2"/>
      <c r="H72" s="3"/>
      <c r="I72" s="3"/>
      <c r="J72" s="3"/>
      <c r="K72" s="3"/>
      <c r="L72" s="3"/>
      <c r="M72" s="3"/>
      <c r="N72" s="3"/>
      <c r="O72" s="3"/>
    </row>
    <row r="73" spans="1:15" ht="13.8" thickBot="1" x14ac:dyDescent="0.3">
      <c r="A73" s="1"/>
      <c r="B73" s="3"/>
      <c r="C73" s="24" t="s">
        <v>127</v>
      </c>
      <c r="D73" s="116"/>
      <c r="E73" s="14" t="s">
        <v>143</v>
      </c>
      <c r="F73" s="125" t="s">
        <v>145</v>
      </c>
      <c r="G73" s="2"/>
      <c r="H73" s="3"/>
      <c r="I73" s="3"/>
      <c r="J73" s="3"/>
      <c r="K73" s="3"/>
      <c r="L73" s="3"/>
      <c r="M73" s="3"/>
      <c r="N73" s="3"/>
      <c r="O73" s="3"/>
    </row>
    <row r="74" spans="1:15" ht="13.8" thickBot="1" x14ac:dyDescent="0.3">
      <c r="B74" s="3"/>
      <c r="C74" s="3"/>
      <c r="D74" s="3"/>
      <c r="E74" s="3"/>
      <c r="F74" s="2"/>
      <c r="G74" s="2"/>
      <c r="H74" s="3"/>
      <c r="I74" s="3"/>
      <c r="J74" s="3"/>
      <c r="K74" s="3"/>
      <c r="L74" s="3"/>
      <c r="M74" s="3"/>
      <c r="N74" s="3"/>
      <c r="O74" s="3"/>
    </row>
    <row r="75" spans="1:15" ht="13.8" thickBot="1" x14ac:dyDescent="0.3">
      <c r="B75" s="3"/>
      <c r="C75" s="322" t="s">
        <v>146</v>
      </c>
      <c r="D75" s="323"/>
      <c r="E75" s="323"/>
      <c r="F75" s="323"/>
      <c r="G75" s="323"/>
      <c r="H75" s="323"/>
      <c r="I75" s="323"/>
      <c r="J75" s="323"/>
      <c r="K75" s="323"/>
      <c r="L75" s="323"/>
      <c r="M75" s="323"/>
      <c r="N75" s="324"/>
      <c r="O75" s="3"/>
    </row>
    <row r="76" spans="1:15" ht="13.8" thickBot="1" x14ac:dyDescent="0.3">
      <c r="B76" s="3"/>
      <c r="C76" s="259">
        <f t="array" aca="1" ref="C76:N81" ca="1">OFFSET(Equipment!BK9:BV14,MATCH(C13,Equipment!A8:A1997,0)-1,)</f>
        <v>0</v>
      </c>
      <c r="D76" s="260" t="str">
        <f ca="1"/>
        <v>Dmg</v>
      </c>
      <c r="E76" s="261" t="str">
        <f ca="1"/>
        <v>Crit hit</v>
      </c>
      <c r="F76" s="262" t="str">
        <f ca="1"/>
        <v>CR</v>
      </c>
      <c r="G76" s="263" t="str">
        <f ca="1"/>
        <v>Average Dmg</v>
      </c>
      <c r="H76" s="264" t="str">
        <f ca="1"/>
        <v>Atk time</v>
      </c>
      <c r="I76" s="265" t="str">
        <f ca="1"/>
        <v>Cumulated DPS</v>
      </c>
      <c r="J76" s="276" t="str">
        <f ca="1"/>
        <v>HP&gt;80%</v>
      </c>
      <c r="K76" s="277" t="str">
        <f ca="1"/>
        <v>HP&lt;30%</v>
      </c>
      <c r="L76" s="278" t="str">
        <f ca="1"/>
        <v>First 5 sec</v>
      </c>
      <c r="M76" s="279" t="str">
        <f ca="1"/>
        <v>HP&gt;80%</v>
      </c>
      <c r="N76" s="280" t="str">
        <f ca="1"/>
        <v>HP&lt;30%</v>
      </c>
      <c r="O76" s="3"/>
    </row>
    <row r="77" spans="1:15" x14ac:dyDescent="0.25">
      <c r="B77" s="3"/>
      <c r="C77" s="66" t="str">
        <f ca="1"/>
        <v>1st hit 59%</v>
      </c>
      <c r="D77" s="293">
        <f ca="1"/>
        <v>19</v>
      </c>
      <c r="E77" s="294">
        <f ca="1"/>
        <v>25</v>
      </c>
      <c r="F77" s="295">
        <f ca="1"/>
        <v>10</v>
      </c>
      <c r="G77" s="296">
        <f ca="1"/>
        <v>21</v>
      </c>
      <c r="H77" s="297">
        <f ca="1"/>
        <v>0.4</v>
      </c>
      <c r="I77" s="256">
        <f ca="1"/>
        <v>30</v>
      </c>
      <c r="J77" s="281">
        <f ca="1"/>
        <v>30</v>
      </c>
      <c r="K77" s="282">
        <f ca="1"/>
        <v>30</v>
      </c>
      <c r="L77" s="281">
        <f ca="1"/>
        <v>31</v>
      </c>
      <c r="M77" s="283">
        <f ca="1"/>
        <v>31</v>
      </c>
      <c r="N77" s="284">
        <f ca="1"/>
        <v>31</v>
      </c>
      <c r="O77" s="3"/>
    </row>
    <row r="78" spans="1:15" x14ac:dyDescent="0.25">
      <c r="B78" s="3"/>
      <c r="C78" s="67" t="str">
        <f ca="1"/>
        <v>2nd hit 67%</v>
      </c>
      <c r="D78" s="298">
        <f ca="1"/>
        <v>21</v>
      </c>
      <c r="E78" s="299">
        <f ca="1"/>
        <v>27</v>
      </c>
      <c r="F78" s="300">
        <f ca="1"/>
        <v>10</v>
      </c>
      <c r="G78" s="301">
        <f ca="1"/>
        <v>24</v>
      </c>
      <c r="H78" s="302">
        <f ca="1"/>
        <v>0.5</v>
      </c>
      <c r="I78" s="257">
        <f ca="1"/>
        <v>50</v>
      </c>
      <c r="J78" s="285">
        <f ca="1"/>
        <v>50</v>
      </c>
      <c r="K78" s="286">
        <f ca="1"/>
        <v>50</v>
      </c>
      <c r="L78" s="285">
        <f ca="1"/>
        <v>47</v>
      </c>
      <c r="M78" s="287">
        <f ca="1"/>
        <v>47</v>
      </c>
      <c r="N78" s="288">
        <f ca="1"/>
        <v>47</v>
      </c>
      <c r="O78" s="3"/>
    </row>
    <row r="79" spans="1:15" x14ac:dyDescent="0.25">
      <c r="B79" s="3"/>
      <c r="C79" s="67" t="str">
        <f ca="1"/>
        <v>3rd hit 69%</v>
      </c>
      <c r="D79" s="298">
        <f ca="1"/>
        <v>22</v>
      </c>
      <c r="E79" s="299">
        <f ca="1"/>
        <v>29</v>
      </c>
      <c r="F79" s="300">
        <f ca="1"/>
        <v>10</v>
      </c>
      <c r="G79" s="301">
        <f ca="1"/>
        <v>25</v>
      </c>
      <c r="H79" s="302">
        <f ca="1"/>
        <v>0.5</v>
      </c>
      <c r="I79" s="257">
        <f ca="1"/>
        <v>50</v>
      </c>
      <c r="J79" s="285">
        <f ca="1"/>
        <v>50</v>
      </c>
      <c r="K79" s="286">
        <f ca="1"/>
        <v>50</v>
      </c>
      <c r="L79" s="285">
        <f ca="1"/>
        <v>50</v>
      </c>
      <c r="M79" s="287">
        <f ca="1"/>
        <v>50</v>
      </c>
      <c r="N79" s="288">
        <f ca="1"/>
        <v>50</v>
      </c>
      <c r="O79" s="3"/>
    </row>
    <row r="80" spans="1:15" x14ac:dyDescent="0.25">
      <c r="B80" s="3"/>
      <c r="C80" s="67" t="str">
        <f ca="1"/>
        <v>4th hit 88%</v>
      </c>
      <c r="D80" s="298">
        <f ca="1"/>
        <v>28</v>
      </c>
      <c r="E80" s="299">
        <f ca="1"/>
        <v>36</v>
      </c>
      <c r="F80" s="300">
        <f ca="1"/>
        <v>10</v>
      </c>
      <c r="G80" s="301">
        <f ca="1"/>
        <v>32</v>
      </c>
      <c r="H80" s="302">
        <f ca="1"/>
        <v>0.64</v>
      </c>
      <c r="I80" s="257">
        <f ca="1"/>
        <v>50</v>
      </c>
      <c r="J80" s="285">
        <f ca="1"/>
        <v>50</v>
      </c>
      <c r="K80" s="286">
        <f ca="1"/>
        <v>50</v>
      </c>
      <c r="L80" s="285">
        <f ca="1"/>
        <v>49</v>
      </c>
      <c r="M80" s="287">
        <f ca="1"/>
        <v>49</v>
      </c>
      <c r="N80" s="288">
        <f ca="1"/>
        <v>49</v>
      </c>
      <c r="O80" s="3"/>
    </row>
    <row r="81" spans="2:15" ht="13.8" thickBot="1" x14ac:dyDescent="0.3">
      <c r="B81" s="3"/>
      <c r="C81" s="68" t="str">
        <f ca="1"/>
        <v>5th hit 102%</v>
      </c>
      <c r="D81" s="303">
        <f ca="1"/>
        <v>33</v>
      </c>
      <c r="E81" s="304">
        <f ca="1"/>
        <v>43</v>
      </c>
      <c r="F81" s="305">
        <f ca="1"/>
        <v>10</v>
      </c>
      <c r="G81" s="306">
        <f ca="1"/>
        <v>37</v>
      </c>
      <c r="H81" s="307">
        <f ca="1"/>
        <v>0.66</v>
      </c>
      <c r="I81" s="258">
        <f ca="1"/>
        <v>51</v>
      </c>
      <c r="J81" s="289">
        <f ca="1"/>
        <v>51</v>
      </c>
      <c r="K81" s="290">
        <f ca="1"/>
        <v>51</v>
      </c>
      <c r="L81" s="289">
        <f ca="1"/>
        <v>57</v>
      </c>
      <c r="M81" s="291">
        <f ca="1"/>
        <v>57</v>
      </c>
      <c r="N81" s="292">
        <f ca="1"/>
        <v>57</v>
      </c>
      <c r="O81" s="3"/>
    </row>
    <row r="82" spans="2:15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</row>
  </sheetData>
  <sheetProtection sheet="1" objects="1" scenarios="1"/>
  <mergeCells count="14">
    <mergeCell ref="C75:N75"/>
    <mergeCell ref="C30:E30"/>
    <mergeCell ref="G13:I13"/>
    <mergeCell ref="C64:H64"/>
    <mergeCell ref="C2:F2"/>
    <mergeCell ref="C7:F7"/>
    <mergeCell ref="C13:E13"/>
    <mergeCell ref="C11:I11"/>
    <mergeCell ref="G26:I26"/>
    <mergeCell ref="C69:F69"/>
    <mergeCell ref="C43:E43"/>
    <mergeCell ref="C57:E57"/>
    <mergeCell ref="G39:I39"/>
    <mergeCell ref="G52:I52"/>
  </mergeCells>
  <phoneticPr fontId="3" type="noConversion"/>
  <pageMargins left="0.75" right="0.75" top="1" bottom="1" header="0.4921259845" footer="0.4921259845"/>
  <pageSetup paperSize="9" orientation="portrait" horizontalDpi="4294967293" verticalDpi="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C87B05D5-536F-4EFB-996E-A2CDA34634C0}">
          <x14:formula1>
            <xm:f>Equipment!$B$58:$B$60</xm:f>
          </x14:formula1>
          <xm:sqref>C13:E13</xm:sqref>
        </x14:dataValidation>
        <x14:dataValidation type="list" allowBlank="1" showInputMessage="1" showErrorMessage="1" xr:uid="{9D88FB1D-B1A9-45FC-ACDC-1F2AF99161F0}">
          <x14:formula1>
            <xm:f>Equipment!$G$62:$G$65</xm:f>
          </x14:formula1>
          <xm:sqref>C30:E30</xm:sqref>
        </x14:dataValidation>
        <x14:dataValidation type="list" allowBlank="1" showInputMessage="1" showErrorMessage="1" xr:uid="{9A007264-74F5-4E55-A151-FFEE7C9862B7}">
          <x14:formula1>
            <xm:f>Equipment!$Q$22:$Q$24</xm:f>
          </x14:formula1>
          <xm:sqref>C57</xm:sqref>
        </x14:dataValidation>
        <x14:dataValidation type="list" allowBlank="1" showInputMessage="1" showErrorMessage="1" xr:uid="{A59CC5AC-6BCD-4E19-998F-AF1059D3FEC7}">
          <x14:formula1>
            <xm:f>Equipment!$L$49:$L$51</xm:f>
          </x14:formula1>
          <xm:sqref>C43</xm:sqref>
        </x14:dataValidation>
        <x14:dataValidation type="list" allowBlank="1" showInputMessage="1" showErrorMessage="1" xr:uid="{1F241694-6763-4A94-A62F-F5998193ED84}">
          <x14:formula1>
            <xm:f>Equipment!$V$40:$V$42</xm:f>
          </x14:formula1>
          <xm:sqref>G13:I13</xm:sqref>
        </x14:dataValidation>
        <x14:dataValidation type="list" allowBlank="1" showInputMessage="1" showErrorMessage="1" xr:uid="{107890C8-C8E7-46FC-904C-6100BE2944D3}">
          <x14:formula1>
            <xm:f>Equipment!$AA$40:$AA$42</xm:f>
          </x14:formula1>
          <xm:sqref>G26</xm:sqref>
        </x14:dataValidation>
        <x14:dataValidation type="list" allowBlank="1" showInputMessage="1" showErrorMessage="1" xr:uid="{3F78EBCB-6060-4E44-867C-D75329D7307E}">
          <x14:formula1>
            <xm:f>Equipment!$AF$37:$AF$39</xm:f>
          </x14:formula1>
          <xm:sqref>G52</xm:sqref>
        </x14:dataValidation>
        <x14:dataValidation type="list" allowBlank="1" showInputMessage="1" showErrorMessage="1" xr:uid="{FE7A8B4A-2F02-40C6-AB5E-A5D526420932}">
          <x14:formula1>
            <xm:f>Equipment!$AK$80:$AK$86</xm:f>
          </x14:formula1>
          <xm:sqref>G39</xm:sqref>
        </x14:dataValidation>
        <x14:dataValidation type="list" showInputMessage="1" showErrorMessage="1" xr:uid="{D316B1F5-47A2-4BAB-8F8A-B8F2CE179175}">
          <x14:formula1>
            <xm:f>Equipment!$BI$9:$BI$10</xm:f>
          </x14:formula1>
          <xm:sqref>F73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Instructions</vt:lpstr>
      <vt:lpstr>Equipment</vt:lpstr>
      <vt:lpstr>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Corentin</dc:creator>
  <cp:lastModifiedBy>Corentin</cp:lastModifiedBy>
  <dcterms:created xsi:type="dcterms:W3CDTF">2021-07-27T19:12:27Z</dcterms:created>
  <dcterms:modified xsi:type="dcterms:W3CDTF">2021-08-15T19:31:18Z</dcterms:modified>
</cp:coreProperties>
</file>