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YEJJA mohamed\Desktop\stage alkhibra\assainissement\"/>
    </mc:Choice>
  </mc:AlternateContent>
  <bookViews>
    <workbookView minimized="1" xWindow="0" yWindow="0" windowWidth="19200" windowHeight="8025" activeTab="1"/>
  </bookViews>
  <sheets>
    <sheet name="besoin eau potable" sheetId="1" r:id="rId1"/>
    <sheet name="rejet et charge polluante" sheetId="2" r:id="rId2"/>
    <sheet name="Dimensionnement des collecteurs" sheetId="3" r:id="rId3"/>
    <sheet name="SP &amp; conduite de refoulement " sheetId="4" r:id="rId4"/>
    <sheet name="volume de la bache d'aspiration" sheetId="5" r:id="rId5"/>
  </sheets>
  <externalReferences>
    <externalReference r:id="rId6"/>
    <externalReference r:id="rId7"/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3" l="1"/>
  <c r="L11" i="2"/>
  <c r="L16" i="2"/>
  <c r="L13" i="2" l="1"/>
  <c r="D37" i="2"/>
  <c r="D29" i="2"/>
  <c r="D20" i="1"/>
  <c r="D22" i="1"/>
  <c r="D23" i="1"/>
  <c r="C22" i="1"/>
  <c r="C23" i="1"/>
  <c r="D10" i="1"/>
  <c r="D11" i="1" s="1"/>
  <c r="D21" i="1" s="1"/>
  <c r="C10" i="1"/>
  <c r="C11" i="1" s="1"/>
  <c r="F27" i="2" l="1"/>
  <c r="G27" i="2"/>
  <c r="H27" i="2"/>
  <c r="I27" i="2"/>
  <c r="J27" i="2"/>
  <c r="K27" i="2"/>
  <c r="L27" i="2"/>
  <c r="E29" i="2"/>
  <c r="D30" i="2"/>
  <c r="D31" i="2"/>
  <c r="E31" i="2"/>
  <c r="E27" i="2"/>
  <c r="E30" i="2" s="1"/>
  <c r="E30" i="4" l="1"/>
  <c r="F30" i="4"/>
  <c r="G30" i="4"/>
  <c r="H30" i="4"/>
  <c r="I30" i="4"/>
  <c r="J30" i="4"/>
  <c r="K30" i="4"/>
  <c r="L30" i="4"/>
  <c r="M30" i="4"/>
  <c r="N30" i="4"/>
  <c r="D30" i="4"/>
  <c r="G12" i="4"/>
  <c r="E21" i="4"/>
  <c r="F21" i="4"/>
  <c r="G21" i="4"/>
  <c r="H21" i="4"/>
  <c r="I21" i="4"/>
  <c r="J21" i="4"/>
  <c r="K21" i="4"/>
  <c r="L21" i="4"/>
  <c r="M21" i="4"/>
  <c r="N21" i="4"/>
  <c r="D21" i="4"/>
  <c r="H23" i="4"/>
  <c r="I23" i="4"/>
  <c r="J23" i="4"/>
  <c r="K23" i="4"/>
  <c r="L23" i="4"/>
  <c r="M23" i="4"/>
  <c r="N23" i="4"/>
  <c r="D7" i="3"/>
  <c r="E23" i="4" l="1"/>
  <c r="D23" i="4" l="1"/>
  <c r="F23" i="4"/>
  <c r="G23" i="4"/>
  <c r="L35" i="2" l="1"/>
  <c r="K35" i="2"/>
  <c r="J35" i="2"/>
  <c r="I35" i="2"/>
  <c r="H35" i="2"/>
  <c r="G35" i="2"/>
  <c r="F35" i="2"/>
  <c r="E35" i="2"/>
  <c r="D35" i="2"/>
  <c r="D27" i="2"/>
  <c r="L9" i="2"/>
  <c r="K9" i="2"/>
  <c r="K13" i="2" s="1"/>
  <c r="J9" i="2"/>
  <c r="J13" i="2" s="1"/>
  <c r="I9" i="2"/>
  <c r="I13" i="2" s="1"/>
  <c r="H9" i="2"/>
  <c r="H13" i="2" s="1"/>
  <c r="G9" i="2"/>
  <c r="G13" i="2" s="1"/>
  <c r="F9" i="2"/>
  <c r="F13" i="2" s="1"/>
  <c r="E9" i="2"/>
  <c r="E13" i="2" s="1"/>
  <c r="D9" i="2"/>
  <c r="D13" i="2" s="1"/>
  <c r="L8" i="2"/>
  <c r="K8" i="2"/>
  <c r="J8" i="2"/>
  <c r="I8" i="2"/>
  <c r="H8" i="2"/>
  <c r="G8" i="2"/>
  <c r="F8" i="2"/>
  <c r="E8" i="2"/>
  <c r="D8" i="2"/>
  <c r="L7" i="2"/>
  <c r="K7" i="2"/>
  <c r="J7" i="2"/>
  <c r="I7" i="2"/>
  <c r="H7" i="2"/>
  <c r="G7" i="2"/>
  <c r="F7" i="2"/>
  <c r="E7" i="2"/>
  <c r="D7" i="2"/>
  <c r="L6" i="2"/>
  <c r="K6" i="2"/>
  <c r="J6" i="2"/>
  <c r="I6" i="2"/>
  <c r="H6" i="2"/>
  <c r="G6" i="2"/>
  <c r="F6" i="2"/>
  <c r="E6" i="2"/>
  <c r="D6" i="2"/>
  <c r="C6" i="2"/>
  <c r="L5" i="2"/>
  <c r="K5" i="2"/>
  <c r="K11" i="2" s="1"/>
  <c r="J5" i="2"/>
  <c r="J11" i="2" s="1"/>
  <c r="I5" i="2"/>
  <c r="I11" i="2" s="1"/>
  <c r="H5" i="2"/>
  <c r="H11" i="2" s="1"/>
  <c r="G5" i="2"/>
  <c r="G11" i="2" s="1"/>
  <c r="F5" i="2"/>
  <c r="F11" i="2" s="1"/>
  <c r="E5" i="2"/>
  <c r="E11" i="2" s="1"/>
  <c r="D5" i="2"/>
  <c r="D11" i="2" s="1"/>
  <c r="C5" i="2"/>
  <c r="K28" i="1"/>
  <c r="J28" i="1"/>
  <c r="I28" i="1"/>
  <c r="H28" i="1"/>
  <c r="G28" i="1"/>
  <c r="F28" i="1"/>
  <c r="E28" i="1"/>
  <c r="D28" i="1"/>
  <c r="C28" i="1"/>
  <c r="C20" i="1"/>
  <c r="D8" i="1"/>
  <c r="C8" i="1"/>
  <c r="B8" i="1"/>
  <c r="D7" i="1"/>
  <c r="C7" i="1"/>
  <c r="E6" i="1"/>
  <c r="F6" i="1" s="1"/>
  <c r="G6" i="1" l="1"/>
  <c r="F10" i="1"/>
  <c r="F20" i="1" s="1"/>
  <c r="F22" i="1"/>
  <c r="F23" i="1"/>
  <c r="E8" i="1"/>
  <c r="E22" i="1"/>
  <c r="E23" i="1"/>
  <c r="E10" i="1"/>
  <c r="E20" i="1" s="1"/>
  <c r="D39" i="2"/>
  <c r="F31" i="2"/>
  <c r="F39" i="2" s="1"/>
  <c r="F29" i="2"/>
  <c r="F37" i="2" s="1"/>
  <c r="H31" i="2"/>
  <c r="H39" i="2" s="1"/>
  <c r="H29" i="2"/>
  <c r="H37" i="2" s="1"/>
  <c r="J31" i="2"/>
  <c r="J39" i="2" s="1"/>
  <c r="J29" i="2"/>
  <c r="J37" i="2" s="1"/>
  <c r="L31" i="2"/>
  <c r="L39" i="2" s="1"/>
  <c r="L29" i="2"/>
  <c r="L37" i="2" s="1"/>
  <c r="E19" i="2"/>
  <c r="E20" i="2" s="1"/>
  <c r="E14" i="2"/>
  <c r="E15" i="2" s="1"/>
  <c r="G19" i="2"/>
  <c r="G20" i="2" s="1"/>
  <c r="G14" i="2"/>
  <c r="G15" i="2" s="1"/>
  <c r="I19" i="2"/>
  <c r="I20" i="2" s="1"/>
  <c r="I14" i="2"/>
  <c r="I15" i="2" s="1"/>
  <c r="K19" i="2"/>
  <c r="K20" i="2" s="1"/>
  <c r="K14" i="2"/>
  <c r="K15" i="2" s="1"/>
  <c r="D38" i="2"/>
  <c r="F30" i="2"/>
  <c r="F38" i="2" s="1"/>
  <c r="H30" i="2"/>
  <c r="H38" i="2" s="1"/>
  <c r="J30" i="2"/>
  <c r="J38" i="2" s="1"/>
  <c r="L30" i="2"/>
  <c r="L38" i="2" s="1"/>
  <c r="E37" i="2"/>
  <c r="E39" i="2"/>
  <c r="G31" i="2"/>
  <c r="G39" i="2" s="1"/>
  <c r="G29" i="2"/>
  <c r="G37" i="2" s="1"/>
  <c r="I29" i="2"/>
  <c r="I37" i="2" s="1"/>
  <c r="I31" i="2"/>
  <c r="I39" i="2" s="1"/>
  <c r="K31" i="2"/>
  <c r="K39" i="2" s="1"/>
  <c r="K29" i="2"/>
  <c r="K37" i="2" s="1"/>
  <c r="D20" i="2"/>
  <c r="D19" i="2"/>
  <c r="D14" i="2"/>
  <c r="D15" i="2" s="1"/>
  <c r="F14" i="2"/>
  <c r="F15" i="2" s="1"/>
  <c r="F19" i="2"/>
  <c r="F20" i="2" s="1"/>
  <c r="H19" i="2"/>
  <c r="H20" i="2" s="1"/>
  <c r="H14" i="2"/>
  <c r="H15" i="2" s="1"/>
  <c r="J14" i="2"/>
  <c r="J15" i="2" s="1"/>
  <c r="J19" i="2"/>
  <c r="J20" i="2" s="1"/>
  <c r="L19" i="2"/>
  <c r="L20" i="2" s="1"/>
  <c r="L14" i="2"/>
  <c r="L15" i="2" s="1"/>
  <c r="E38" i="2"/>
  <c r="G30" i="2"/>
  <c r="G38" i="2" s="1"/>
  <c r="I30" i="2"/>
  <c r="I38" i="2" s="1"/>
  <c r="K30" i="2"/>
  <c r="K38" i="2" s="1"/>
  <c r="F8" i="1"/>
  <c r="C21" i="1"/>
  <c r="C24" i="1" s="1"/>
  <c r="C17" i="1" s="1"/>
  <c r="E11" i="1" l="1"/>
  <c r="E21" i="1" s="1"/>
  <c r="F11" i="1"/>
  <c r="F21" i="1" s="1"/>
  <c r="G8" i="1"/>
  <c r="G22" i="1"/>
  <c r="G23" i="1"/>
  <c r="G11" i="1"/>
  <c r="G21" i="1" s="1"/>
  <c r="G10" i="1"/>
  <c r="G20" i="1" s="1"/>
  <c r="H6" i="1"/>
  <c r="L21" i="2"/>
  <c r="J21" i="2"/>
  <c r="H21" i="2"/>
  <c r="F21" i="2"/>
  <c r="D21" i="2"/>
  <c r="I40" i="2"/>
  <c r="E40" i="2"/>
  <c r="K16" i="2"/>
  <c r="K17" i="2" s="1"/>
  <c r="I16" i="2"/>
  <c r="I17" i="2" s="1"/>
  <c r="G16" i="2"/>
  <c r="G17" i="2" s="1"/>
  <c r="E16" i="2"/>
  <c r="E17" i="2" s="1"/>
  <c r="L40" i="2"/>
  <c r="J40" i="2"/>
  <c r="H40" i="2"/>
  <c r="F40" i="2"/>
  <c r="D40" i="2"/>
  <c r="L17" i="2"/>
  <c r="J16" i="2"/>
  <c r="J17" i="2" s="1"/>
  <c r="H16" i="2"/>
  <c r="H17" i="2" s="1"/>
  <c r="F16" i="2"/>
  <c r="F17" i="2" s="1"/>
  <c r="D16" i="2"/>
  <c r="D17" i="2" s="1"/>
  <c r="K40" i="2"/>
  <c r="I43" i="2"/>
  <c r="G40" i="2"/>
  <c r="E43" i="2"/>
  <c r="K21" i="2"/>
  <c r="I21" i="2"/>
  <c r="G21" i="2"/>
  <c r="E21" i="2"/>
  <c r="H43" i="2"/>
  <c r="C31" i="1"/>
  <c r="D24" i="1"/>
  <c r="E24" i="1"/>
  <c r="I6" i="1" l="1"/>
  <c r="H10" i="1"/>
  <c r="H20" i="1" s="1"/>
  <c r="H22" i="1"/>
  <c r="H23" i="1"/>
  <c r="H8" i="1"/>
  <c r="E17" i="1"/>
  <c r="E31" i="1"/>
  <c r="D17" i="1"/>
  <c r="D31" i="1"/>
  <c r="G24" i="1"/>
  <c r="H42" i="2"/>
  <c r="K41" i="2"/>
  <c r="D43" i="2"/>
  <c r="L43" i="2"/>
  <c r="K42" i="2"/>
  <c r="J41" i="2"/>
  <c r="J42" i="2"/>
  <c r="I41" i="2"/>
  <c r="D9" i="4"/>
  <c r="D3" i="3"/>
  <c r="F43" i="2"/>
  <c r="J43" i="2"/>
  <c r="F41" i="2"/>
  <c r="E42" i="2"/>
  <c r="G23" i="2"/>
  <c r="G24" i="2" s="1"/>
  <c r="G22" i="2"/>
  <c r="K23" i="2"/>
  <c r="K24" i="2" s="1"/>
  <c r="K22" i="2"/>
  <c r="D41" i="2"/>
  <c r="H41" i="2"/>
  <c r="L41" i="2"/>
  <c r="K43" i="2"/>
  <c r="F22" i="2"/>
  <c r="F23" i="2"/>
  <c r="F24" i="2" s="1"/>
  <c r="J22" i="2"/>
  <c r="J23" i="2"/>
  <c r="J24" i="2" s="1"/>
  <c r="E23" i="2"/>
  <c r="E24" i="2" s="1"/>
  <c r="E22" i="2"/>
  <c r="I23" i="2"/>
  <c r="I24" i="2" s="1"/>
  <c r="I22" i="2"/>
  <c r="D42" i="2"/>
  <c r="L42" i="2"/>
  <c r="G41" i="2"/>
  <c r="G42" i="2"/>
  <c r="F42" i="2"/>
  <c r="E41" i="2"/>
  <c r="G43" i="2"/>
  <c r="D22" i="2"/>
  <c r="D23" i="2"/>
  <c r="D24" i="2" s="1"/>
  <c r="H22" i="2"/>
  <c r="H23" i="2"/>
  <c r="H24" i="2" s="1"/>
  <c r="L22" i="2"/>
  <c r="L23" i="2"/>
  <c r="L24" i="2" s="1"/>
  <c r="I42" i="2"/>
  <c r="F24" i="1"/>
  <c r="C35" i="1"/>
  <c r="C18" i="1" s="1"/>
  <c r="C32" i="1"/>
  <c r="C33" i="1"/>
  <c r="F17" i="1" l="1"/>
  <c r="F31" i="1"/>
  <c r="D35" i="1"/>
  <c r="D32" i="1"/>
  <c r="D33" i="1"/>
  <c r="E35" i="1"/>
  <c r="E18" i="1" s="1"/>
  <c r="E32" i="1"/>
  <c r="E33" i="1"/>
  <c r="G17" i="1"/>
  <c r="G31" i="1"/>
  <c r="H11" i="1"/>
  <c r="H21" i="1" s="1"/>
  <c r="H24" i="1" s="1"/>
  <c r="I8" i="1"/>
  <c r="I22" i="1"/>
  <c r="I23" i="1"/>
  <c r="I10" i="1"/>
  <c r="I20" i="1" s="1"/>
  <c r="J6" i="1"/>
  <c r="B3" i="5"/>
  <c r="B6" i="5" s="1"/>
  <c r="B8" i="5" s="1"/>
  <c r="E20" i="4"/>
  <c r="G20" i="4"/>
  <c r="G22" i="4" s="1"/>
  <c r="G24" i="4" s="1"/>
  <c r="I20" i="4"/>
  <c r="I22" i="4" s="1"/>
  <c r="I24" i="4" s="1"/>
  <c r="K20" i="4"/>
  <c r="K22" i="4" s="1"/>
  <c r="K24" i="4" s="1"/>
  <c r="M20" i="4"/>
  <c r="M22" i="4" s="1"/>
  <c r="M24" i="4" s="1"/>
  <c r="F20" i="4"/>
  <c r="F22" i="4" s="1"/>
  <c r="F24" i="4" s="1"/>
  <c r="H20" i="4"/>
  <c r="H22" i="4" s="1"/>
  <c r="H24" i="4" s="1"/>
  <c r="J20" i="4"/>
  <c r="J22" i="4" s="1"/>
  <c r="J24" i="4" s="1"/>
  <c r="L20" i="4"/>
  <c r="L22" i="4" s="1"/>
  <c r="L24" i="4" s="1"/>
  <c r="N20" i="4"/>
  <c r="N22" i="4" s="1"/>
  <c r="N24" i="4" s="1"/>
  <c r="D20" i="4"/>
  <c r="D22" i="4" s="1"/>
  <c r="D24" i="4" s="1"/>
  <c r="D8" i="4"/>
  <c r="D7" i="4" s="1"/>
  <c r="E22" i="4"/>
  <c r="E24" i="4" s="1"/>
  <c r="C37" i="1"/>
  <c r="C36" i="1"/>
  <c r="I11" i="1" l="1"/>
  <c r="I21" i="1" s="1"/>
  <c r="H17" i="1"/>
  <c r="H31" i="1"/>
  <c r="J10" i="1"/>
  <c r="J20" i="1" s="1"/>
  <c r="J22" i="1"/>
  <c r="J23" i="1"/>
  <c r="K6" i="1"/>
  <c r="J8" i="1"/>
  <c r="D36" i="1"/>
  <c r="D37" i="1"/>
  <c r="D18" i="1"/>
  <c r="I24" i="1"/>
  <c r="G35" i="1"/>
  <c r="G32" i="1"/>
  <c r="G33" i="1"/>
  <c r="E36" i="1"/>
  <c r="E37" i="1"/>
  <c r="F35" i="1"/>
  <c r="F32" i="1"/>
  <c r="F33" i="1"/>
  <c r="F26" i="4"/>
  <c r="F27" i="4" s="1"/>
  <c r="F29" i="4" s="1"/>
  <c r="F31" i="4" s="1"/>
  <c r="E26" i="4"/>
  <c r="E27" i="4" s="1"/>
  <c r="E29" i="4" s="1"/>
  <c r="E31" i="4" s="1"/>
  <c r="G26" i="4"/>
  <c r="G27" i="4" s="1"/>
  <c r="G29" i="4" s="1"/>
  <c r="G31" i="4" s="1"/>
  <c r="L26" i="4"/>
  <c r="H26" i="4"/>
  <c r="M26" i="4"/>
  <c r="I26" i="4"/>
  <c r="D26" i="4"/>
  <c r="D27" i="4" s="1"/>
  <c r="D29" i="4" s="1"/>
  <c r="D31" i="4" s="1"/>
  <c r="N26" i="4"/>
  <c r="J26" i="4"/>
  <c r="K26" i="4"/>
  <c r="J11" i="1" l="1"/>
  <c r="J21" i="1" s="1"/>
  <c r="F36" i="1"/>
  <c r="F37" i="1"/>
  <c r="I17" i="1"/>
  <c r="I31" i="1"/>
  <c r="H35" i="1"/>
  <c r="H32" i="1"/>
  <c r="H33" i="1"/>
  <c r="F18" i="1"/>
  <c r="G36" i="1"/>
  <c r="G37" i="1"/>
  <c r="G18" i="1"/>
  <c r="K8" i="1"/>
  <c r="K22" i="1"/>
  <c r="K23" i="1"/>
  <c r="K10" i="1"/>
  <c r="K20" i="1" s="1"/>
  <c r="J24" i="1"/>
  <c r="J34" i="4"/>
  <c r="J35" i="4" s="1"/>
  <c r="J37" i="4" s="1"/>
  <c r="J27" i="4"/>
  <c r="J29" i="4" s="1"/>
  <c r="J31" i="4" s="1"/>
  <c r="M34" i="4"/>
  <c r="M35" i="4" s="1"/>
  <c r="M39" i="4" s="1"/>
  <c r="M27" i="4"/>
  <c r="M29" i="4" s="1"/>
  <c r="M31" i="4" s="1"/>
  <c r="L34" i="4"/>
  <c r="L35" i="4" s="1"/>
  <c r="L37" i="4" s="1"/>
  <c r="L27" i="4"/>
  <c r="L29" i="4" s="1"/>
  <c r="L31" i="4" s="1"/>
  <c r="K34" i="4"/>
  <c r="K35" i="4" s="1"/>
  <c r="K39" i="4" s="1"/>
  <c r="K27" i="4"/>
  <c r="K29" i="4" s="1"/>
  <c r="K31" i="4" s="1"/>
  <c r="N34" i="4"/>
  <c r="N35" i="4" s="1"/>
  <c r="N37" i="4" s="1"/>
  <c r="N27" i="4"/>
  <c r="N29" i="4" s="1"/>
  <c r="N31" i="4" s="1"/>
  <c r="I34" i="4"/>
  <c r="I35" i="4" s="1"/>
  <c r="I39" i="4" s="1"/>
  <c r="I27" i="4"/>
  <c r="I29" i="4" s="1"/>
  <c r="I31" i="4" s="1"/>
  <c r="H34" i="4"/>
  <c r="H35" i="4" s="1"/>
  <c r="H37" i="4" s="1"/>
  <c r="H27" i="4"/>
  <c r="H29" i="4" s="1"/>
  <c r="H31" i="4" s="1"/>
  <c r="J39" i="4"/>
  <c r="M37" i="4"/>
  <c r="L39" i="4"/>
  <c r="I37" i="4"/>
  <c r="G34" i="4"/>
  <c r="G35" i="4" s="1"/>
  <c r="F34" i="4"/>
  <c r="F35" i="4" s="1"/>
  <c r="E34" i="4"/>
  <c r="E35" i="4" s="1"/>
  <c r="D34" i="4"/>
  <c r="D35" i="4" s="1"/>
  <c r="I35" i="1" l="1"/>
  <c r="I32" i="1"/>
  <c r="I33" i="1"/>
  <c r="J17" i="1"/>
  <c r="J31" i="1"/>
  <c r="K11" i="1"/>
  <c r="K21" i="1" s="1"/>
  <c r="K24" i="1" s="1"/>
  <c r="H36" i="1"/>
  <c r="H37" i="1"/>
  <c r="H18" i="1"/>
  <c r="I41" i="4"/>
  <c r="M41" i="4"/>
  <c r="K37" i="4"/>
  <c r="K41" i="4" s="1"/>
  <c r="H39" i="4"/>
  <c r="N39" i="4"/>
  <c r="N41" i="4" s="1"/>
  <c r="L41" i="4"/>
  <c r="H41" i="4"/>
  <c r="J41" i="4"/>
  <c r="F39" i="4"/>
  <c r="F37" i="4"/>
  <c r="D39" i="4"/>
  <c r="D37" i="4"/>
  <c r="G39" i="4"/>
  <c r="G37" i="4"/>
  <c r="E39" i="4"/>
  <c r="E37" i="4"/>
  <c r="K17" i="1" l="1"/>
  <c r="K31" i="1"/>
  <c r="J35" i="1"/>
  <c r="J32" i="1"/>
  <c r="J33" i="1"/>
  <c r="I36" i="1"/>
  <c r="I37" i="1"/>
  <c r="I18" i="1"/>
  <c r="G41" i="4"/>
  <c r="D41" i="4"/>
  <c r="F41" i="4"/>
  <c r="E41" i="4"/>
  <c r="K35" i="1" l="1"/>
  <c r="K32" i="1"/>
  <c r="K33" i="1"/>
  <c r="J36" i="1"/>
  <c r="J37" i="1"/>
  <c r="J18" i="1"/>
  <c r="K36" i="1" l="1"/>
  <c r="K37" i="1"/>
  <c r="K18" i="1"/>
</calcChain>
</file>

<file path=xl/sharedStrings.xml><?xml version="1.0" encoding="utf-8"?>
<sst xmlns="http://schemas.openxmlformats.org/spreadsheetml/2006/main" count="195" uniqueCount="141">
  <si>
    <t>BESOINS EN EAU POTABLE DE LA VILLE DE SIDI ALLAL BAHRAOUI</t>
  </si>
  <si>
    <t>PARAMETRES</t>
  </si>
  <si>
    <t>STATISTIQUES</t>
  </si>
  <si>
    <t>PREVISIONS</t>
  </si>
  <si>
    <t>POPULATION en hab</t>
  </si>
  <si>
    <t xml:space="preserve">Population </t>
  </si>
  <si>
    <t>Taux d'accr.de la pop. (%)</t>
  </si>
  <si>
    <t>-</t>
  </si>
  <si>
    <t xml:space="preserve">Population totale </t>
  </si>
  <si>
    <t>Taux de branchement (%)</t>
  </si>
  <si>
    <t>Population branchée</t>
  </si>
  <si>
    <t>Population non branchée</t>
  </si>
  <si>
    <t>DOTATION (l/j/hab.)</t>
  </si>
  <si>
    <t>Administrative</t>
  </si>
  <si>
    <t>Industrie</t>
  </si>
  <si>
    <t>NETTE GLOBALE</t>
  </si>
  <si>
    <t>BRUTE GLOBALE</t>
  </si>
  <si>
    <t>CONSOMMATION (m3/j)</t>
  </si>
  <si>
    <t>TOTALE</t>
  </si>
  <si>
    <t>RENDEMENTS (%)</t>
  </si>
  <si>
    <t>Réseau</t>
  </si>
  <si>
    <t>Adduction</t>
  </si>
  <si>
    <t>GLOBAL</t>
  </si>
  <si>
    <t>BESOINS EN EAU</t>
  </si>
  <si>
    <t>A LA DISTRIBUTION</t>
  </si>
  <si>
    <t>Moyens (m3/j)</t>
  </si>
  <si>
    <t>Moyens (l/s)</t>
  </si>
  <si>
    <t>Pointe (l/s)</t>
  </si>
  <si>
    <t>A LA PRODUCTION</t>
  </si>
  <si>
    <t xml:space="preserve">Débit d'eaux usées et évolution de la charge polluante de la ville de Sidi Allal El Bahraoui </t>
  </si>
  <si>
    <t>Désignation</t>
  </si>
  <si>
    <t>Unité</t>
  </si>
  <si>
    <t xml:space="preserve">Population Totale    </t>
  </si>
  <si>
    <t>hab</t>
  </si>
  <si>
    <t xml:space="preserve">Taux d'accroiossement </t>
  </si>
  <si>
    <t>%</t>
  </si>
  <si>
    <t xml:space="preserve">Taux de branchement au réseau AEP   </t>
  </si>
  <si>
    <t>Dotation nette globale</t>
  </si>
  <si>
    <t>l/hab/j</t>
  </si>
  <si>
    <t xml:space="preserve">consommation totale en AEP  </t>
  </si>
  <si>
    <t>m3/j</t>
  </si>
  <si>
    <t xml:space="preserve">Taux de raccordement au réseau d'assainissement  </t>
  </si>
  <si>
    <t xml:space="preserve">Population raccordée à l'égout    </t>
  </si>
  <si>
    <t>Taux de retour à l'égout</t>
  </si>
  <si>
    <t xml:space="preserve"> Débit moyen des eaux usées </t>
  </si>
  <si>
    <t xml:space="preserve"> Eaux parasites (10% du débit moyen)</t>
  </si>
  <si>
    <t>l/s</t>
  </si>
  <si>
    <t xml:space="preserve"> Débit moyen total des eaux usées </t>
  </si>
  <si>
    <t xml:space="preserve"> Coefficient de pointe journalier</t>
  </si>
  <si>
    <t xml:space="preserve"> Coefficient de pointe horaire</t>
  </si>
  <si>
    <t xml:space="preserve"> Débit de pointe des eaux usées</t>
  </si>
  <si>
    <t xml:space="preserve"> Débit total de pointe des eaux usées</t>
  </si>
  <si>
    <t>m3/h</t>
  </si>
  <si>
    <t xml:space="preserve"> Débit total de pointe des eaux usées en temps de pluie</t>
  </si>
  <si>
    <t>m3/s</t>
  </si>
  <si>
    <t xml:space="preserve">Charge polluante domestique </t>
  </si>
  <si>
    <t xml:space="preserve">  - Charge spécifique  DBO5</t>
  </si>
  <si>
    <t>g/hab/j</t>
  </si>
  <si>
    <t xml:space="preserve">  - Charge spécifique  DCO</t>
  </si>
  <si>
    <t xml:space="preserve">  - Charge spécifique  MES</t>
  </si>
  <si>
    <t xml:space="preserve">  - Charge journalière de DBO5</t>
  </si>
  <si>
    <t>Kg/j</t>
  </si>
  <si>
    <t xml:space="preserve">  - Charge journalière de DCO</t>
  </si>
  <si>
    <t xml:space="preserve">  - Charge journalière de MES</t>
  </si>
  <si>
    <t xml:space="preserve">Charge polluante abattoir </t>
  </si>
  <si>
    <t xml:space="preserve">  - Nbr de tetes abattus par j </t>
  </si>
  <si>
    <t>tete</t>
  </si>
  <si>
    <t>g/tete/j</t>
  </si>
  <si>
    <t xml:space="preserve">Charge et concentration polluante totales </t>
  </si>
  <si>
    <t xml:space="preserve">  - Nombre d'equivalent habitant</t>
  </si>
  <si>
    <t>EH</t>
  </si>
  <si>
    <t xml:space="preserve">  - Concentration  en DBO5</t>
  </si>
  <si>
    <t>mg/l</t>
  </si>
  <si>
    <t xml:space="preserve">  - Concentration  en DCO</t>
  </si>
  <si>
    <t xml:space="preserve">  - Concentration  en MES</t>
  </si>
  <si>
    <t xml:space="preserve">calcul du diamètre </t>
  </si>
  <si>
    <t>formule MANNING STRIKLER</t>
  </si>
  <si>
    <t>section (m2)</t>
  </si>
  <si>
    <t>Ryon hydraulique (m)</t>
  </si>
  <si>
    <t>1) Calcul du débit de la SP</t>
  </si>
  <si>
    <t>Linèaire AB</t>
  </si>
  <si>
    <t>ml</t>
  </si>
  <si>
    <t>Débit de SP</t>
  </si>
  <si>
    <t>2) Calcul du diamètre économique de la conduite AB</t>
  </si>
  <si>
    <t>Paramètre</t>
  </si>
  <si>
    <t>d1</t>
  </si>
  <si>
    <t>d2</t>
  </si>
  <si>
    <t>d3</t>
  </si>
  <si>
    <t>d4</t>
  </si>
  <si>
    <t>mm</t>
  </si>
  <si>
    <t>Coût du mètre linéaire</t>
  </si>
  <si>
    <t>dh</t>
  </si>
  <si>
    <t>Vitesse</t>
  </si>
  <si>
    <t>m/s</t>
  </si>
  <si>
    <t>PDC</t>
  </si>
  <si>
    <t>m</t>
  </si>
  <si>
    <t>Dénivelé</t>
  </si>
  <si>
    <t>Hmt</t>
  </si>
  <si>
    <t>Puissance</t>
  </si>
  <si>
    <t>kw</t>
  </si>
  <si>
    <t>Energie annuelle</t>
  </si>
  <si>
    <t>V(m3)</t>
  </si>
  <si>
    <t>Q(l/s)</t>
  </si>
  <si>
    <t>n</t>
  </si>
  <si>
    <t>Z</t>
  </si>
  <si>
    <t>Hauteur minimale(m)</t>
  </si>
  <si>
    <t>SECTION (m2)</t>
  </si>
  <si>
    <t>Z amont</t>
  </si>
  <si>
    <t>Z aval</t>
  </si>
  <si>
    <t>denevle</t>
  </si>
  <si>
    <t>bache d'aspiration -STEP:</t>
  </si>
  <si>
    <t>m3/an</t>
  </si>
  <si>
    <t>DH</t>
  </si>
  <si>
    <t>DH/KW</t>
  </si>
  <si>
    <t>cout entretien préventif</t>
  </si>
  <si>
    <t>Cout equipement unitaire SP</t>
  </si>
  <si>
    <t>Cout equipement total SP</t>
  </si>
  <si>
    <t>cout Total</t>
  </si>
  <si>
    <t>Dimensionnement de la Station de pompage et la conduite refoulement</t>
  </si>
  <si>
    <t>cout du GC (30%)</t>
  </si>
  <si>
    <t>landa (k=.5)</t>
  </si>
  <si>
    <t>diametre interne</t>
  </si>
  <si>
    <t>rendement</t>
  </si>
  <si>
    <t>Conduite D ext</t>
  </si>
  <si>
    <t>Mkwh/an</t>
  </si>
  <si>
    <t xml:space="preserve">TEMPS DE FONCTIONNEMENT </t>
  </si>
  <si>
    <t>H/J</t>
  </si>
  <si>
    <t>Cout d'energie</t>
  </si>
  <si>
    <t>DH/Kwh</t>
  </si>
  <si>
    <t>MDH</t>
  </si>
  <si>
    <t>cout annuel d'energie (ce)</t>
  </si>
  <si>
    <t>Mdh</t>
  </si>
  <si>
    <t>SOMME</t>
  </si>
  <si>
    <t>coût de conduite (CC)</t>
  </si>
  <si>
    <t>CEA</t>
  </si>
  <si>
    <t xml:space="preserve">coefficient de M&amp;S </t>
  </si>
  <si>
    <t>m/m</t>
  </si>
  <si>
    <t>Pente (!! Minimale)</t>
  </si>
  <si>
    <t xml:space="preserve">DIAMETRE minimal </t>
  </si>
  <si>
    <t>Débit du pointe</t>
  </si>
  <si>
    <t>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</si>
</sst>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€_-;\-* #,##0.00\ _€_-;_-* &quot;-&quot;??\ _€_-;_-@_-"/>
    <numFmt numFmtId="164" formatCode="0.0%"/>
    <numFmt numFmtId="165" formatCode="0.0"/>
    <numFmt numFmtId="166" formatCode="0.000"/>
    <numFmt numFmtId="167" formatCode="0.0000"/>
    <numFmt numFmtId="168" formatCode="0.00000"/>
    <numFmt numFmtId="169" formatCode="General_)"/>
    <numFmt numFmtId="170" formatCode="0_)"/>
    <numFmt numFmtId="171" formatCode="_-* #,##0.0000\ _€_-;\-* #,##0.00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b/>
      <i/>
      <sz val="12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u/>
      <sz val="11"/>
      <name val="Times New Roman"/>
      <family val="1"/>
    </font>
    <font>
      <b/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6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ourier"/>
      <family val="3"/>
    </font>
    <font>
      <b/>
      <sz val="9"/>
      <name val="Arial"/>
      <family val="2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i/>
      <u/>
      <sz val="12"/>
      <color theme="4" tint="-0.249977111117893"/>
      <name val="Times New Roman"/>
      <family val="1"/>
    </font>
    <font>
      <b/>
      <sz val="12"/>
      <name val="Arial"/>
      <family val="2"/>
    </font>
    <font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3" fillId="2" borderId="1" xfId="2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/>
    </xf>
    <xf numFmtId="9" fontId="3" fillId="0" borderId="1" xfId="2" applyFont="1" applyFill="1" applyBorder="1" applyAlignment="1">
      <alignment horizontal="center" vertical="center"/>
    </xf>
    <xf numFmtId="9" fontId="3" fillId="2" borderId="1" xfId="2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64" fontId="3" fillId="4" borderId="1" xfId="2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18" fillId="7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1" fontId="19" fillId="0" borderId="2" xfId="1" applyNumberFormat="1" applyFont="1" applyBorder="1" applyAlignment="1">
      <alignment horizontal="center"/>
    </xf>
    <xf numFmtId="1" fontId="19" fillId="0" borderId="1" xfId="1" applyNumberFormat="1" applyFont="1" applyBorder="1" applyAlignment="1">
      <alignment horizontal="center"/>
    </xf>
    <xf numFmtId="1" fontId="19" fillId="0" borderId="4" xfId="1" applyNumberFormat="1" applyFont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165" fontId="19" fillId="2" borderId="2" xfId="0" applyNumberFormat="1" applyFont="1" applyFill="1" applyBorder="1" applyAlignment="1">
      <alignment horizontal="center"/>
    </xf>
    <xf numFmtId="168" fontId="19" fillId="2" borderId="2" xfId="0" applyNumberFormat="1" applyFont="1" applyFill="1" applyBorder="1" applyAlignment="1">
      <alignment horizontal="center"/>
    </xf>
    <xf numFmtId="168" fontId="19" fillId="2" borderId="1" xfId="0" applyNumberFormat="1" applyFont="1" applyFill="1" applyBorder="1" applyAlignment="1">
      <alignment horizontal="center"/>
    </xf>
    <xf numFmtId="168" fontId="19" fillId="2" borderId="4" xfId="0" applyNumberFormat="1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1" fontId="19" fillId="0" borderId="2" xfId="0" applyNumberFormat="1" applyFont="1" applyBorder="1" applyAlignment="1">
      <alignment horizontal="center"/>
    </xf>
    <xf numFmtId="1" fontId="19" fillId="0" borderId="4" xfId="0" applyNumberFormat="1" applyFont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168" fontId="19" fillId="9" borderId="2" xfId="0" applyNumberFormat="1" applyFont="1" applyFill="1" applyBorder="1" applyAlignment="1">
      <alignment horizontal="center"/>
    </xf>
    <xf numFmtId="168" fontId="19" fillId="9" borderId="1" xfId="0" applyNumberFormat="1" applyFont="1" applyFill="1" applyBorder="1" applyAlignment="1">
      <alignment horizontal="center"/>
    </xf>
    <xf numFmtId="168" fontId="19" fillId="9" borderId="4" xfId="0" applyNumberFormat="1" applyFont="1" applyFill="1" applyBorder="1" applyAlignment="1">
      <alignment horizontal="center"/>
    </xf>
    <xf numFmtId="167" fontId="19" fillId="2" borderId="2" xfId="0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 applyProtection="1">
      <alignment horizontal="center" vertical="center"/>
      <protection locked="0"/>
    </xf>
    <xf numFmtId="165" fontId="21" fillId="0" borderId="1" xfId="0" applyNumberFormat="1" applyFont="1" applyFill="1" applyBorder="1" applyAlignment="1" applyProtection="1">
      <alignment horizontal="center" vertical="center"/>
      <protection locked="0"/>
    </xf>
    <xf numFmtId="169" fontId="22" fillId="0" borderId="1" xfId="0" applyNumberFormat="1" applyFont="1" applyFill="1" applyBorder="1" applyAlignment="1" applyProtection="1">
      <alignment horizontal="center"/>
      <protection locked="0"/>
    </xf>
    <xf numFmtId="170" fontId="23" fillId="0" borderId="1" xfId="0" applyNumberFormat="1" applyFont="1" applyFill="1" applyBorder="1" applyAlignment="1" applyProtection="1">
      <alignment horizontal="center"/>
      <protection locked="0"/>
    </xf>
    <xf numFmtId="171" fontId="19" fillId="7" borderId="2" xfId="1" applyNumberFormat="1" applyFont="1" applyFill="1" applyBorder="1" applyAlignment="1">
      <alignment horizontal="center"/>
    </xf>
    <xf numFmtId="171" fontId="0" fillId="0" borderId="0" xfId="0" applyNumberFormat="1" applyAlignment="1">
      <alignment horizontal="center"/>
    </xf>
    <xf numFmtId="0" fontId="4" fillId="0" borderId="9" xfId="0" applyFont="1" applyBorder="1" applyAlignment="1"/>
    <xf numFmtId="0" fontId="3" fillId="0" borderId="3" xfId="0" applyFont="1" applyBorder="1" applyAlignment="1">
      <alignment horizontal="center"/>
    </xf>
    <xf numFmtId="1" fontId="3" fillId="10" borderId="1" xfId="0" applyNumberFormat="1" applyFont="1" applyFill="1" applyBorder="1" applyAlignment="1">
      <alignment horizontal="center" vertical="center" wrapText="1" readingOrder="2"/>
    </xf>
    <xf numFmtId="3" fontId="3" fillId="10" borderId="1" xfId="0" applyNumberFormat="1" applyFont="1" applyFill="1" applyBorder="1" applyAlignment="1">
      <alignment horizontal="center" vertical="center"/>
    </xf>
    <xf numFmtId="164" fontId="3" fillId="10" borderId="1" xfId="2" applyNumberFormat="1" applyFont="1" applyFill="1" applyBorder="1" applyAlignment="1">
      <alignment horizontal="center" vertical="center"/>
    </xf>
    <xf numFmtId="1" fontId="3" fillId="10" borderId="1" xfId="0" applyNumberFormat="1" applyFont="1" applyFill="1" applyBorder="1" applyAlignment="1">
      <alignment horizontal="center" vertical="center"/>
    </xf>
    <xf numFmtId="1" fontId="3" fillId="10" borderId="1" xfId="0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4" fillId="0" borderId="1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24" fillId="0" borderId="7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3" fillId="11" borderId="6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3" fontId="3" fillId="11" borderId="1" xfId="0" applyNumberFormat="1" applyFont="1" applyFill="1" applyBorder="1" applyAlignment="1">
      <alignment horizontal="center" vertical="center"/>
    </xf>
    <xf numFmtId="164" fontId="3" fillId="11" borderId="1" xfId="2" applyNumberFormat="1" applyFont="1" applyFill="1" applyBorder="1" applyAlignment="1">
      <alignment horizontal="center" vertical="center"/>
    </xf>
    <xf numFmtId="1" fontId="6" fillId="11" borderId="1" xfId="0" applyNumberFormat="1" applyFont="1" applyFill="1" applyBorder="1" applyAlignment="1">
      <alignment horizontal="center"/>
    </xf>
    <xf numFmtId="9" fontId="3" fillId="11" borderId="1" xfId="2" applyFont="1" applyFill="1" applyBorder="1" applyAlignment="1">
      <alignment horizontal="center" vertical="center"/>
    </xf>
    <xf numFmtId="1" fontId="3" fillId="11" borderId="1" xfId="0" applyNumberFormat="1" applyFont="1" applyFill="1" applyBorder="1" applyAlignment="1">
      <alignment horizontal="center"/>
    </xf>
    <xf numFmtId="1" fontId="3" fillId="11" borderId="1" xfId="0" applyNumberFormat="1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9" fontId="14" fillId="4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65" fontId="15" fillId="0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/>
    </xf>
    <xf numFmtId="1" fontId="6" fillId="12" borderId="1" xfId="0" applyNumberFormat="1" applyFont="1" applyFill="1" applyBorder="1" applyAlignment="1">
      <alignment horizontal="center" vertical="center"/>
    </xf>
    <xf numFmtId="166" fontId="14" fillId="12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/>
    </xf>
    <xf numFmtId="1" fontId="14" fillId="11" borderId="1" xfId="0" applyNumberFormat="1" applyFont="1" applyFill="1" applyBorder="1" applyAlignment="1">
      <alignment horizontal="center" vertical="center"/>
    </xf>
    <xf numFmtId="9" fontId="14" fillId="11" borderId="1" xfId="0" applyNumberFormat="1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165" fontId="15" fillId="11" borderId="1" xfId="0" applyNumberFormat="1" applyFont="1" applyFill="1" applyBorder="1" applyAlignment="1">
      <alignment horizontal="center" vertical="center"/>
    </xf>
    <xf numFmtId="2" fontId="14" fillId="11" borderId="1" xfId="0" applyNumberFormat="1" applyFont="1" applyFill="1" applyBorder="1" applyAlignment="1">
      <alignment horizontal="center" vertical="center"/>
    </xf>
    <xf numFmtId="165" fontId="14" fillId="11" borderId="1" xfId="0" applyNumberFormat="1" applyFont="1" applyFill="1" applyBorder="1" applyAlignment="1">
      <alignment horizontal="center" vertical="center"/>
    </xf>
    <xf numFmtId="1" fontId="6" fillId="11" borderId="1" xfId="0" applyNumberFormat="1" applyFont="1" applyFill="1" applyBorder="1" applyAlignment="1">
      <alignment horizontal="center" vertical="center"/>
    </xf>
    <xf numFmtId="166" fontId="14" fillId="11" borderId="1" xfId="0" applyNumberFormat="1" applyFont="1" applyFill="1" applyBorder="1" applyAlignment="1">
      <alignment horizontal="center" vertical="center"/>
    </xf>
    <xf numFmtId="1" fontId="15" fillId="11" borderId="1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9" fontId="14" fillId="0" borderId="6" xfId="0" applyNumberFormat="1" applyFont="1" applyFill="1" applyBorder="1" applyAlignment="1">
      <alignment horizontal="center" vertical="center"/>
    </xf>
    <xf numFmtId="9" fontId="14" fillId="0" borderId="17" xfId="0" applyNumberFormat="1" applyFont="1" applyFill="1" applyBorder="1" applyAlignment="1">
      <alignment horizontal="center" vertical="center"/>
    </xf>
    <xf numFmtId="9" fontId="14" fillId="0" borderId="5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" fontId="15" fillId="0" borderId="6" xfId="0" applyNumberFormat="1" applyFont="1" applyFill="1" applyBorder="1" applyAlignment="1">
      <alignment horizontal="center" vertical="center"/>
    </xf>
    <xf numFmtId="1" fontId="15" fillId="0" borderId="17" xfId="0" applyNumberFormat="1" applyFont="1" applyFill="1" applyBorder="1" applyAlignment="1">
      <alignment horizontal="center" vertical="center"/>
    </xf>
    <xf numFmtId="1" fontId="15" fillId="0" borderId="5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</cellXfs>
  <cellStyles count="3">
    <cellStyle name="Milliers" xfId="1" builtinId="3"/>
    <cellStyle name="Normal" xfId="0" builtinId="0"/>
    <cellStyle name="Pourcentag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666750</xdr:colOff>
      <xdr:row>0</xdr:row>
      <xdr:rowOff>153577</xdr:rowOff>
    </xdr:from>
    <xdr:to>
      <xdr:col>10</xdr:col>
      <xdr:colOff>438150</xdr:colOff>
      <xdr:row>12</xdr:row>
      <xdr:rowOff>180457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659E53-ED89-4E47-A9B2-8A190831B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8325" y="153577"/>
          <a:ext cx="4343400" cy="193188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15</xdr:col>
      <xdr:colOff>199048</xdr:colOff>
      <xdr:row>22</xdr:row>
      <xdr:rowOff>95119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A71F2BC-75E8-40D8-AA3D-114E81173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3575" y="2857500"/>
          <a:ext cx="7819048" cy="10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100693</xdr:colOff>
      <xdr:row>6</xdr:row>
      <xdr:rowOff>40822</xdr:rowOff>
    </xdr:from>
    <xdr:to>
      <xdr:col>39</xdr:col>
      <xdr:colOff>385741</xdr:colOff>
      <xdr:row>9</xdr:row>
      <xdr:rowOff>40748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AB0747D-49FC-4E4C-B7DA-39907CBF0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75493" y="1412422"/>
          <a:ext cx="5619048" cy="571426"/>
        </a:xfrm>
        <a:prstGeom prst="rect">
          <a:avLst/>
        </a:prstGeom>
      </xdr:spPr>
    </xdr:pic>
    <xdr:clientData/>
  </xdr:twoCellAnchor>
  <xdr:twoCellAnchor editAs="oneCell">
    <xdr:from>
      <xdr:col>16</xdr:col>
      <xdr:colOff>742950</xdr:colOff>
      <xdr:row>1</xdr:row>
      <xdr:rowOff>178743</xdr:rowOff>
    </xdr:from>
    <xdr:to>
      <xdr:col>19</xdr:col>
      <xdr:colOff>381000</xdr:colOff>
      <xdr:row>4</xdr:row>
      <xdr:rowOff>43378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832D354-B1F8-4877-8E76-514DBAECC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25750" y="369243"/>
          <a:ext cx="1924050" cy="664735"/>
        </a:xfrm>
        <a:prstGeom prst="rect">
          <a:avLst/>
        </a:prstGeom>
      </xdr:spPr>
    </xdr:pic>
    <xdr:clientData/>
  </xdr:twoCellAnchor>
  <xdr:twoCellAnchor editAs="oneCell">
    <xdr:from>
      <xdr:col>16</xdr:col>
      <xdr:colOff>721675</xdr:colOff>
      <xdr:row>12</xdr:row>
      <xdr:rowOff>177387</xdr:rowOff>
    </xdr:from>
    <xdr:to>
      <xdr:col>34</xdr:col>
      <xdr:colOff>571398</xdr:colOff>
      <xdr:row>32</xdr:row>
      <xdr:rowOff>107620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172940A-0768-4C00-B2ED-41D512554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43766" y="2584614"/>
          <a:ext cx="13565723" cy="4030931"/>
        </a:xfrm>
        <a:prstGeom prst="rect">
          <a:avLst/>
        </a:prstGeom>
      </xdr:spPr>
    </xdr:pic>
    <xdr:clientData/>
  </xdr:twoCellAnchor>
  <xdr:twoCellAnchor editAs="oneCell">
    <xdr:from>
      <xdr:col>34</xdr:col>
      <xdr:colOff>707601</xdr:colOff>
      <xdr:row>12</xdr:row>
      <xdr:rowOff>128766</xdr:rowOff>
    </xdr:from>
    <xdr:to>
      <xdr:col>42</xdr:col>
      <xdr:colOff>602077</xdr:colOff>
      <xdr:row>23</xdr:row>
      <xdr:rowOff>6874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821799C-A69A-4A9A-85C3-7DC19C22D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845692" y="2535993"/>
          <a:ext cx="5990476" cy="2129472"/>
        </a:xfrm>
        <a:prstGeom prst="rect">
          <a:avLst/>
        </a:prstGeom>
      </xdr:spPr>
    </xdr:pic>
    <xdr:clientData/>
  </xdr:twoCellAnchor>
  <xdr:twoCellAnchor>
    <xdr:from>
      <xdr:col>5</xdr:col>
      <xdr:colOff>285751</xdr:colOff>
      <xdr:row>36</xdr:row>
      <xdr:rowOff>95253</xdr:rowOff>
    </xdr:from>
    <xdr:to>
      <xdr:col>5</xdr:col>
      <xdr:colOff>299357</xdr:colOff>
      <xdr:row>39</xdr:row>
      <xdr:rowOff>176894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D2EBFE3A-8369-4E49-888F-7130C309ECE4}"/>
            </a:ext>
          </a:extLst>
        </xdr:cNvPr>
        <xdr:cNvCxnSpPr/>
      </xdr:nvCxnSpPr>
      <xdr:spPr>
        <a:xfrm flipH="1" flipV="1">
          <a:off x="5973537" y="6803574"/>
          <a:ext cx="13606" cy="653141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2">
          <a:schemeClr val="accent4"/>
        </a:lnRef>
        <a:fillRef idx="0">
          <a:schemeClr val="accent4"/>
        </a:fillRef>
        <a:effectRef idx="1">
          <a:schemeClr val="accent4"/>
        </a:effectRef>
        <a:fontRef idx="minor">
          <a:schemeClr val="tx1"/>
        </a:fontRef>
      </xdr:style>
    </xdr:cxnSp>
    <xdr:clientData/>
  </xdr:twoCellAnchor>
  <xdr:twoCellAnchor editAs="oneCell">
    <xdr:from>
      <xdr:col>33</xdr:col>
      <xdr:colOff>127498</xdr:colOff>
      <xdr:row>28</xdr:row>
      <xdr:rowOff>189608</xdr:rowOff>
    </xdr:from>
    <xdr:to>
      <xdr:col>43</xdr:col>
      <xdr:colOff>393224</xdr:colOff>
      <xdr:row>48</xdr:row>
      <xdr:rowOff>112162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5CDFD20-CB0C-4314-81E3-235A5F74C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0503589" y="5904608"/>
          <a:ext cx="7885726" cy="3919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2</xdr:row>
      <xdr:rowOff>27008</xdr:rowOff>
    </xdr:from>
    <xdr:to>
      <xdr:col>7</xdr:col>
      <xdr:colOff>323307</xdr:colOff>
      <xdr:row>8</xdr:row>
      <xdr:rowOff>152194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5F5948-A1F1-40D6-A00D-2A2EAB775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5" y="408008"/>
          <a:ext cx="3342732" cy="12681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jet%20d'assainissement\Dossier%20Allal%20El%20Bahraoui\APD%20provisoir\V&#233;rification\VERIFICATION%20DES%20EU%20de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YEJJA%20mohamed/Desktop/stage%20alkhibra/Donn&#233;es/fiche%20besoin-rejet%20E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jet%20d'assainissement\Dossier%20Allal%20El%20Bahraoui\M%201-1%20provisoir\Rapport%20et%20annexes%20pr&#233;%20def%20%20le%2011-2-2013\TAB%20besoin%20et%20lenair%20allal%20bahraoui%20def%206-2-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e de caquot"/>
      <sheetName val="Fiche besoin"/>
      <sheetName val="Rejets"/>
      <sheetName val="PLAN D'AMENAG"/>
      <sheetName val="Evolution de l'occupation APS "/>
      <sheetName val=" l'occupation PAR Q"/>
      <sheetName val="BV Des Bv N°2 "/>
      <sheetName val="verif 2071Pour les Bv N°2"/>
      <sheetName val="Feuil1"/>
      <sheetName val="DIM BV N°2 2071"/>
      <sheetName val="RECAP Eu"/>
      <sheetName val="BV Des Bv N°1-1 "/>
      <sheetName val="verif 2071Pour les Bv N°1-1 "/>
      <sheetName val="Feuil2"/>
      <sheetName val="DIM BV N°1-1 2071"/>
      <sheetName val="BV Des Bv N°1-2  "/>
      <sheetName val="verif 2071Pour les Bv N°1-2"/>
      <sheetName val="BV Des Bv N°1-3 "/>
      <sheetName val="verif 2071Pour les Bv N°1-3 "/>
      <sheetName val="Feuil3"/>
      <sheetName val="RECAP Eu 1"/>
      <sheetName val="Feuil4"/>
    </sheetNames>
    <sheetDataSet>
      <sheetData sheetId="0" refreshError="1"/>
      <sheetData sheetId="1" refreshError="1">
        <row r="8">
          <cell r="D8">
            <v>4.1638228892600271E-2</v>
          </cell>
        </row>
        <row r="9">
          <cell r="C9">
            <v>6573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besoin "/>
      <sheetName val="Rejets et charges polluante"/>
    </sheetNames>
    <sheetDataSet>
      <sheetData sheetId="0">
        <row r="7">
          <cell r="D7">
            <v>9884</v>
          </cell>
          <cell r="E7">
            <v>15866</v>
          </cell>
          <cell r="F7">
            <v>18262.124444672001</v>
          </cell>
          <cell r="G7">
            <v>21020.11781373293</v>
          </cell>
          <cell r="H7">
            <v>26573.059445807863</v>
          </cell>
          <cell r="I7">
            <v>29018.445241308327</v>
          </cell>
          <cell r="J7">
            <v>32641.804387919052</v>
          </cell>
          <cell r="K7">
            <v>36931.205568060846</v>
          </cell>
          <cell r="L7">
            <v>41784.269291656012</v>
          </cell>
        </row>
        <row r="8">
          <cell r="D8">
            <v>4.1638228892600271E-2</v>
          </cell>
          <cell r="E8">
            <v>4.8463874885652514E-2</v>
          </cell>
          <cell r="F8">
            <v>4.8000000000000001E-2</v>
          </cell>
          <cell r="G8">
            <v>4.8000000000000001E-2</v>
          </cell>
          <cell r="H8">
            <v>4.8000000000000001E-2</v>
          </cell>
          <cell r="I8">
            <v>4.4999999999999998E-2</v>
          </cell>
          <cell r="J8">
            <v>0.04</v>
          </cell>
          <cell r="K8">
            <v>2.5000000000000001E-2</v>
          </cell>
          <cell r="L8">
            <v>2.5000000000000001E-2</v>
          </cell>
        </row>
        <row r="10">
          <cell r="D10">
            <v>0.79</v>
          </cell>
          <cell r="E10">
            <v>0.98</v>
          </cell>
          <cell r="F10">
            <v>0.98</v>
          </cell>
          <cell r="G10">
            <v>0.98</v>
          </cell>
          <cell r="H10">
            <v>0.98</v>
          </cell>
          <cell r="I10">
            <v>0.98</v>
          </cell>
          <cell r="J10">
            <v>0.98</v>
          </cell>
          <cell r="K10">
            <v>0.98</v>
          </cell>
          <cell r="L10">
            <v>1</v>
          </cell>
        </row>
        <row r="18">
          <cell r="D18">
            <v>62.951000000000008</v>
          </cell>
          <cell r="E18">
            <v>83.600000000000009</v>
          </cell>
          <cell r="F18">
            <v>83.600000000000023</v>
          </cell>
          <cell r="G18">
            <v>83.6</v>
          </cell>
          <cell r="H18">
            <v>83.6</v>
          </cell>
          <cell r="I18">
            <v>83.6</v>
          </cell>
          <cell r="J18">
            <v>83.600000000000023</v>
          </cell>
          <cell r="K18">
            <v>83.600000000000009</v>
          </cell>
          <cell r="L18">
            <v>84.999999999999986</v>
          </cell>
        </row>
        <row r="25">
          <cell r="D25">
            <v>622.20768400000009</v>
          </cell>
          <cell r="E25">
            <v>1326.3976</v>
          </cell>
          <cell r="F25">
            <v>1526.7136035745796</v>
          </cell>
          <cell r="G25">
            <v>1757.2818492280728</v>
          </cell>
          <cell r="H25">
            <v>2221.5077696695371</v>
          </cell>
          <cell r="I25">
            <v>2425.9420221733758</v>
          </cell>
          <cell r="J25">
            <v>2728.8548468300332</v>
          </cell>
          <cell r="K25">
            <v>3087.4487854898871</v>
          </cell>
          <cell r="L25">
            <v>3551.6628897907608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ier récap Word"/>
      <sheetName val="Plan d amenagemant "/>
      <sheetName val="URBANISME def"/>
      <sheetName val="Feuil1"/>
      <sheetName val="Feuil2"/>
      <sheetName val="Evolution de l'occupation"/>
      <sheetName val="Fiche besoin"/>
      <sheetName val="Rejets"/>
      <sheetName val="longeur des eaux usees"/>
      <sheetName val="longeur des eaux pluvials "/>
      <sheetName val="RECAPE LINEAIR"/>
      <sheetName val="total habitat"/>
      <sheetName val="Recape plan damenagemant"/>
      <sheetName val="ecien calcule  "/>
      <sheetName val="Occupation des sols"/>
      <sheetName val="Situation DES LOT  DEF"/>
      <sheetName val="longeur des eaux usees LOT NEUF"/>
      <sheetName val="longeur des eaux pluvials  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C8" t="str">
            <v>-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view="pageBreakPreview" topLeftCell="A11" zoomScaleNormal="85" zoomScaleSheetLayoutView="100" workbookViewId="0">
      <selection activeCell="K20" sqref="K20"/>
    </sheetView>
  </sheetViews>
  <sheetFormatPr baseColWidth="10" defaultRowHeight="15" x14ac:dyDescent="0.25"/>
  <cols>
    <col min="1" max="1" width="28.140625" style="65" customWidth="1"/>
    <col min="2" max="3" width="7.7109375" style="25" bestFit="1" customWidth="1"/>
    <col min="4" max="5" width="6.7109375" style="25" bestFit="1" customWidth="1"/>
    <col min="6" max="9" width="6.7109375" style="25" hidden="1" customWidth="1"/>
    <col min="10" max="11" width="8.7109375" style="25" bestFit="1" customWidth="1"/>
    <col min="12" max="16384" width="11.42578125" style="25"/>
  </cols>
  <sheetData>
    <row r="1" spans="1:11" ht="15.75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15.75" x14ac:dyDescent="0.25">
      <c r="A2" s="64"/>
      <c r="B2" s="1"/>
      <c r="C2" s="1"/>
      <c r="D2" s="1"/>
      <c r="E2" s="2"/>
      <c r="F2" s="1"/>
      <c r="G2" s="1"/>
      <c r="H2" s="1"/>
      <c r="I2" s="1"/>
      <c r="J2" s="1"/>
      <c r="K2" s="1"/>
    </row>
    <row r="3" spans="1:11" ht="15.75" x14ac:dyDescent="0.25">
      <c r="A3" s="136" t="s">
        <v>1</v>
      </c>
      <c r="B3" s="130" t="s">
        <v>2</v>
      </c>
      <c r="C3" s="130"/>
      <c r="D3" s="130"/>
      <c r="E3" s="131" t="s">
        <v>3</v>
      </c>
      <c r="F3" s="132"/>
      <c r="G3" s="132"/>
      <c r="H3" s="132"/>
      <c r="I3" s="132"/>
      <c r="J3" s="132"/>
      <c r="K3" s="133"/>
    </row>
    <row r="4" spans="1:11" ht="15" customHeight="1" x14ac:dyDescent="0.25">
      <c r="A4" s="137"/>
      <c r="B4" s="3">
        <v>1994</v>
      </c>
      <c r="C4" s="3">
        <v>2004</v>
      </c>
      <c r="D4" s="3">
        <v>2014</v>
      </c>
      <c r="E4" s="4">
        <v>2017</v>
      </c>
      <c r="F4" s="5">
        <v>2020</v>
      </c>
      <c r="G4" s="5">
        <v>2025</v>
      </c>
      <c r="H4" s="5">
        <v>2027</v>
      </c>
      <c r="I4" s="5">
        <v>2030</v>
      </c>
      <c r="J4" s="5">
        <v>2035</v>
      </c>
      <c r="K4" s="71">
        <v>2040</v>
      </c>
    </row>
    <row r="5" spans="1:11" x14ac:dyDescent="0.25">
      <c r="A5" s="66" t="s">
        <v>4</v>
      </c>
      <c r="B5" s="3"/>
      <c r="C5" s="3"/>
      <c r="D5" s="3"/>
      <c r="E5" s="6"/>
      <c r="F5" s="3"/>
      <c r="G5" s="3"/>
      <c r="H5" s="3"/>
      <c r="I5" s="3"/>
      <c r="J5" s="3"/>
      <c r="K5" s="72"/>
    </row>
    <row r="6" spans="1:11" x14ac:dyDescent="0.25">
      <c r="A6" s="67" t="s">
        <v>5</v>
      </c>
      <c r="B6" s="58">
        <v>6573</v>
      </c>
      <c r="C6" s="58">
        <v>9884</v>
      </c>
      <c r="D6" s="59">
        <v>15866</v>
      </c>
      <c r="E6" s="7">
        <f t="shared" ref="E6:K6" si="0">+D6*(1+E7)^(E4-D4)</f>
        <v>18262.124444672001</v>
      </c>
      <c r="F6" s="7">
        <f t="shared" si="0"/>
        <v>21020.11781373293</v>
      </c>
      <c r="G6" s="7">
        <f t="shared" si="0"/>
        <v>26573.059445807863</v>
      </c>
      <c r="H6" s="7">
        <f t="shared" si="0"/>
        <v>29018.445241308327</v>
      </c>
      <c r="I6" s="7">
        <f t="shared" si="0"/>
        <v>32641.804387919052</v>
      </c>
      <c r="J6" s="7">
        <f t="shared" si="0"/>
        <v>36931.205568060846</v>
      </c>
      <c r="K6" s="73">
        <f t="shared" si="0"/>
        <v>41784.269291656012</v>
      </c>
    </row>
    <row r="7" spans="1:11" x14ac:dyDescent="0.25">
      <c r="A7" s="67" t="s">
        <v>6</v>
      </c>
      <c r="B7" s="8" t="s">
        <v>7</v>
      </c>
      <c r="C7" s="9">
        <f>+(C6/B6)^(1/(C4-B4))-1</f>
        <v>4.1638228892600271E-2</v>
      </c>
      <c r="D7" s="9">
        <f>+(D6/C6)^(1/(D4-C4))-1</f>
        <v>4.8463874885652514E-2</v>
      </c>
      <c r="E7" s="60">
        <v>4.8000000000000001E-2</v>
      </c>
      <c r="F7" s="60">
        <v>4.8000000000000001E-2</v>
      </c>
      <c r="G7" s="60">
        <v>4.8000000000000001E-2</v>
      </c>
      <c r="H7" s="60">
        <v>4.4999999999999998E-2</v>
      </c>
      <c r="I7" s="60">
        <v>0.04</v>
      </c>
      <c r="J7" s="60">
        <v>2.5000000000000001E-2</v>
      </c>
      <c r="K7" s="74">
        <v>2.5000000000000001E-2</v>
      </c>
    </row>
    <row r="8" spans="1:11" hidden="1" x14ac:dyDescent="0.25">
      <c r="A8" s="68" t="s">
        <v>8</v>
      </c>
      <c r="B8" s="11">
        <f t="shared" ref="B8:J8" si="1">B6</f>
        <v>6573</v>
      </c>
      <c r="C8" s="11">
        <f>C6</f>
        <v>9884</v>
      </c>
      <c r="D8" s="11">
        <f t="shared" si="1"/>
        <v>15866</v>
      </c>
      <c r="E8" s="11">
        <f t="shared" si="1"/>
        <v>18262.124444672001</v>
      </c>
      <c r="F8" s="11">
        <f t="shared" si="1"/>
        <v>21020.11781373293</v>
      </c>
      <c r="G8" s="11">
        <f t="shared" si="1"/>
        <v>26573.059445807863</v>
      </c>
      <c r="H8" s="11">
        <f t="shared" si="1"/>
        <v>29018.445241308327</v>
      </c>
      <c r="I8" s="11">
        <f t="shared" si="1"/>
        <v>32641.804387919052</v>
      </c>
      <c r="J8" s="11">
        <f t="shared" si="1"/>
        <v>36931.205568060846</v>
      </c>
      <c r="K8" s="75">
        <f>K6</f>
        <v>41784.269291656012</v>
      </c>
    </row>
    <row r="9" spans="1:11" x14ac:dyDescent="0.25">
      <c r="A9" s="67" t="s">
        <v>9</v>
      </c>
      <c r="B9" s="12"/>
      <c r="C9" s="13">
        <v>0.79</v>
      </c>
      <c r="D9" s="13">
        <v>0.98</v>
      </c>
      <c r="E9" s="13">
        <v>0.98</v>
      </c>
      <c r="F9" s="13">
        <v>0.98</v>
      </c>
      <c r="G9" s="13">
        <v>0.98</v>
      </c>
      <c r="H9" s="13">
        <v>0.98</v>
      </c>
      <c r="I9" s="13">
        <v>0.98</v>
      </c>
      <c r="J9" s="13">
        <v>0.98</v>
      </c>
      <c r="K9" s="76">
        <v>1</v>
      </c>
    </row>
    <row r="10" spans="1:11" x14ac:dyDescent="0.25">
      <c r="A10" s="67" t="s">
        <v>10</v>
      </c>
      <c r="B10" s="14"/>
      <c r="C10" s="15">
        <f>C6*C9</f>
        <v>7808.3600000000006</v>
      </c>
      <c r="D10" s="15">
        <f t="shared" ref="D10:K10" si="2">D6*D9</f>
        <v>15548.68</v>
      </c>
      <c r="E10" s="15">
        <f t="shared" si="2"/>
        <v>17896.881955778561</v>
      </c>
      <c r="F10" s="15">
        <f t="shared" si="2"/>
        <v>20599.715457458271</v>
      </c>
      <c r="G10" s="15">
        <f t="shared" si="2"/>
        <v>26041.598256891706</v>
      </c>
      <c r="H10" s="15">
        <f t="shared" si="2"/>
        <v>28438.076336482161</v>
      </c>
      <c r="I10" s="15">
        <f t="shared" si="2"/>
        <v>31988.968300160672</v>
      </c>
      <c r="J10" s="15">
        <f t="shared" si="2"/>
        <v>36192.581456699627</v>
      </c>
      <c r="K10" s="77">
        <f t="shared" si="2"/>
        <v>41784.269291656012</v>
      </c>
    </row>
    <row r="11" spans="1:11" x14ac:dyDescent="0.25">
      <c r="A11" s="67" t="s">
        <v>11</v>
      </c>
      <c r="B11" s="15"/>
      <c r="C11" s="15">
        <f>C6-C10</f>
        <v>2075.6399999999994</v>
      </c>
      <c r="D11" s="15">
        <f t="shared" ref="D11:K11" si="3">D6-D10</f>
        <v>317.31999999999971</v>
      </c>
      <c r="E11" s="15">
        <f t="shared" si="3"/>
        <v>365.24248889344017</v>
      </c>
      <c r="F11" s="15">
        <f t="shared" si="3"/>
        <v>420.40235627465881</v>
      </c>
      <c r="G11" s="15">
        <f t="shared" si="3"/>
        <v>531.46118891615697</v>
      </c>
      <c r="H11" s="15">
        <f t="shared" si="3"/>
        <v>580.36890482616582</v>
      </c>
      <c r="I11" s="15">
        <f t="shared" si="3"/>
        <v>652.83608775838002</v>
      </c>
      <c r="J11" s="15">
        <f t="shared" si="3"/>
        <v>738.62411136121955</v>
      </c>
      <c r="K11" s="77">
        <f t="shared" si="3"/>
        <v>0</v>
      </c>
    </row>
    <row r="12" spans="1:11" ht="15.75" x14ac:dyDescent="0.25">
      <c r="A12" s="69" t="s">
        <v>12</v>
      </c>
      <c r="B12" s="134"/>
      <c r="C12" s="134"/>
      <c r="D12" s="134"/>
      <c r="E12" s="134"/>
      <c r="F12" s="134"/>
      <c r="G12" s="134"/>
      <c r="H12" s="134"/>
      <c r="I12" s="134"/>
      <c r="J12" s="134"/>
      <c r="K12" s="135"/>
    </row>
    <row r="13" spans="1:11" x14ac:dyDescent="0.25">
      <c r="A13" s="67" t="s">
        <v>10</v>
      </c>
      <c r="B13" s="3"/>
      <c r="C13" s="61">
        <v>63.7</v>
      </c>
      <c r="D13" s="61">
        <v>75</v>
      </c>
      <c r="E13" s="61">
        <v>75</v>
      </c>
      <c r="F13" s="61">
        <v>75</v>
      </c>
      <c r="G13" s="61">
        <v>75</v>
      </c>
      <c r="H13" s="61">
        <v>75</v>
      </c>
      <c r="I13" s="61">
        <v>75</v>
      </c>
      <c r="J13" s="61">
        <v>75</v>
      </c>
      <c r="K13" s="78">
        <v>75</v>
      </c>
    </row>
    <row r="14" spans="1:11" x14ac:dyDescent="0.25">
      <c r="A14" s="67" t="s">
        <v>11</v>
      </c>
      <c r="B14" s="3"/>
      <c r="C14" s="61">
        <v>6.8</v>
      </c>
      <c r="D14" s="61">
        <v>5</v>
      </c>
      <c r="E14" s="61">
        <v>5</v>
      </c>
      <c r="F14" s="61">
        <v>5</v>
      </c>
      <c r="G14" s="61">
        <v>5</v>
      </c>
      <c r="H14" s="61">
        <v>5</v>
      </c>
      <c r="I14" s="61">
        <v>5</v>
      </c>
      <c r="J14" s="61">
        <v>5</v>
      </c>
      <c r="K14" s="78">
        <v>5</v>
      </c>
    </row>
    <row r="15" spans="1:11" x14ac:dyDescent="0.25">
      <c r="A15" s="67" t="s">
        <v>13</v>
      </c>
      <c r="B15" s="3"/>
      <c r="C15" s="61">
        <v>8.6</v>
      </c>
      <c r="D15" s="61">
        <v>5</v>
      </c>
      <c r="E15" s="61">
        <v>5</v>
      </c>
      <c r="F15" s="61">
        <v>5</v>
      </c>
      <c r="G15" s="61">
        <v>5</v>
      </c>
      <c r="H15" s="61">
        <v>5</v>
      </c>
      <c r="I15" s="61">
        <v>5</v>
      </c>
      <c r="J15" s="61">
        <v>5</v>
      </c>
      <c r="K15" s="78">
        <v>5</v>
      </c>
    </row>
    <row r="16" spans="1:11" x14ac:dyDescent="0.25">
      <c r="A16" s="67" t="s">
        <v>14</v>
      </c>
      <c r="B16" s="3"/>
      <c r="C16" s="61">
        <v>2.6</v>
      </c>
      <c r="D16" s="61">
        <v>5</v>
      </c>
      <c r="E16" s="61">
        <v>5</v>
      </c>
      <c r="F16" s="61">
        <v>5</v>
      </c>
      <c r="G16" s="61">
        <v>5</v>
      </c>
      <c r="H16" s="61">
        <v>5</v>
      </c>
      <c r="I16" s="61">
        <v>5</v>
      </c>
      <c r="J16" s="61">
        <v>5</v>
      </c>
      <c r="K16" s="78">
        <v>5</v>
      </c>
    </row>
    <row r="17" spans="1:11" x14ac:dyDescent="0.25">
      <c r="A17" s="67" t="s">
        <v>15</v>
      </c>
      <c r="B17" s="3"/>
      <c r="C17" s="14">
        <f>C24/C6*1000</f>
        <v>62.951000000000008</v>
      </c>
      <c r="D17" s="14">
        <f t="shared" ref="D17:K17" si="4">D24/D6*1000</f>
        <v>83.600000000000009</v>
      </c>
      <c r="E17" s="14">
        <f t="shared" si="4"/>
        <v>83.600000000000023</v>
      </c>
      <c r="F17" s="14">
        <f t="shared" si="4"/>
        <v>83.6</v>
      </c>
      <c r="G17" s="14">
        <f t="shared" si="4"/>
        <v>83.6</v>
      </c>
      <c r="H17" s="14">
        <f t="shared" si="4"/>
        <v>83.6</v>
      </c>
      <c r="I17" s="14">
        <f t="shared" si="4"/>
        <v>83.600000000000023</v>
      </c>
      <c r="J17" s="14">
        <f t="shared" si="4"/>
        <v>83.600000000000009</v>
      </c>
      <c r="K17" s="77">
        <f t="shared" si="4"/>
        <v>84.999999999999986</v>
      </c>
    </row>
    <row r="18" spans="1:11" x14ac:dyDescent="0.25">
      <c r="A18" s="67" t="s">
        <v>16</v>
      </c>
      <c r="B18" s="3"/>
      <c r="C18" s="14">
        <f>C35/C6*1000</f>
        <v>72.369486038041273</v>
      </c>
      <c r="D18" s="14">
        <f t="shared" ref="D18:K18" si="5">D35/D6*1000</f>
        <v>99.855035925879235</v>
      </c>
      <c r="E18" s="14">
        <f t="shared" si="5"/>
        <v>103.52574289633564</v>
      </c>
      <c r="F18" s="14">
        <f t="shared" si="5"/>
        <v>107.31623961337807</v>
      </c>
      <c r="G18" s="14">
        <f t="shared" si="5"/>
        <v>107.31921952065241</v>
      </c>
      <c r="H18" s="14">
        <f t="shared" si="5"/>
        <v>107.31794808795873</v>
      </c>
      <c r="I18" s="14">
        <f t="shared" si="5"/>
        <v>107.31943486851236</v>
      </c>
      <c r="J18" s="14">
        <f t="shared" si="5"/>
        <v>107.31845708897359</v>
      </c>
      <c r="K18" s="77">
        <f t="shared" si="5"/>
        <v>111.84352578670608</v>
      </c>
    </row>
    <row r="19" spans="1:11" x14ac:dyDescent="0.25">
      <c r="A19" s="69" t="s">
        <v>17</v>
      </c>
      <c r="B19" s="117"/>
      <c r="C19" s="118"/>
      <c r="D19" s="118"/>
      <c r="E19" s="118"/>
      <c r="F19" s="118"/>
      <c r="G19" s="118"/>
      <c r="H19" s="118"/>
      <c r="I19" s="118"/>
      <c r="J19" s="118"/>
      <c r="K19" s="119"/>
    </row>
    <row r="20" spans="1:11" x14ac:dyDescent="0.25">
      <c r="A20" s="67" t="s">
        <v>10</v>
      </c>
      <c r="B20" s="14"/>
      <c r="C20" s="14">
        <f t="shared" ref="C20:C21" si="6">C13*C10/1000</f>
        <v>497.39253200000007</v>
      </c>
      <c r="D20" s="14">
        <f t="shared" ref="D20:K20" si="7">D13*D10/1000</f>
        <v>1166.1510000000001</v>
      </c>
      <c r="E20" s="14">
        <f t="shared" si="7"/>
        <v>1342.2661466833922</v>
      </c>
      <c r="F20" s="14">
        <f t="shared" si="7"/>
        <v>1544.9786593093702</v>
      </c>
      <c r="G20" s="14">
        <f t="shared" si="7"/>
        <v>1953.1198692668779</v>
      </c>
      <c r="H20" s="14">
        <f t="shared" si="7"/>
        <v>2132.855725236162</v>
      </c>
      <c r="I20" s="14">
        <f t="shared" si="7"/>
        <v>2399.1726225120506</v>
      </c>
      <c r="J20" s="14">
        <f t="shared" si="7"/>
        <v>2714.443609252472</v>
      </c>
      <c r="K20" s="77">
        <f t="shared" si="7"/>
        <v>3133.820196874201</v>
      </c>
    </row>
    <row r="21" spans="1:11" x14ac:dyDescent="0.25">
      <c r="A21" s="67" t="s">
        <v>11</v>
      </c>
      <c r="B21" s="14"/>
      <c r="C21" s="14">
        <f t="shared" si="6"/>
        <v>14.114351999999995</v>
      </c>
      <c r="D21" s="14">
        <f t="shared" ref="D21:K21" si="8">D14*D11/1000</f>
        <v>1.5865999999999985</v>
      </c>
      <c r="E21" s="14">
        <f t="shared" si="8"/>
        <v>1.8262124444672008</v>
      </c>
      <c r="F21" s="14">
        <f t="shared" si="8"/>
        <v>2.1020117813732941</v>
      </c>
      <c r="G21" s="14">
        <f t="shared" si="8"/>
        <v>2.6573059445807847</v>
      </c>
      <c r="H21" s="14">
        <f t="shared" si="8"/>
        <v>2.9018445241308291</v>
      </c>
      <c r="I21" s="14">
        <f t="shared" si="8"/>
        <v>3.2641804387919002</v>
      </c>
      <c r="J21" s="14">
        <f t="shared" si="8"/>
        <v>3.6931205568060976</v>
      </c>
      <c r="K21" s="77">
        <f t="shared" si="8"/>
        <v>0</v>
      </c>
    </row>
    <row r="22" spans="1:11" x14ac:dyDescent="0.25">
      <c r="A22" s="67" t="s">
        <v>13</v>
      </c>
      <c r="B22" s="14"/>
      <c r="C22" s="14">
        <f>C15*C6/1000</f>
        <v>85.002399999999994</v>
      </c>
      <c r="D22" s="14">
        <f t="shared" ref="D22:K22" si="9">D15*D6/1000</f>
        <v>79.33</v>
      </c>
      <c r="E22" s="14">
        <f t="shared" si="9"/>
        <v>91.310622223359999</v>
      </c>
      <c r="F22" s="14">
        <f t="shared" si="9"/>
        <v>105.10058906866465</v>
      </c>
      <c r="G22" s="14">
        <f t="shared" si="9"/>
        <v>132.8652972290393</v>
      </c>
      <c r="H22" s="14">
        <f t="shared" si="9"/>
        <v>145.09222620654165</v>
      </c>
      <c r="I22" s="14">
        <f t="shared" si="9"/>
        <v>163.20902193959526</v>
      </c>
      <c r="J22" s="14">
        <f t="shared" si="9"/>
        <v>184.65602784030423</v>
      </c>
      <c r="K22" s="77">
        <f t="shared" si="9"/>
        <v>208.92134645828006</v>
      </c>
    </row>
    <row r="23" spans="1:11" x14ac:dyDescent="0.25">
      <c r="A23" s="67" t="s">
        <v>14</v>
      </c>
      <c r="B23" s="14"/>
      <c r="C23" s="14">
        <f>C16*C6/1000</f>
        <v>25.698400000000003</v>
      </c>
      <c r="D23" s="14">
        <f t="shared" ref="D23:K23" si="10">D16*D6/1000</f>
        <v>79.33</v>
      </c>
      <c r="E23" s="14">
        <f t="shared" si="10"/>
        <v>91.310622223359999</v>
      </c>
      <c r="F23" s="14">
        <f t="shared" si="10"/>
        <v>105.10058906866465</v>
      </c>
      <c r="G23" s="14">
        <f t="shared" si="10"/>
        <v>132.8652972290393</v>
      </c>
      <c r="H23" s="14">
        <f t="shared" si="10"/>
        <v>145.09222620654165</v>
      </c>
      <c r="I23" s="14">
        <f t="shared" si="10"/>
        <v>163.20902193959526</v>
      </c>
      <c r="J23" s="14">
        <f t="shared" si="10"/>
        <v>184.65602784030423</v>
      </c>
      <c r="K23" s="77">
        <f t="shared" si="10"/>
        <v>208.92134645828006</v>
      </c>
    </row>
    <row r="24" spans="1:11" x14ac:dyDescent="0.25">
      <c r="A24" s="68" t="s">
        <v>18</v>
      </c>
      <c r="B24" s="11"/>
      <c r="C24" s="11">
        <f t="shared" ref="C24:J24" si="11">SUM(C20:C23)</f>
        <v>622.20768400000009</v>
      </c>
      <c r="D24" s="11">
        <f t="shared" si="11"/>
        <v>1326.3976</v>
      </c>
      <c r="E24" s="11">
        <f t="shared" si="11"/>
        <v>1526.7136035745796</v>
      </c>
      <c r="F24" s="11">
        <f t="shared" si="11"/>
        <v>1757.2818492280728</v>
      </c>
      <c r="G24" s="11">
        <f t="shared" si="11"/>
        <v>2221.5077696695371</v>
      </c>
      <c r="H24" s="11">
        <f>SUM(H20:H23)</f>
        <v>2425.9420221733758</v>
      </c>
      <c r="I24" s="11">
        <f t="shared" si="11"/>
        <v>2728.8548468300332</v>
      </c>
      <c r="J24" s="11">
        <f t="shared" si="11"/>
        <v>3087.4487854898871</v>
      </c>
      <c r="K24" s="75">
        <f>SUM(K20:K23)</f>
        <v>3551.6628897907608</v>
      </c>
    </row>
    <row r="25" spans="1:11" ht="15.75" x14ac:dyDescent="0.25">
      <c r="A25" s="69" t="s">
        <v>19</v>
      </c>
      <c r="B25" s="56"/>
      <c r="C25" s="57"/>
      <c r="D25" s="57"/>
      <c r="E25" s="57"/>
      <c r="F25" s="57"/>
      <c r="G25" s="57"/>
      <c r="H25" s="57"/>
      <c r="I25" s="57"/>
      <c r="J25" s="57"/>
      <c r="K25" s="79"/>
    </row>
    <row r="26" spans="1:11" x14ac:dyDescent="0.25">
      <c r="A26" s="67" t="s">
        <v>20</v>
      </c>
      <c r="B26" s="3"/>
      <c r="C26" s="62">
        <v>89.646584440227699</v>
      </c>
      <c r="D26" s="62">
        <v>92</v>
      </c>
      <c r="E26" s="62">
        <v>85</v>
      </c>
      <c r="F26" s="62">
        <v>82</v>
      </c>
      <c r="G26" s="62">
        <v>82</v>
      </c>
      <c r="H26" s="62">
        <v>82</v>
      </c>
      <c r="I26" s="62">
        <v>82</v>
      </c>
      <c r="J26" s="62">
        <v>82</v>
      </c>
      <c r="K26" s="77">
        <v>80</v>
      </c>
    </row>
    <row r="27" spans="1:11" x14ac:dyDescent="0.25">
      <c r="A27" s="67" t="s">
        <v>21</v>
      </c>
      <c r="B27" s="3"/>
      <c r="C27" s="62">
        <v>97.033291474011492</v>
      </c>
      <c r="D27" s="62">
        <v>91</v>
      </c>
      <c r="E27" s="62">
        <v>95</v>
      </c>
      <c r="F27" s="62">
        <v>95</v>
      </c>
      <c r="G27" s="62">
        <v>95</v>
      </c>
      <c r="H27" s="62">
        <v>95</v>
      </c>
      <c r="I27" s="62">
        <v>95</v>
      </c>
      <c r="J27" s="62">
        <v>95</v>
      </c>
      <c r="K27" s="77">
        <v>95</v>
      </c>
    </row>
    <row r="28" spans="1:11" hidden="1" x14ac:dyDescent="0.25">
      <c r="A28" s="67" t="s">
        <v>22</v>
      </c>
      <c r="B28" s="3"/>
      <c r="C28" s="62">
        <f>C26*C27/100</f>
        <v>86.98703157638198</v>
      </c>
      <c r="D28" s="62">
        <f t="shared" ref="D28:J28" si="12">D26*D27/100</f>
        <v>83.72</v>
      </c>
      <c r="E28" s="62">
        <f t="shared" si="12"/>
        <v>80.75</v>
      </c>
      <c r="F28" s="63">
        <f t="shared" si="12"/>
        <v>77.900000000000006</v>
      </c>
      <c r="G28" s="63">
        <f t="shared" si="12"/>
        <v>77.900000000000006</v>
      </c>
      <c r="H28" s="63">
        <f t="shared" si="12"/>
        <v>77.900000000000006</v>
      </c>
      <c r="I28" s="63">
        <f t="shared" si="12"/>
        <v>77.900000000000006</v>
      </c>
      <c r="J28" s="63">
        <f t="shared" si="12"/>
        <v>77.900000000000006</v>
      </c>
      <c r="K28" s="63">
        <f>K26*K27/100</f>
        <v>76</v>
      </c>
    </row>
    <row r="29" spans="1:11" x14ac:dyDescent="0.25">
      <c r="A29" s="69" t="s">
        <v>23</v>
      </c>
      <c r="B29" s="120"/>
      <c r="C29" s="121"/>
      <c r="D29" s="121"/>
      <c r="E29" s="121"/>
      <c r="F29" s="121"/>
      <c r="G29" s="121"/>
      <c r="H29" s="121"/>
      <c r="I29" s="121"/>
      <c r="J29" s="121"/>
      <c r="K29" s="122"/>
    </row>
    <row r="30" spans="1:11" x14ac:dyDescent="0.25">
      <c r="A30" s="70" t="s">
        <v>24</v>
      </c>
      <c r="B30" s="123"/>
      <c r="C30" s="124"/>
      <c r="D30" s="124"/>
      <c r="E30" s="124"/>
      <c r="F30" s="124"/>
      <c r="G30" s="124"/>
      <c r="H30" s="124"/>
      <c r="I30" s="124"/>
      <c r="J30" s="124"/>
      <c r="K30" s="125"/>
    </row>
    <row r="31" spans="1:11" x14ac:dyDescent="0.25">
      <c r="A31" s="67" t="s">
        <v>25</v>
      </c>
      <c r="B31" s="3"/>
      <c r="C31" s="14">
        <f>ROUND(C24/C26*100,1)</f>
        <v>694.1</v>
      </c>
      <c r="D31" s="14">
        <f t="shared" ref="D31:K31" si="13">ROUND(D24/D26*100,1)</f>
        <v>1441.7</v>
      </c>
      <c r="E31" s="14">
        <f t="shared" si="13"/>
        <v>1796.1</v>
      </c>
      <c r="F31" s="14">
        <f t="shared" si="13"/>
        <v>2143</v>
      </c>
      <c r="G31" s="14">
        <f t="shared" si="13"/>
        <v>2709.2</v>
      </c>
      <c r="H31" s="14">
        <f t="shared" si="13"/>
        <v>2958.5</v>
      </c>
      <c r="I31" s="14">
        <f t="shared" si="13"/>
        <v>3327.9</v>
      </c>
      <c r="J31" s="14">
        <f t="shared" si="13"/>
        <v>3765.2</v>
      </c>
      <c r="K31" s="77">
        <f t="shared" si="13"/>
        <v>4439.6000000000004</v>
      </c>
    </row>
    <row r="32" spans="1:11" x14ac:dyDescent="0.25">
      <c r="A32" s="67" t="s">
        <v>26</v>
      </c>
      <c r="B32" s="3"/>
      <c r="C32" s="14">
        <f>ROUND(C31/86.4,1)</f>
        <v>8</v>
      </c>
      <c r="D32" s="14">
        <f t="shared" ref="D32:K32" si="14">ROUND(D31/86.4,1)</f>
        <v>16.7</v>
      </c>
      <c r="E32" s="14">
        <f t="shared" si="14"/>
        <v>20.8</v>
      </c>
      <c r="F32" s="14">
        <f t="shared" si="14"/>
        <v>24.8</v>
      </c>
      <c r="G32" s="14">
        <f t="shared" si="14"/>
        <v>31.4</v>
      </c>
      <c r="H32" s="14">
        <f t="shared" si="14"/>
        <v>34.200000000000003</v>
      </c>
      <c r="I32" s="14">
        <f t="shared" si="14"/>
        <v>38.5</v>
      </c>
      <c r="J32" s="14">
        <f t="shared" si="14"/>
        <v>43.6</v>
      </c>
      <c r="K32" s="77">
        <f t="shared" si="14"/>
        <v>51.4</v>
      </c>
    </row>
    <row r="33" spans="1:11" x14ac:dyDescent="0.25">
      <c r="A33" s="67" t="s">
        <v>27</v>
      </c>
      <c r="B33" s="3"/>
      <c r="C33" s="14">
        <f>ROUND(C31/86.4*1.3,1)</f>
        <v>10.4</v>
      </c>
      <c r="D33" s="14">
        <f t="shared" ref="D33:K33" si="15">ROUND(D31/86.4*1.3,1)</f>
        <v>21.7</v>
      </c>
      <c r="E33" s="14">
        <f t="shared" si="15"/>
        <v>27</v>
      </c>
      <c r="F33" s="14">
        <f t="shared" si="15"/>
        <v>32.200000000000003</v>
      </c>
      <c r="G33" s="14">
        <f t="shared" si="15"/>
        <v>40.799999999999997</v>
      </c>
      <c r="H33" s="14">
        <f t="shared" si="15"/>
        <v>44.5</v>
      </c>
      <c r="I33" s="14">
        <f t="shared" si="15"/>
        <v>50.1</v>
      </c>
      <c r="J33" s="14">
        <f t="shared" si="15"/>
        <v>56.7</v>
      </c>
      <c r="K33" s="77">
        <f t="shared" si="15"/>
        <v>66.8</v>
      </c>
    </row>
    <row r="34" spans="1:11" x14ac:dyDescent="0.25">
      <c r="A34" s="70" t="s">
        <v>28</v>
      </c>
      <c r="B34" s="126"/>
      <c r="C34" s="127"/>
      <c r="D34" s="127"/>
      <c r="E34" s="127"/>
      <c r="F34" s="127"/>
      <c r="G34" s="127"/>
      <c r="H34" s="127"/>
      <c r="I34" s="127"/>
      <c r="J34" s="127"/>
      <c r="K34" s="128"/>
    </row>
    <row r="35" spans="1:11" x14ac:dyDescent="0.25">
      <c r="A35" s="67" t="s">
        <v>25</v>
      </c>
      <c r="B35" s="3"/>
      <c r="C35" s="14">
        <f>ROUND(C31/C27*100,1)</f>
        <v>715.3</v>
      </c>
      <c r="D35" s="14">
        <f t="shared" ref="D35:K35" si="16">ROUND(D31/D27*100,1)</f>
        <v>1584.3</v>
      </c>
      <c r="E35" s="14">
        <f t="shared" si="16"/>
        <v>1890.6</v>
      </c>
      <c r="F35" s="14">
        <f t="shared" si="16"/>
        <v>2255.8000000000002</v>
      </c>
      <c r="G35" s="14">
        <f t="shared" si="16"/>
        <v>2851.8</v>
      </c>
      <c r="H35" s="14">
        <f t="shared" si="16"/>
        <v>3114.2</v>
      </c>
      <c r="I35" s="14">
        <f t="shared" si="16"/>
        <v>3503.1</v>
      </c>
      <c r="J35" s="14">
        <f t="shared" si="16"/>
        <v>3963.4</v>
      </c>
      <c r="K35" s="77">
        <f t="shared" si="16"/>
        <v>4673.3</v>
      </c>
    </row>
    <row r="36" spans="1:11" x14ac:dyDescent="0.25">
      <c r="A36" s="67" t="s">
        <v>26</v>
      </c>
      <c r="B36" s="3"/>
      <c r="C36" s="14">
        <f>ROUND(C35/86.4,1)</f>
        <v>8.3000000000000007</v>
      </c>
      <c r="D36" s="14">
        <f t="shared" ref="D36:K36" si="17">ROUND(D35/86.4,1)</f>
        <v>18.3</v>
      </c>
      <c r="E36" s="14">
        <f t="shared" si="17"/>
        <v>21.9</v>
      </c>
      <c r="F36" s="14">
        <f t="shared" si="17"/>
        <v>26.1</v>
      </c>
      <c r="G36" s="14">
        <f t="shared" si="17"/>
        <v>33</v>
      </c>
      <c r="H36" s="14">
        <f t="shared" si="17"/>
        <v>36</v>
      </c>
      <c r="I36" s="14">
        <f t="shared" si="17"/>
        <v>40.5</v>
      </c>
      <c r="J36" s="14">
        <f t="shared" si="17"/>
        <v>45.9</v>
      </c>
      <c r="K36" s="77">
        <f t="shared" si="17"/>
        <v>54.1</v>
      </c>
    </row>
    <row r="37" spans="1:11" x14ac:dyDescent="0.25">
      <c r="A37" s="67" t="s">
        <v>27</v>
      </c>
      <c r="B37" s="16"/>
      <c r="C37" s="17">
        <f t="shared" ref="C37" si="18">ROUND(C35/86.4*1.3,1)</f>
        <v>10.8</v>
      </c>
      <c r="D37" s="17">
        <f t="shared" ref="D37:K37" si="19">ROUND(D35/86.4*1.3,1)</f>
        <v>23.8</v>
      </c>
      <c r="E37" s="17">
        <f t="shared" si="19"/>
        <v>28.4</v>
      </c>
      <c r="F37" s="17">
        <f t="shared" si="19"/>
        <v>33.9</v>
      </c>
      <c r="G37" s="17">
        <f t="shared" si="19"/>
        <v>42.9</v>
      </c>
      <c r="H37" s="17">
        <f t="shared" si="19"/>
        <v>46.9</v>
      </c>
      <c r="I37" s="17">
        <f t="shared" si="19"/>
        <v>52.7</v>
      </c>
      <c r="J37" s="17">
        <f t="shared" si="19"/>
        <v>59.6</v>
      </c>
      <c r="K37" s="77">
        <f t="shared" si="19"/>
        <v>70.3</v>
      </c>
    </row>
  </sheetData>
  <mergeCells count="8">
    <mergeCell ref="B19:K19"/>
    <mergeCell ref="B29:K30"/>
    <mergeCell ref="B34:K34"/>
    <mergeCell ref="A1:K1"/>
    <mergeCell ref="B3:D3"/>
    <mergeCell ref="E3:K3"/>
    <mergeCell ref="B12:K12"/>
    <mergeCell ref="A3:A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zoomScaleNormal="100" workbookViewId="0">
      <selection activeCell="L8" sqref="L8"/>
    </sheetView>
  </sheetViews>
  <sheetFormatPr baseColWidth="10" defaultRowHeight="15" x14ac:dyDescent="0.25"/>
  <cols>
    <col min="1" max="1" width="30.42578125" style="101" customWidth="1"/>
    <col min="2" max="2" width="6.7109375" style="85" customWidth="1"/>
    <col min="3" max="3" width="5.85546875" style="85" bestFit="1" customWidth="1"/>
    <col min="4" max="4" width="6.42578125" style="85" bestFit="1" customWidth="1"/>
    <col min="5" max="6" width="7" style="85" bestFit="1" customWidth="1"/>
    <col min="7" max="8" width="7" style="85" hidden="1" customWidth="1"/>
    <col min="9" max="9" width="0.7109375" style="85" hidden="1" customWidth="1"/>
    <col min="10" max="10" width="6.7109375" style="85" hidden="1" customWidth="1"/>
    <col min="11" max="11" width="7" style="85" bestFit="1" customWidth="1"/>
    <col min="12" max="12" width="6.7109375" style="85" bestFit="1" customWidth="1"/>
    <col min="13" max="13" width="12.5703125" style="85" bestFit="1" customWidth="1"/>
    <col min="14" max="16384" width="11.42578125" style="85"/>
  </cols>
  <sheetData>
    <row r="1" spans="1:12" ht="33" customHeight="1" x14ac:dyDescent="0.25">
      <c r="A1" s="158" t="s">
        <v>29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15" customHeight="1" x14ac:dyDescent="0.25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</row>
    <row r="3" spans="1:12" ht="15.75" x14ac:dyDescent="0.25">
      <c r="A3" s="153" t="s">
        <v>30</v>
      </c>
      <c r="B3" s="155" t="s">
        <v>31</v>
      </c>
      <c r="C3" s="157" t="s">
        <v>2</v>
      </c>
      <c r="D3" s="157"/>
      <c r="E3" s="157"/>
      <c r="F3" s="157" t="s">
        <v>3</v>
      </c>
      <c r="G3" s="157"/>
      <c r="H3" s="157"/>
      <c r="I3" s="157"/>
      <c r="J3" s="157"/>
      <c r="K3" s="157"/>
      <c r="L3" s="84"/>
    </row>
    <row r="4" spans="1:12" x14ac:dyDescent="0.25">
      <c r="A4" s="154"/>
      <c r="B4" s="156"/>
      <c r="C4" s="86">
        <v>1994</v>
      </c>
      <c r="D4" s="86">
        <v>2004</v>
      </c>
      <c r="E4" s="86">
        <v>2014</v>
      </c>
      <c r="F4" s="86">
        <v>2017</v>
      </c>
      <c r="G4" s="86">
        <v>2020</v>
      </c>
      <c r="H4" s="86">
        <v>2025</v>
      </c>
      <c r="I4" s="86">
        <v>2027</v>
      </c>
      <c r="J4" s="86">
        <v>2030</v>
      </c>
      <c r="K4" s="87">
        <v>2035</v>
      </c>
      <c r="L4" s="102">
        <v>2040</v>
      </c>
    </row>
    <row r="5" spans="1:12" x14ac:dyDescent="0.25">
      <c r="A5" s="83" t="s">
        <v>32</v>
      </c>
      <c r="B5" s="19" t="s">
        <v>33</v>
      </c>
      <c r="C5" s="88">
        <f>+'[1]Fiche besoin'!C9</f>
        <v>6573</v>
      </c>
      <c r="D5" s="89">
        <f>+'[2]Fiche besoin '!D7</f>
        <v>9884</v>
      </c>
      <c r="E5" s="89">
        <f>+'[2]Fiche besoin '!E7</f>
        <v>15866</v>
      </c>
      <c r="F5" s="89">
        <f>+'[2]Fiche besoin '!F7</f>
        <v>18262.124444672001</v>
      </c>
      <c r="G5" s="89">
        <f>+'[2]Fiche besoin '!G7</f>
        <v>21020.11781373293</v>
      </c>
      <c r="H5" s="89">
        <f>+'[2]Fiche besoin '!H7</f>
        <v>26573.059445807863</v>
      </c>
      <c r="I5" s="89">
        <f>+'[2]Fiche besoin '!I7</f>
        <v>29018.445241308327</v>
      </c>
      <c r="J5" s="89">
        <f>+'[2]Fiche besoin '!J7</f>
        <v>32641.804387919052</v>
      </c>
      <c r="K5" s="89">
        <f>+'[2]Fiche besoin '!K7</f>
        <v>36931.205568060846</v>
      </c>
      <c r="L5" s="103">
        <f>+'[2]Fiche besoin '!L7</f>
        <v>41784.269291656012</v>
      </c>
    </row>
    <row r="6" spans="1:12" x14ac:dyDescent="0.25">
      <c r="A6" s="83" t="s">
        <v>34</v>
      </c>
      <c r="B6" s="19" t="s">
        <v>35</v>
      </c>
      <c r="C6" s="10" t="str">
        <f>+'[3]Fiche besoin'!C8</f>
        <v>-</v>
      </c>
      <c r="D6" s="18">
        <f>+'[2]Fiche besoin '!D8</f>
        <v>4.1638228892600271E-2</v>
      </c>
      <c r="E6" s="18">
        <f>+'[2]Fiche besoin '!E8</f>
        <v>4.8463874885652514E-2</v>
      </c>
      <c r="F6" s="18">
        <f>+'[2]Fiche besoin '!F8</f>
        <v>4.8000000000000001E-2</v>
      </c>
      <c r="G6" s="18">
        <f>+'[2]Fiche besoin '!G8</f>
        <v>4.8000000000000001E-2</v>
      </c>
      <c r="H6" s="18">
        <f>+'[2]Fiche besoin '!H8</f>
        <v>4.8000000000000001E-2</v>
      </c>
      <c r="I6" s="18">
        <f>+'[2]Fiche besoin '!I8</f>
        <v>4.4999999999999998E-2</v>
      </c>
      <c r="J6" s="18">
        <f>+'[2]Fiche besoin '!J8</f>
        <v>0.04</v>
      </c>
      <c r="K6" s="18">
        <f>+'[2]Fiche besoin '!K8</f>
        <v>2.5000000000000001E-2</v>
      </c>
      <c r="L6" s="74">
        <f>+'[2]Fiche besoin '!L8</f>
        <v>2.5000000000000001E-2</v>
      </c>
    </row>
    <row r="7" spans="1:12" ht="28.5" x14ac:dyDescent="0.25">
      <c r="A7" s="83" t="s">
        <v>36</v>
      </c>
      <c r="B7" s="19" t="s">
        <v>35</v>
      </c>
      <c r="C7" s="141"/>
      <c r="D7" s="90">
        <f>+'[2]Fiche besoin '!D10</f>
        <v>0.79</v>
      </c>
      <c r="E7" s="90">
        <f>+'[2]Fiche besoin '!E10</f>
        <v>0.98</v>
      </c>
      <c r="F7" s="90">
        <f>+'[2]Fiche besoin '!F10</f>
        <v>0.98</v>
      </c>
      <c r="G7" s="90">
        <f>+'[2]Fiche besoin '!G10</f>
        <v>0.98</v>
      </c>
      <c r="H7" s="90">
        <f>+'[2]Fiche besoin '!H10</f>
        <v>0.98</v>
      </c>
      <c r="I7" s="90">
        <f>+'[2]Fiche besoin '!I10</f>
        <v>0.98</v>
      </c>
      <c r="J7" s="90">
        <f>+'[2]Fiche besoin '!J10</f>
        <v>0.98</v>
      </c>
      <c r="K7" s="90">
        <f>+'[2]Fiche besoin '!K10</f>
        <v>0.98</v>
      </c>
      <c r="L7" s="104">
        <f>+'[2]Fiche besoin '!L10</f>
        <v>1</v>
      </c>
    </row>
    <row r="8" spans="1:12" x14ac:dyDescent="0.25">
      <c r="A8" s="83" t="s">
        <v>37</v>
      </c>
      <c r="B8" s="19" t="s">
        <v>38</v>
      </c>
      <c r="C8" s="142"/>
      <c r="D8" s="89">
        <f>+'[2]Fiche besoin '!D18</f>
        <v>62.951000000000008</v>
      </c>
      <c r="E8" s="89">
        <f>+'[2]Fiche besoin '!E18</f>
        <v>83.600000000000009</v>
      </c>
      <c r="F8" s="89">
        <f>+'[2]Fiche besoin '!F18</f>
        <v>83.600000000000023</v>
      </c>
      <c r="G8" s="89">
        <f>+'[2]Fiche besoin '!G18</f>
        <v>83.6</v>
      </c>
      <c r="H8" s="89">
        <f>+'[2]Fiche besoin '!H18</f>
        <v>83.6</v>
      </c>
      <c r="I8" s="89">
        <f>+'[2]Fiche besoin '!I18</f>
        <v>83.6</v>
      </c>
      <c r="J8" s="89">
        <f>+'[2]Fiche besoin '!J18</f>
        <v>83.600000000000023</v>
      </c>
      <c r="K8" s="89">
        <f>+'[2]Fiche besoin '!K18</f>
        <v>83.600000000000009</v>
      </c>
      <c r="L8" s="103">
        <f>+'[2]Fiche besoin '!L18</f>
        <v>84.999999999999986</v>
      </c>
    </row>
    <row r="9" spans="1:12" x14ac:dyDescent="0.25">
      <c r="A9" s="83" t="s">
        <v>39</v>
      </c>
      <c r="B9" s="19" t="s">
        <v>40</v>
      </c>
      <c r="C9" s="142"/>
      <c r="D9" s="89">
        <f>+'[2]Fiche besoin '!D25</f>
        <v>622.20768400000009</v>
      </c>
      <c r="E9" s="89">
        <f>+'[2]Fiche besoin '!E25</f>
        <v>1326.3976</v>
      </c>
      <c r="F9" s="89">
        <f>+'[2]Fiche besoin '!F25</f>
        <v>1526.7136035745796</v>
      </c>
      <c r="G9" s="89">
        <f>+'[2]Fiche besoin '!G25</f>
        <v>1757.2818492280728</v>
      </c>
      <c r="H9" s="89">
        <f>+'[2]Fiche besoin '!H25</f>
        <v>2221.5077696695371</v>
      </c>
      <c r="I9" s="89">
        <f>+'[2]Fiche besoin '!I25</f>
        <v>2425.9420221733758</v>
      </c>
      <c r="J9" s="89">
        <f>+'[2]Fiche besoin '!J25</f>
        <v>2728.8548468300332</v>
      </c>
      <c r="K9" s="89">
        <f>+'[2]Fiche besoin '!K25</f>
        <v>3087.4487854898871</v>
      </c>
      <c r="L9" s="103">
        <f>+'[2]Fiche besoin '!L25</f>
        <v>3551.6628897907608</v>
      </c>
    </row>
    <row r="10" spans="1:12" ht="28.5" x14ac:dyDescent="0.25">
      <c r="A10" s="83" t="s">
        <v>41</v>
      </c>
      <c r="B10" s="19" t="s">
        <v>35</v>
      </c>
      <c r="C10" s="142"/>
      <c r="D10" s="91">
        <v>60</v>
      </c>
      <c r="E10" s="91">
        <v>61</v>
      </c>
      <c r="F10" s="91">
        <v>62</v>
      </c>
      <c r="G10" s="91">
        <v>92</v>
      </c>
      <c r="H10" s="91">
        <v>92</v>
      </c>
      <c r="I10" s="91">
        <v>92</v>
      </c>
      <c r="J10" s="91">
        <v>92</v>
      </c>
      <c r="K10" s="91">
        <v>100</v>
      </c>
      <c r="L10" s="105">
        <v>100</v>
      </c>
    </row>
    <row r="11" spans="1:12" x14ac:dyDescent="0.25">
      <c r="A11" s="83" t="s">
        <v>42</v>
      </c>
      <c r="B11" s="19" t="s">
        <v>33</v>
      </c>
      <c r="C11" s="142"/>
      <c r="D11" s="88">
        <f>D5*D10*0.01</f>
        <v>5930.4000000000005</v>
      </c>
      <c r="E11" s="88">
        <f>E5*E10*0.01</f>
        <v>9678.26</v>
      </c>
      <c r="F11" s="88">
        <f>F5*F10*0.01</f>
        <v>11322.51715569664</v>
      </c>
      <c r="G11" s="88">
        <f t="shared" ref="G11:K11" si="0">G5*G10*0.01</f>
        <v>19338.508388634298</v>
      </c>
      <c r="H11" s="88">
        <f t="shared" si="0"/>
        <v>24447.214690143235</v>
      </c>
      <c r="I11" s="88">
        <f t="shared" si="0"/>
        <v>26696.96962200366</v>
      </c>
      <c r="J11" s="88">
        <f t="shared" si="0"/>
        <v>30030.460036885528</v>
      </c>
      <c r="K11" s="88">
        <f t="shared" si="0"/>
        <v>36931.205568060846</v>
      </c>
      <c r="L11" s="103">
        <f>L5*L10*0.01</f>
        <v>41784.269291656012</v>
      </c>
    </row>
    <row r="12" spans="1:12" x14ac:dyDescent="0.25">
      <c r="A12" s="83" t="s">
        <v>43</v>
      </c>
      <c r="B12" s="19" t="s">
        <v>35</v>
      </c>
      <c r="C12" s="142"/>
      <c r="D12" s="91">
        <v>80</v>
      </c>
      <c r="E12" s="91">
        <v>80</v>
      </c>
      <c r="F12" s="91">
        <v>80</v>
      </c>
      <c r="G12" s="91">
        <v>80</v>
      </c>
      <c r="H12" s="91">
        <v>80</v>
      </c>
      <c r="I12" s="91">
        <v>80</v>
      </c>
      <c r="J12" s="91">
        <v>80</v>
      </c>
      <c r="K12" s="91">
        <v>80</v>
      </c>
      <c r="L12" s="105">
        <v>80</v>
      </c>
    </row>
    <row r="13" spans="1:12" x14ac:dyDescent="0.25">
      <c r="A13" s="83" t="s">
        <v>44</v>
      </c>
      <c r="B13" s="19" t="s">
        <v>40</v>
      </c>
      <c r="C13" s="142"/>
      <c r="D13" s="88">
        <f t="shared" ref="D13:K13" si="1">D9*D12*D10*10^(-4)</f>
        <v>298.65968832000004</v>
      </c>
      <c r="E13" s="88">
        <f t="shared" si="1"/>
        <v>647.28202880000015</v>
      </c>
      <c r="F13" s="88">
        <f t="shared" si="1"/>
        <v>757.24994737299153</v>
      </c>
      <c r="G13" s="88">
        <f t="shared" si="1"/>
        <v>1293.3594410318615</v>
      </c>
      <c r="H13" s="88">
        <f t="shared" si="1"/>
        <v>1635.0297184767794</v>
      </c>
      <c r="I13" s="88">
        <f t="shared" si="1"/>
        <v>1785.4933283196049</v>
      </c>
      <c r="J13" s="88">
        <f t="shared" si="1"/>
        <v>2008.4371672669042</v>
      </c>
      <c r="K13" s="88">
        <f t="shared" si="1"/>
        <v>2469.9590283919097</v>
      </c>
      <c r="L13" s="103">
        <f>L9*L12*L10*10^(-4)</f>
        <v>2841.3303118326085</v>
      </c>
    </row>
    <row r="14" spans="1:12" x14ac:dyDescent="0.25">
      <c r="A14" s="150" t="s">
        <v>45</v>
      </c>
      <c r="B14" s="19" t="s">
        <v>40</v>
      </c>
      <c r="C14" s="142"/>
      <c r="D14" s="88">
        <f t="shared" ref="D14:L14" si="2">D13*0.1</f>
        <v>29.865968832000007</v>
      </c>
      <c r="E14" s="88">
        <f t="shared" si="2"/>
        <v>64.728202880000012</v>
      </c>
      <c r="F14" s="88">
        <f t="shared" si="2"/>
        <v>75.724994737299156</v>
      </c>
      <c r="G14" s="88">
        <f t="shared" si="2"/>
        <v>129.33594410318616</v>
      </c>
      <c r="H14" s="88">
        <f t="shared" si="2"/>
        <v>163.50297184767794</v>
      </c>
      <c r="I14" s="88">
        <f t="shared" si="2"/>
        <v>178.5493328319605</v>
      </c>
      <c r="J14" s="88">
        <f t="shared" si="2"/>
        <v>200.84371672669045</v>
      </c>
      <c r="K14" s="88">
        <f t="shared" si="2"/>
        <v>246.99590283919099</v>
      </c>
      <c r="L14" s="103">
        <f t="shared" si="2"/>
        <v>284.13303118326087</v>
      </c>
    </row>
    <row r="15" spans="1:12" x14ac:dyDescent="0.25">
      <c r="A15" s="150"/>
      <c r="B15" s="19" t="s">
        <v>46</v>
      </c>
      <c r="C15" s="142"/>
      <c r="D15" s="92">
        <f t="shared" ref="D15:L17" si="3">D14*1000/(3600*24)</f>
        <v>0.34567093555555561</v>
      </c>
      <c r="E15" s="92">
        <f t="shared" si="3"/>
        <v>0.7491690148148149</v>
      </c>
      <c r="F15" s="92">
        <f t="shared" si="3"/>
        <v>0.87644669834836986</v>
      </c>
      <c r="G15" s="92">
        <f t="shared" si="3"/>
        <v>1.4969437974905806</v>
      </c>
      <c r="H15" s="92">
        <f t="shared" si="3"/>
        <v>1.8923955074962726</v>
      </c>
      <c r="I15" s="92">
        <f t="shared" si="3"/>
        <v>2.0665432040736169</v>
      </c>
      <c r="J15" s="92">
        <f t="shared" si="3"/>
        <v>2.3245800547070652</v>
      </c>
      <c r="K15" s="92">
        <f t="shared" si="3"/>
        <v>2.8587488754535997</v>
      </c>
      <c r="L15" s="106">
        <f t="shared" si="3"/>
        <v>3.2885767498062597</v>
      </c>
    </row>
    <row r="16" spans="1:12" x14ac:dyDescent="0.25">
      <c r="A16" s="150" t="s">
        <v>47</v>
      </c>
      <c r="B16" s="93" t="s">
        <v>40</v>
      </c>
      <c r="C16" s="142"/>
      <c r="D16" s="94">
        <f t="shared" ref="D16:L16" si="4">D13+D14</f>
        <v>328.52565715200006</v>
      </c>
      <c r="E16" s="94">
        <f t="shared" si="4"/>
        <v>712.01023168000017</v>
      </c>
      <c r="F16" s="94">
        <f t="shared" si="4"/>
        <v>832.97494211029073</v>
      </c>
      <c r="G16" s="94">
        <f t="shared" si="4"/>
        <v>1422.6953851350477</v>
      </c>
      <c r="H16" s="94">
        <f t="shared" si="4"/>
        <v>1798.5326903244572</v>
      </c>
      <c r="I16" s="94">
        <f t="shared" si="4"/>
        <v>1964.0426611515654</v>
      </c>
      <c r="J16" s="94">
        <f t="shared" si="4"/>
        <v>2209.2808839935947</v>
      </c>
      <c r="K16" s="94">
        <f t="shared" si="4"/>
        <v>2716.9549312311005</v>
      </c>
      <c r="L16" s="103">
        <f t="shared" si="4"/>
        <v>3125.4633430158692</v>
      </c>
    </row>
    <row r="17" spans="1:17" x14ac:dyDescent="0.25">
      <c r="A17" s="150"/>
      <c r="B17" s="93" t="s">
        <v>46</v>
      </c>
      <c r="C17" s="142"/>
      <c r="D17" s="95">
        <f t="shared" si="3"/>
        <v>3.802380291111112</v>
      </c>
      <c r="E17" s="95">
        <f t="shared" si="3"/>
        <v>8.2408591629629662</v>
      </c>
      <c r="F17" s="95">
        <f t="shared" si="3"/>
        <v>9.6409136818320693</v>
      </c>
      <c r="G17" s="95">
        <f t="shared" si="3"/>
        <v>16.466381772396385</v>
      </c>
      <c r="H17" s="95">
        <f t="shared" si="3"/>
        <v>20.816350582458995</v>
      </c>
      <c r="I17" s="95">
        <f t="shared" si="3"/>
        <v>22.731975244809785</v>
      </c>
      <c r="J17" s="95">
        <f t="shared" si="3"/>
        <v>25.570380601777714</v>
      </c>
      <c r="K17" s="95">
        <f t="shared" si="3"/>
        <v>31.446237629989589</v>
      </c>
      <c r="L17" s="106">
        <f t="shared" si="3"/>
        <v>36.174344247868859</v>
      </c>
    </row>
    <row r="18" spans="1:17" x14ac:dyDescent="0.25">
      <c r="A18" s="83" t="s">
        <v>48</v>
      </c>
      <c r="B18" s="19" t="s">
        <v>7</v>
      </c>
      <c r="C18" s="142"/>
      <c r="D18" s="96">
        <v>1.3</v>
      </c>
      <c r="E18" s="96">
        <v>1.3</v>
      </c>
      <c r="F18" s="96">
        <v>1.3</v>
      </c>
      <c r="G18" s="96">
        <v>1.3</v>
      </c>
      <c r="H18" s="96">
        <v>1.3</v>
      </c>
      <c r="I18" s="96">
        <v>1.3</v>
      </c>
      <c r="J18" s="96">
        <v>1.3</v>
      </c>
      <c r="K18" s="96">
        <v>1.3</v>
      </c>
      <c r="L18" s="107">
        <v>1.3</v>
      </c>
    </row>
    <row r="19" spans="1:17" x14ac:dyDescent="0.25">
      <c r="A19" s="83" t="s">
        <v>49</v>
      </c>
      <c r="B19" s="19" t="s">
        <v>7</v>
      </c>
      <c r="C19" s="142"/>
      <c r="D19" s="96">
        <f>1.5+2.5/((D13*0.01157)^0.5)</f>
        <v>2.8448846149674543</v>
      </c>
      <c r="E19" s="96">
        <f t="shared" ref="E19:L19" si="5">1.5+2.5/((E13*0.01157)^0.5)</f>
        <v>2.413537868105637</v>
      </c>
      <c r="F19" s="96">
        <f t="shared" si="5"/>
        <v>2.3446051073452745</v>
      </c>
      <c r="G19" s="96">
        <f t="shared" si="5"/>
        <v>2.1462695744765963</v>
      </c>
      <c r="H19" s="96">
        <f t="shared" si="5"/>
        <v>2.0747917204894977</v>
      </c>
      <c r="I19" s="96">
        <f t="shared" si="5"/>
        <v>2.0500399239133951</v>
      </c>
      <c r="J19" s="96">
        <f t="shared" si="5"/>
        <v>2.0186139617769032</v>
      </c>
      <c r="K19" s="96">
        <f t="shared" si="5"/>
        <v>1.9676580932067029</v>
      </c>
      <c r="L19" s="107">
        <f t="shared" si="5"/>
        <v>1.9360260804798548</v>
      </c>
    </row>
    <row r="20" spans="1:17" ht="28.5" x14ac:dyDescent="0.25">
      <c r="A20" s="83" t="s">
        <v>50</v>
      </c>
      <c r="B20" s="19" t="s">
        <v>46</v>
      </c>
      <c r="C20" s="142"/>
      <c r="D20" s="97">
        <f>D13/24/3.6*D18*D19</f>
        <v>12.784121043244284</v>
      </c>
      <c r="E20" s="97">
        <f>E13/24/3.6*E18*E19</f>
        <v>23.505921229270331</v>
      </c>
      <c r="F20" s="97">
        <f>F13/24/3.6*F18*F19</f>
        <v>26.713978268425386</v>
      </c>
      <c r="G20" s="97">
        <f t="shared" ref="G20:L20" si="6">G13/24/3.6*G18*G19</f>
        <v>41.766984054321348</v>
      </c>
      <c r="H20" s="97">
        <f t="shared" si="6"/>
        <v>51.042244900982233</v>
      </c>
      <c r="I20" s="97">
        <f t="shared" si="6"/>
        <v>55.074448946956672</v>
      </c>
      <c r="J20" s="97">
        <f t="shared" si="6"/>
        <v>61.001586798097385</v>
      </c>
      <c r="K20" s="97">
        <f t="shared" si="6"/>
        <v>73.125524696013869</v>
      </c>
      <c r="L20" s="108">
        <f t="shared" si="6"/>
        <v>82.768014618699723</v>
      </c>
    </row>
    <row r="21" spans="1:17" x14ac:dyDescent="0.25">
      <c r="A21" s="160" t="s">
        <v>51</v>
      </c>
      <c r="B21" s="19" t="s">
        <v>46</v>
      </c>
      <c r="C21" s="142"/>
      <c r="D21" s="92">
        <f t="shared" ref="D21:L21" si="7">D20+D14*1000/(3600*24)</f>
        <v>13.129791978799839</v>
      </c>
      <c r="E21" s="92">
        <f t="shared" si="7"/>
        <v>24.255090244085146</v>
      </c>
      <c r="F21" s="92">
        <f t="shared" si="7"/>
        <v>27.590424966773757</v>
      </c>
      <c r="G21" s="92">
        <f t="shared" si="7"/>
        <v>43.263927851811928</v>
      </c>
      <c r="H21" s="92">
        <f t="shared" si="7"/>
        <v>52.934640408478508</v>
      </c>
      <c r="I21" s="92">
        <f t="shared" si="7"/>
        <v>57.140992151030289</v>
      </c>
      <c r="J21" s="92">
        <f t="shared" si="7"/>
        <v>63.326166852804448</v>
      </c>
      <c r="K21" s="92">
        <f t="shared" si="7"/>
        <v>75.984273571467469</v>
      </c>
      <c r="L21" s="106">
        <f t="shared" si="7"/>
        <v>86.056591368505977</v>
      </c>
      <c r="M21" s="114"/>
    </row>
    <row r="22" spans="1:17" x14ac:dyDescent="0.25">
      <c r="A22" s="161"/>
      <c r="B22" s="19" t="s">
        <v>52</v>
      </c>
      <c r="C22" s="142"/>
      <c r="D22" s="97">
        <f>D21*3.6</f>
        <v>47.267251123679422</v>
      </c>
      <c r="E22" s="97">
        <f>E21*3.6</f>
        <v>87.318324878706534</v>
      </c>
      <c r="F22" s="97">
        <f>F21*3.6</f>
        <v>99.325529880385531</v>
      </c>
      <c r="G22" s="97">
        <f t="shared" ref="G22:L22" si="8">G21*3.6</f>
        <v>155.75014026652295</v>
      </c>
      <c r="H22" s="97">
        <f t="shared" si="8"/>
        <v>190.56470547052263</v>
      </c>
      <c r="I22" s="97">
        <f t="shared" si="8"/>
        <v>205.70757174370905</v>
      </c>
      <c r="J22" s="97">
        <f t="shared" si="8"/>
        <v>227.97420067009602</v>
      </c>
      <c r="K22" s="97">
        <f t="shared" si="8"/>
        <v>273.54338485728289</v>
      </c>
      <c r="L22" s="108">
        <f t="shared" si="8"/>
        <v>309.80372892662155</v>
      </c>
    </row>
    <row r="23" spans="1:17" x14ac:dyDescent="0.25">
      <c r="A23" s="151" t="s">
        <v>53</v>
      </c>
      <c r="B23" s="81" t="s">
        <v>46</v>
      </c>
      <c r="C23" s="142"/>
      <c r="D23" s="98">
        <f t="shared" ref="D23:L23" si="9">(D21*1.5)+D15</f>
        <v>20.040358903755315</v>
      </c>
      <c r="E23" s="98">
        <f t="shared" si="9"/>
        <v>37.131804380942533</v>
      </c>
      <c r="F23" s="98">
        <f t="shared" si="9"/>
        <v>42.262084148509004</v>
      </c>
      <c r="G23" s="98">
        <f t="shared" si="9"/>
        <v>66.39283557520848</v>
      </c>
      <c r="H23" s="98">
        <f t="shared" si="9"/>
        <v>81.294356120214033</v>
      </c>
      <c r="I23" s="98">
        <f t="shared" si="9"/>
        <v>87.778031430619052</v>
      </c>
      <c r="J23" s="98">
        <f t="shared" si="9"/>
        <v>97.313830333913742</v>
      </c>
      <c r="K23" s="98">
        <f t="shared" si="9"/>
        <v>116.8351592326548</v>
      </c>
      <c r="L23" s="109">
        <f t="shared" si="9"/>
        <v>132.37346380256523</v>
      </c>
      <c r="Q23"/>
    </row>
    <row r="24" spans="1:17" x14ac:dyDescent="0.25">
      <c r="A24" s="151"/>
      <c r="B24" s="82" t="s">
        <v>54</v>
      </c>
      <c r="C24" s="143"/>
      <c r="D24" s="99">
        <f>D23/1000</f>
        <v>2.0040358903755315E-2</v>
      </c>
      <c r="E24" s="99">
        <f>E23/1000</f>
        <v>3.7131804380942532E-2</v>
      </c>
      <c r="F24" s="99">
        <f>F23/1000</f>
        <v>4.2262084148509002E-2</v>
      </c>
      <c r="G24" s="99">
        <f t="shared" ref="G24:L24" si="10">G23/1000</f>
        <v>6.6392835575208475E-2</v>
      </c>
      <c r="H24" s="99">
        <f t="shared" si="10"/>
        <v>8.1294356120214031E-2</v>
      </c>
      <c r="I24" s="99">
        <f t="shared" si="10"/>
        <v>8.7778031430619047E-2</v>
      </c>
      <c r="J24" s="99">
        <f t="shared" si="10"/>
        <v>9.7313830333913748E-2</v>
      </c>
      <c r="K24" s="99">
        <f t="shared" si="10"/>
        <v>0.11683515923265481</v>
      </c>
      <c r="L24" s="110">
        <f t="shared" si="10"/>
        <v>0.13237346380256523</v>
      </c>
      <c r="Q24"/>
    </row>
    <row r="25" spans="1:17" ht="16.5" customHeight="1" x14ac:dyDescent="0.25">
      <c r="A25" s="80" t="s">
        <v>55</v>
      </c>
      <c r="B25" s="138"/>
      <c r="C25" s="139"/>
      <c r="D25" s="139"/>
      <c r="E25" s="139"/>
      <c r="F25" s="139"/>
      <c r="G25" s="139"/>
      <c r="H25" s="139"/>
      <c r="I25" s="139"/>
      <c r="J25" s="139"/>
      <c r="K25" s="139"/>
      <c r="L25" s="140"/>
      <c r="Q25"/>
    </row>
    <row r="26" spans="1:17" x14ac:dyDescent="0.25">
      <c r="A26" s="83" t="s">
        <v>56</v>
      </c>
      <c r="B26" s="19" t="s">
        <v>57</v>
      </c>
      <c r="C26" s="144"/>
      <c r="D26" s="93">
        <v>25</v>
      </c>
      <c r="E26" s="93">
        <v>25</v>
      </c>
      <c r="F26" s="93">
        <v>25</v>
      </c>
      <c r="G26" s="93">
        <v>25</v>
      </c>
      <c r="H26" s="93">
        <v>25</v>
      </c>
      <c r="I26" s="93">
        <v>25</v>
      </c>
      <c r="J26" s="93">
        <v>25</v>
      </c>
      <c r="K26" s="93">
        <v>25</v>
      </c>
      <c r="L26" s="93">
        <v>25</v>
      </c>
      <c r="Q26"/>
    </row>
    <row r="27" spans="1:17" x14ac:dyDescent="0.25">
      <c r="A27" s="83" t="s">
        <v>58</v>
      </c>
      <c r="B27" s="19" t="s">
        <v>57</v>
      </c>
      <c r="C27" s="145"/>
      <c r="D27" s="93">
        <f>1.8*D26</f>
        <v>45</v>
      </c>
      <c r="E27" s="93">
        <f>1.8*E26</f>
        <v>45</v>
      </c>
      <c r="F27" s="93">
        <f t="shared" ref="F27:L27" si="11">1.8*F26</f>
        <v>45</v>
      </c>
      <c r="G27" s="93">
        <f t="shared" si="11"/>
        <v>45</v>
      </c>
      <c r="H27" s="93">
        <f t="shared" si="11"/>
        <v>45</v>
      </c>
      <c r="I27" s="93">
        <f t="shared" si="11"/>
        <v>45</v>
      </c>
      <c r="J27" s="93">
        <f t="shared" si="11"/>
        <v>45</v>
      </c>
      <c r="K27" s="93">
        <f t="shared" si="11"/>
        <v>45</v>
      </c>
      <c r="L27" s="93">
        <f t="shared" si="11"/>
        <v>45</v>
      </c>
      <c r="Q27"/>
    </row>
    <row r="28" spans="1:17" x14ac:dyDescent="0.25">
      <c r="A28" s="83" t="s">
        <v>59</v>
      </c>
      <c r="B28" s="19" t="s">
        <v>57</v>
      </c>
      <c r="C28" s="145"/>
      <c r="D28" s="93">
        <v>35</v>
      </c>
      <c r="E28" s="93">
        <v>35</v>
      </c>
      <c r="F28" s="93">
        <v>35</v>
      </c>
      <c r="G28" s="93">
        <v>35</v>
      </c>
      <c r="H28" s="93">
        <v>35</v>
      </c>
      <c r="I28" s="93">
        <v>35</v>
      </c>
      <c r="J28" s="93">
        <v>35</v>
      </c>
      <c r="K28" s="93">
        <v>35</v>
      </c>
      <c r="L28" s="93">
        <v>35</v>
      </c>
      <c r="Q28"/>
    </row>
    <row r="29" spans="1:17" x14ac:dyDescent="0.25">
      <c r="A29" s="83" t="s">
        <v>60</v>
      </c>
      <c r="B29" s="19" t="s">
        <v>61</v>
      </c>
      <c r="C29" s="145"/>
      <c r="D29" s="88">
        <f>D26*D11*0.001</f>
        <v>148.26</v>
      </c>
      <c r="E29" s="88">
        <f t="shared" ref="E29:L29" si="12">E26*E11*0.001</f>
        <v>241.95650000000001</v>
      </c>
      <c r="F29" s="88">
        <f t="shared" si="12"/>
        <v>283.06292889241604</v>
      </c>
      <c r="G29" s="88">
        <f t="shared" si="12"/>
        <v>483.4627097158575</v>
      </c>
      <c r="H29" s="88">
        <f t="shared" si="12"/>
        <v>611.18036725358081</v>
      </c>
      <c r="I29" s="88">
        <f t="shared" si="12"/>
        <v>667.42424055009155</v>
      </c>
      <c r="J29" s="88">
        <f t="shared" si="12"/>
        <v>750.76150092213823</v>
      </c>
      <c r="K29" s="88">
        <f t="shared" si="12"/>
        <v>923.28013920152114</v>
      </c>
      <c r="L29" s="103">
        <f t="shared" si="12"/>
        <v>1044.6067322914002</v>
      </c>
    </row>
    <row r="30" spans="1:17" x14ac:dyDescent="0.25">
      <c r="A30" s="83" t="s">
        <v>62</v>
      </c>
      <c r="B30" s="19" t="s">
        <v>61</v>
      </c>
      <c r="C30" s="145"/>
      <c r="D30" s="88">
        <f t="shared" ref="D30:L30" si="13">D27*D11*0.001</f>
        <v>266.86799999999999</v>
      </c>
      <c r="E30" s="88">
        <f t="shared" si="13"/>
        <v>435.52170000000001</v>
      </c>
      <c r="F30" s="88">
        <f t="shared" si="13"/>
        <v>509.51327200634876</v>
      </c>
      <c r="G30" s="88">
        <f t="shared" si="13"/>
        <v>870.23287748854341</v>
      </c>
      <c r="H30" s="88">
        <f t="shared" si="13"/>
        <v>1100.1246610564458</v>
      </c>
      <c r="I30" s="88">
        <f t="shared" si="13"/>
        <v>1201.3636329901647</v>
      </c>
      <c r="J30" s="88">
        <f t="shared" si="13"/>
        <v>1351.3707016598487</v>
      </c>
      <c r="K30" s="88">
        <f t="shared" si="13"/>
        <v>1661.9042505627383</v>
      </c>
      <c r="L30" s="103">
        <f t="shared" si="13"/>
        <v>1880.2921181245206</v>
      </c>
    </row>
    <row r="31" spans="1:17" x14ac:dyDescent="0.25">
      <c r="A31" s="83" t="s">
        <v>63</v>
      </c>
      <c r="B31" s="19" t="s">
        <v>61</v>
      </c>
      <c r="C31" s="146"/>
      <c r="D31" s="88">
        <f t="shared" ref="D31:L31" si="14">D28*D11*0.001</f>
        <v>207.56400000000002</v>
      </c>
      <c r="E31" s="88">
        <f t="shared" si="14"/>
        <v>338.73910000000006</v>
      </c>
      <c r="F31" s="88">
        <f t="shared" si="14"/>
        <v>396.2881004493824</v>
      </c>
      <c r="G31" s="88">
        <f t="shared" si="14"/>
        <v>676.84779360220045</v>
      </c>
      <c r="H31" s="88">
        <f t="shared" si="14"/>
        <v>855.65251415501325</v>
      </c>
      <c r="I31" s="88">
        <f t="shared" si="14"/>
        <v>934.39393677012811</v>
      </c>
      <c r="J31" s="88">
        <f t="shared" si="14"/>
        <v>1051.0661012909934</v>
      </c>
      <c r="K31" s="88">
        <f t="shared" si="14"/>
        <v>1292.5921948821297</v>
      </c>
      <c r="L31" s="103">
        <f t="shared" si="14"/>
        <v>1462.4494252079605</v>
      </c>
    </row>
    <row r="32" spans="1:17" x14ac:dyDescent="0.25">
      <c r="A32" s="80" t="s">
        <v>64</v>
      </c>
      <c r="B32" s="138"/>
      <c r="C32" s="139"/>
      <c r="D32" s="139"/>
      <c r="E32" s="139"/>
      <c r="F32" s="139"/>
      <c r="G32" s="139"/>
      <c r="H32" s="139"/>
      <c r="I32" s="139"/>
      <c r="J32" s="139"/>
      <c r="K32" s="139"/>
      <c r="L32" s="140"/>
    </row>
    <row r="33" spans="1:12" x14ac:dyDescent="0.25">
      <c r="A33" s="83" t="s">
        <v>65</v>
      </c>
      <c r="B33" s="19" t="s">
        <v>66</v>
      </c>
      <c r="C33" s="144"/>
      <c r="D33" s="88">
        <v>14.70830676757812</v>
      </c>
      <c r="E33" s="88">
        <v>14.70830676757812</v>
      </c>
      <c r="F33" s="88">
        <v>14.708306767578099</v>
      </c>
      <c r="G33" s="88">
        <v>14.708306767578099</v>
      </c>
      <c r="H33" s="88">
        <v>14.708306767578099</v>
      </c>
      <c r="I33" s="88">
        <v>14.708306767578099</v>
      </c>
      <c r="J33" s="88">
        <v>14.708306767578099</v>
      </c>
      <c r="K33" s="88">
        <v>14.708306767578099</v>
      </c>
      <c r="L33" s="103">
        <v>14.708306767578099</v>
      </c>
    </row>
    <row r="34" spans="1:12" x14ac:dyDescent="0.25">
      <c r="A34" s="152" t="s">
        <v>56</v>
      </c>
      <c r="B34" s="19" t="s">
        <v>67</v>
      </c>
      <c r="C34" s="145"/>
      <c r="D34" s="19">
        <v>500</v>
      </c>
      <c r="E34" s="19">
        <v>500</v>
      </c>
      <c r="F34" s="19">
        <v>500</v>
      </c>
      <c r="G34" s="19">
        <v>500</v>
      </c>
      <c r="H34" s="19">
        <v>500</v>
      </c>
      <c r="I34" s="19">
        <v>500</v>
      </c>
      <c r="J34" s="19">
        <v>500</v>
      </c>
      <c r="K34" s="19">
        <v>500</v>
      </c>
      <c r="L34" s="105">
        <v>500</v>
      </c>
    </row>
    <row r="35" spans="1:12" x14ac:dyDescent="0.25">
      <c r="A35" s="152"/>
      <c r="B35" s="19" t="s">
        <v>61</v>
      </c>
      <c r="C35" s="146"/>
      <c r="D35" s="97">
        <f t="shared" ref="D35:L35" si="15">D33*D34*0.001</f>
        <v>7.3541533837890602</v>
      </c>
      <c r="E35" s="97">
        <f t="shared" si="15"/>
        <v>7.3541533837890602</v>
      </c>
      <c r="F35" s="97">
        <f t="shared" si="15"/>
        <v>7.3541533837890496</v>
      </c>
      <c r="G35" s="97">
        <f t="shared" si="15"/>
        <v>7.3541533837890496</v>
      </c>
      <c r="H35" s="97">
        <f t="shared" si="15"/>
        <v>7.3541533837890496</v>
      </c>
      <c r="I35" s="97">
        <f t="shared" si="15"/>
        <v>7.3541533837890496</v>
      </c>
      <c r="J35" s="97">
        <f t="shared" si="15"/>
        <v>7.3541533837890496</v>
      </c>
      <c r="K35" s="97">
        <f t="shared" si="15"/>
        <v>7.3541533837890496</v>
      </c>
      <c r="L35" s="108">
        <f t="shared" si="15"/>
        <v>7.3541533837890496</v>
      </c>
    </row>
    <row r="36" spans="1:12" ht="26.25" customHeight="1" x14ac:dyDescent="0.25">
      <c r="A36" s="80" t="s">
        <v>68</v>
      </c>
      <c r="B36" s="138"/>
      <c r="C36" s="139"/>
      <c r="D36" s="139"/>
      <c r="E36" s="139"/>
      <c r="F36" s="139"/>
      <c r="G36" s="139"/>
      <c r="H36" s="139"/>
      <c r="I36" s="139"/>
      <c r="J36" s="139"/>
      <c r="K36" s="139"/>
      <c r="L36" s="140"/>
    </row>
    <row r="37" spans="1:12" x14ac:dyDescent="0.25">
      <c r="A37" s="83" t="s">
        <v>60</v>
      </c>
      <c r="B37" s="19" t="s">
        <v>61</v>
      </c>
      <c r="C37" s="147"/>
      <c r="D37" s="100">
        <f>D29+D35</f>
        <v>155.61415338378904</v>
      </c>
      <c r="E37" s="100">
        <f t="shared" ref="E37:L37" si="16">E29+E35</f>
        <v>249.31065338378906</v>
      </c>
      <c r="F37" s="100">
        <f t="shared" si="16"/>
        <v>290.41708227620506</v>
      </c>
      <c r="G37" s="100">
        <f t="shared" si="16"/>
        <v>490.81686309964653</v>
      </c>
      <c r="H37" s="100">
        <f t="shared" si="16"/>
        <v>618.53452063736984</v>
      </c>
      <c r="I37" s="100">
        <f t="shared" si="16"/>
        <v>674.77839393388058</v>
      </c>
      <c r="J37" s="100">
        <f t="shared" si="16"/>
        <v>758.11565430592725</v>
      </c>
      <c r="K37" s="100">
        <f t="shared" si="16"/>
        <v>930.63429258531016</v>
      </c>
      <c r="L37" s="111">
        <f t="shared" si="16"/>
        <v>1051.9608856751893</v>
      </c>
    </row>
    <row r="38" spans="1:12" x14ac:dyDescent="0.25">
      <c r="A38" s="83" t="s">
        <v>62</v>
      </c>
      <c r="B38" s="19" t="s">
        <v>61</v>
      </c>
      <c r="C38" s="148"/>
      <c r="D38" s="88">
        <f t="shared" ref="D38:L39" si="17">D30</f>
        <v>266.86799999999999</v>
      </c>
      <c r="E38" s="88">
        <f t="shared" si="17"/>
        <v>435.52170000000001</v>
      </c>
      <c r="F38" s="88">
        <f t="shared" si="17"/>
        <v>509.51327200634876</v>
      </c>
      <c r="G38" s="88">
        <f t="shared" si="17"/>
        <v>870.23287748854341</v>
      </c>
      <c r="H38" s="88">
        <f t="shared" si="17"/>
        <v>1100.1246610564458</v>
      </c>
      <c r="I38" s="88">
        <f t="shared" si="17"/>
        <v>1201.3636329901647</v>
      </c>
      <c r="J38" s="88">
        <f t="shared" si="17"/>
        <v>1351.3707016598487</v>
      </c>
      <c r="K38" s="88">
        <f t="shared" si="17"/>
        <v>1661.9042505627383</v>
      </c>
      <c r="L38" s="103">
        <f t="shared" si="17"/>
        <v>1880.2921181245206</v>
      </c>
    </row>
    <row r="39" spans="1:12" x14ac:dyDescent="0.25">
      <c r="A39" s="83" t="s">
        <v>63</v>
      </c>
      <c r="B39" s="19" t="s">
        <v>61</v>
      </c>
      <c r="C39" s="148"/>
      <c r="D39" s="88">
        <f t="shared" si="17"/>
        <v>207.56400000000002</v>
      </c>
      <c r="E39" s="88">
        <f t="shared" si="17"/>
        <v>338.73910000000006</v>
      </c>
      <c r="F39" s="88">
        <f t="shared" si="17"/>
        <v>396.2881004493824</v>
      </c>
      <c r="G39" s="88">
        <f t="shared" si="17"/>
        <v>676.84779360220045</v>
      </c>
      <c r="H39" s="88">
        <f t="shared" si="17"/>
        <v>855.65251415501325</v>
      </c>
      <c r="I39" s="88">
        <f t="shared" si="17"/>
        <v>934.39393677012811</v>
      </c>
      <c r="J39" s="88">
        <f t="shared" si="17"/>
        <v>1051.0661012909934</v>
      </c>
      <c r="K39" s="88">
        <f t="shared" si="17"/>
        <v>1292.5921948821297</v>
      </c>
      <c r="L39" s="103">
        <f t="shared" si="17"/>
        <v>1462.4494252079605</v>
      </c>
    </row>
    <row r="40" spans="1:12" ht="17.25" customHeight="1" x14ac:dyDescent="0.25">
      <c r="A40" s="83" t="s">
        <v>69</v>
      </c>
      <c r="B40" s="19" t="s">
        <v>70</v>
      </c>
      <c r="C40" s="148"/>
      <c r="D40" s="100">
        <f t="shared" ref="D40:L40" si="18">D37*1000/D26</f>
        <v>6224.5661353515616</v>
      </c>
      <c r="E40" s="100">
        <f t="shared" si="18"/>
        <v>9972.4261353515631</v>
      </c>
      <c r="F40" s="100">
        <f t="shared" si="18"/>
        <v>11616.683291048203</v>
      </c>
      <c r="G40" s="100">
        <f t="shared" si="18"/>
        <v>19632.674523985861</v>
      </c>
      <c r="H40" s="100">
        <f t="shared" si="18"/>
        <v>24741.380825494794</v>
      </c>
      <c r="I40" s="100">
        <f t="shared" si="18"/>
        <v>26991.135757355223</v>
      </c>
      <c r="J40" s="100">
        <f t="shared" si="18"/>
        <v>30324.626172237087</v>
      </c>
      <c r="K40" s="100">
        <f t="shared" si="18"/>
        <v>37225.371703412406</v>
      </c>
      <c r="L40" s="111">
        <f t="shared" si="18"/>
        <v>42078.435427007571</v>
      </c>
    </row>
    <row r="41" spans="1:12" x14ac:dyDescent="0.25">
      <c r="A41" s="83" t="s">
        <v>71</v>
      </c>
      <c r="B41" s="19" t="s">
        <v>72</v>
      </c>
      <c r="C41" s="148"/>
      <c r="D41" s="88">
        <f t="shared" ref="D41:L41" si="19">(D37/D16)*(10^3)</f>
        <v>473.67427778035164</v>
      </c>
      <c r="E41" s="88">
        <f t="shared" si="19"/>
        <v>350.15038027689059</v>
      </c>
      <c r="F41" s="88">
        <f t="shared" si="19"/>
        <v>348.65044264170928</v>
      </c>
      <c r="G41" s="88">
        <f t="shared" si="19"/>
        <v>344.99083094520353</v>
      </c>
      <c r="H41" s="88">
        <f t="shared" si="19"/>
        <v>343.91063557804199</v>
      </c>
      <c r="I41" s="88">
        <f t="shared" si="19"/>
        <v>343.56605754084887</v>
      </c>
      <c r="J41" s="88">
        <f t="shared" si="19"/>
        <v>343.15041595594835</v>
      </c>
      <c r="K41" s="88">
        <f t="shared" si="19"/>
        <v>342.528424703616</v>
      </c>
      <c r="L41" s="103">
        <f t="shared" si="19"/>
        <v>336.57757913747128</v>
      </c>
    </row>
    <row r="42" spans="1:12" x14ac:dyDescent="0.25">
      <c r="A42" s="83" t="s">
        <v>73</v>
      </c>
      <c r="B42" s="19" t="s">
        <v>72</v>
      </c>
      <c r="C42" s="148"/>
      <c r="D42" s="88">
        <f t="shared" ref="D42:L42" si="20">(D38/D16)*(10^3)</f>
        <v>812.32011622315167</v>
      </c>
      <c r="E42" s="88">
        <f t="shared" si="20"/>
        <v>611.67899086559362</v>
      </c>
      <c r="F42" s="88">
        <f t="shared" si="20"/>
        <v>611.67899086559339</v>
      </c>
      <c r="G42" s="88">
        <f t="shared" si="20"/>
        <v>611.67899086559385</v>
      </c>
      <c r="H42" s="88">
        <f t="shared" si="20"/>
        <v>611.67899086559396</v>
      </c>
      <c r="I42" s="88">
        <f t="shared" si="20"/>
        <v>611.67899086559362</v>
      </c>
      <c r="J42" s="88">
        <f t="shared" si="20"/>
        <v>611.67899086559362</v>
      </c>
      <c r="K42" s="88">
        <f t="shared" si="20"/>
        <v>611.67899086559373</v>
      </c>
      <c r="L42" s="103">
        <f t="shared" si="20"/>
        <v>601.60427807486633</v>
      </c>
    </row>
    <row r="43" spans="1:12" x14ac:dyDescent="0.25">
      <c r="A43" s="83" t="s">
        <v>74</v>
      </c>
      <c r="B43" s="19" t="s">
        <v>72</v>
      </c>
      <c r="C43" s="149"/>
      <c r="D43" s="88">
        <f t="shared" ref="D43:L43" si="21">(D39/D16)*(10^3)</f>
        <v>631.80453484022928</v>
      </c>
      <c r="E43" s="88">
        <f t="shared" si="21"/>
        <v>475.75032622879507</v>
      </c>
      <c r="F43" s="88">
        <f t="shared" si="21"/>
        <v>475.7503262287949</v>
      </c>
      <c r="G43" s="88">
        <f t="shared" si="21"/>
        <v>475.75032622879525</v>
      </c>
      <c r="H43" s="88">
        <f t="shared" si="21"/>
        <v>475.75032622879519</v>
      </c>
      <c r="I43" s="88">
        <f t="shared" si="21"/>
        <v>475.75032622879507</v>
      </c>
      <c r="J43" s="88">
        <f t="shared" si="21"/>
        <v>475.75032622879502</v>
      </c>
      <c r="K43" s="88">
        <f t="shared" si="21"/>
        <v>475.75032622879507</v>
      </c>
      <c r="L43" s="103">
        <f t="shared" si="21"/>
        <v>467.91443850267387</v>
      </c>
    </row>
  </sheetData>
  <mergeCells count="18">
    <mergeCell ref="A1:L1"/>
    <mergeCell ref="A2:L2"/>
    <mergeCell ref="A21:A22"/>
    <mergeCell ref="C3:E3"/>
    <mergeCell ref="F3:K3"/>
    <mergeCell ref="A14:A15"/>
    <mergeCell ref="B25:L25"/>
    <mergeCell ref="B32:L32"/>
    <mergeCell ref="A16:A17"/>
    <mergeCell ref="A23:A24"/>
    <mergeCell ref="A34:A35"/>
    <mergeCell ref="A3:A4"/>
    <mergeCell ref="B3:B4"/>
    <mergeCell ref="B36:L36"/>
    <mergeCell ref="C7:C24"/>
    <mergeCell ref="C26:C31"/>
    <mergeCell ref="C33:C35"/>
    <mergeCell ref="C37:C4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Normal="100" workbookViewId="0">
      <selection activeCell="E24" sqref="E24"/>
    </sheetView>
  </sheetViews>
  <sheetFormatPr baseColWidth="10" defaultRowHeight="15" x14ac:dyDescent="0.25"/>
  <cols>
    <col min="1" max="1" width="26.42578125" bestFit="1" customWidth="1"/>
    <col min="2" max="2" width="24.85546875" bestFit="1" customWidth="1"/>
    <col min="3" max="3" width="13.5703125" bestFit="1" customWidth="1"/>
  </cols>
  <sheetData>
    <row r="1" spans="1:4" x14ac:dyDescent="0.25">
      <c r="A1" t="s">
        <v>75</v>
      </c>
    </row>
    <row r="2" spans="1:4" x14ac:dyDescent="0.25">
      <c r="A2" t="s">
        <v>76</v>
      </c>
    </row>
    <row r="3" spans="1:4" x14ac:dyDescent="0.25">
      <c r="B3" s="85" t="s">
        <v>139</v>
      </c>
      <c r="C3" s="85" t="s">
        <v>54</v>
      </c>
      <c r="D3" s="112">
        <f>'rejet et charge polluante'!L21/1000</f>
        <v>8.6056591368505977E-2</v>
      </c>
    </row>
    <row r="4" spans="1:4" x14ac:dyDescent="0.25">
      <c r="B4" s="85" t="s">
        <v>135</v>
      </c>
      <c r="C4" s="116" t="s">
        <v>140</v>
      </c>
      <c r="D4" s="112">
        <v>100</v>
      </c>
    </row>
    <row r="5" spans="1:4" hidden="1" x14ac:dyDescent="0.25">
      <c r="B5" s="85" t="s">
        <v>77</v>
      </c>
      <c r="C5" s="85"/>
      <c r="D5" s="112"/>
    </row>
    <row r="6" spans="1:4" hidden="1" x14ac:dyDescent="0.25">
      <c r="B6" s="85" t="s">
        <v>78</v>
      </c>
      <c r="C6" s="85"/>
      <c r="D6" s="112"/>
    </row>
    <row r="7" spans="1:4" x14ac:dyDescent="0.25">
      <c r="B7" s="85" t="s">
        <v>137</v>
      </c>
      <c r="C7" s="85" t="s">
        <v>136</v>
      </c>
      <c r="D7" s="115">
        <f>0.3/100</f>
        <v>3.0000000000000001E-3</v>
      </c>
    </row>
    <row r="8" spans="1:4" x14ac:dyDescent="0.25">
      <c r="B8" s="85" t="s">
        <v>138</v>
      </c>
      <c r="C8" s="85" t="s">
        <v>89</v>
      </c>
      <c r="D8" s="113">
        <f>(D3*4^(5/3)/(D4*PI()*SQRT(D7)))^(3/8)*1000</f>
        <v>326.16706793967512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1"/>
  <sheetViews>
    <sheetView topLeftCell="B15" zoomScale="70" zoomScaleNormal="70" workbookViewId="0">
      <selection activeCell="F32" sqref="F32"/>
    </sheetView>
  </sheetViews>
  <sheetFormatPr baseColWidth="10" defaultRowHeight="15" x14ac:dyDescent="0.25"/>
  <cols>
    <col min="1" max="1" width="11.42578125" style="25"/>
    <col min="2" max="2" width="46.5703125" style="25" bestFit="1" customWidth="1"/>
    <col min="3" max="3" width="11.42578125" style="25"/>
    <col min="4" max="5" width="17.28515625" style="25" bestFit="1" customWidth="1"/>
    <col min="6" max="6" width="17" style="25" customWidth="1"/>
    <col min="7" max="7" width="16.7109375" style="25" customWidth="1"/>
    <col min="8" max="9" width="16.5703125" style="25" bestFit="1" customWidth="1"/>
    <col min="10" max="11" width="17.28515625" style="25" bestFit="1" customWidth="1"/>
    <col min="12" max="12" width="16.5703125" style="25" bestFit="1" customWidth="1"/>
    <col min="13" max="13" width="16.7109375" style="25" bestFit="1" customWidth="1"/>
    <col min="14" max="14" width="16.5703125" style="25" bestFit="1" customWidth="1"/>
    <col min="15" max="16384" width="11.42578125" style="25"/>
  </cols>
  <sheetData>
    <row r="2" spans="1:14" ht="21" x14ac:dyDescent="0.35">
      <c r="B2" s="162" t="s">
        <v>118</v>
      </c>
      <c r="C2" s="162"/>
      <c r="D2" s="162"/>
      <c r="E2" s="162"/>
      <c r="F2" s="162"/>
      <c r="G2" s="162"/>
      <c r="H2" s="162"/>
    </row>
    <row r="3" spans="1:14" ht="21" x14ac:dyDescent="0.35">
      <c r="B3" s="23"/>
      <c r="C3" s="23"/>
      <c r="D3" s="23"/>
      <c r="E3" s="23"/>
      <c r="F3" s="23"/>
      <c r="G3" s="23"/>
      <c r="H3" s="23"/>
    </row>
    <row r="4" spans="1:14" ht="21" x14ac:dyDescent="0.35">
      <c r="B4" s="23"/>
      <c r="C4" s="23"/>
      <c r="D4" s="23"/>
      <c r="E4" s="23"/>
      <c r="F4" s="23"/>
      <c r="G4" s="23"/>
      <c r="H4" s="23"/>
    </row>
    <row r="5" spans="1:14" ht="15.75" x14ac:dyDescent="0.25">
      <c r="A5" s="26" t="s">
        <v>79</v>
      </c>
    </row>
    <row r="6" spans="1:14" ht="15.75" x14ac:dyDescent="0.25">
      <c r="B6" s="27" t="s">
        <v>80</v>
      </c>
      <c r="C6" s="28" t="s">
        <v>81</v>
      </c>
      <c r="D6" s="28">
        <v>308.5915</v>
      </c>
    </row>
    <row r="7" spans="1:14" ht="15.75" x14ac:dyDescent="0.25">
      <c r="B7" s="27" t="s">
        <v>82</v>
      </c>
      <c r="C7" s="28" t="s">
        <v>111</v>
      </c>
      <c r="D7" s="28">
        <f>D8*24*365</f>
        <v>271388.06653972046</v>
      </c>
      <c r="F7" s="25" t="s">
        <v>110</v>
      </c>
    </row>
    <row r="8" spans="1:14" ht="15.75" x14ac:dyDescent="0.25">
      <c r="B8" s="27" t="s">
        <v>82</v>
      </c>
      <c r="C8" s="28" t="s">
        <v>52</v>
      </c>
      <c r="D8" s="28">
        <f>D9*0.0001*3600</f>
        <v>30.980372892662153</v>
      </c>
      <c r="F8" s="25" t="s">
        <v>107</v>
      </c>
      <c r="G8" s="25">
        <v>120.062</v>
      </c>
    </row>
    <row r="9" spans="1:14" ht="15.75" x14ac:dyDescent="0.25">
      <c r="B9" s="27" t="s">
        <v>82</v>
      </c>
      <c r="C9" s="28" t="s">
        <v>46</v>
      </c>
      <c r="D9" s="28">
        <f>'rejet et charge polluante'!L21</f>
        <v>86.056591368505977</v>
      </c>
      <c r="F9" s="25" t="s">
        <v>108</v>
      </c>
      <c r="G9" s="25">
        <v>140.79499999999999</v>
      </c>
    </row>
    <row r="10" spans="1:14" ht="15.75" x14ac:dyDescent="0.25">
      <c r="B10" s="27" t="s">
        <v>127</v>
      </c>
      <c r="C10" s="28" t="s">
        <v>128</v>
      </c>
      <c r="D10" s="28">
        <v>1</v>
      </c>
    </row>
    <row r="11" spans="1:14" ht="15.75" x14ac:dyDescent="0.25">
      <c r="B11" s="27" t="s">
        <v>125</v>
      </c>
      <c r="C11" s="28" t="s">
        <v>126</v>
      </c>
      <c r="D11" s="28">
        <v>16</v>
      </c>
    </row>
    <row r="12" spans="1:14" ht="15.75" x14ac:dyDescent="0.25">
      <c r="B12" s="27" t="s">
        <v>122</v>
      </c>
      <c r="C12" s="28" t="s">
        <v>35</v>
      </c>
      <c r="D12" s="28">
        <v>50</v>
      </c>
      <c r="F12" s="25" t="s">
        <v>109</v>
      </c>
      <c r="G12" s="25">
        <f>ROUNDUP(G9-G8,0)</f>
        <v>21</v>
      </c>
    </row>
    <row r="13" spans="1:14" ht="15.75" x14ac:dyDescent="0.25">
      <c r="A13" s="26" t="s">
        <v>83</v>
      </c>
    </row>
    <row r="14" spans="1:14" ht="15.75" x14ac:dyDescent="0.25">
      <c r="B14" s="20" t="s">
        <v>84</v>
      </c>
      <c r="C14" s="20" t="s">
        <v>31</v>
      </c>
      <c r="D14" s="21" t="s">
        <v>85</v>
      </c>
      <c r="E14" s="20" t="s">
        <v>86</v>
      </c>
      <c r="F14" s="22" t="s">
        <v>87</v>
      </c>
      <c r="G14" s="20" t="s">
        <v>88</v>
      </c>
    </row>
    <row r="15" spans="1:14" ht="15.75" x14ac:dyDescent="0.25">
      <c r="B15" s="30" t="s">
        <v>123</v>
      </c>
      <c r="C15" s="31" t="s">
        <v>89</v>
      </c>
      <c r="D15" s="50">
        <v>75</v>
      </c>
      <c r="E15" s="50">
        <v>90</v>
      </c>
      <c r="F15" s="50">
        <v>110</v>
      </c>
      <c r="G15" s="50">
        <v>125</v>
      </c>
      <c r="H15" s="50">
        <v>140</v>
      </c>
      <c r="I15" s="50">
        <v>160</v>
      </c>
      <c r="J15" s="50">
        <v>315</v>
      </c>
      <c r="K15" s="50">
        <v>400</v>
      </c>
      <c r="L15" s="50">
        <v>500</v>
      </c>
      <c r="M15" s="50">
        <v>600</v>
      </c>
      <c r="N15" s="50">
        <v>700</v>
      </c>
    </row>
    <row r="16" spans="1:14" x14ac:dyDescent="0.25">
      <c r="B16" s="25" t="s">
        <v>121</v>
      </c>
      <c r="C16" s="25" t="s">
        <v>89</v>
      </c>
      <c r="D16" s="51">
        <v>67.8</v>
      </c>
      <c r="E16" s="50">
        <v>81.400000000000006</v>
      </c>
      <c r="F16" s="50">
        <v>99.4</v>
      </c>
      <c r="G16" s="50">
        <v>113</v>
      </c>
      <c r="H16" s="51">
        <v>127.8</v>
      </c>
      <c r="I16" s="50">
        <v>147.6</v>
      </c>
      <c r="J16" s="50">
        <v>277.60000000000002</v>
      </c>
      <c r="K16" s="50">
        <v>352.6</v>
      </c>
      <c r="L16" s="50">
        <v>461.8</v>
      </c>
      <c r="M16" s="50">
        <v>600</v>
      </c>
      <c r="N16" s="50">
        <v>700</v>
      </c>
    </row>
    <row r="17" spans="2:14" ht="15.75" x14ac:dyDescent="0.25">
      <c r="B17" s="30" t="s">
        <v>90</v>
      </c>
      <c r="C17" s="31" t="s">
        <v>91</v>
      </c>
      <c r="D17" s="52">
        <v>205</v>
      </c>
      <c r="E17" s="52">
        <v>215</v>
      </c>
      <c r="F17" s="52">
        <v>245</v>
      </c>
      <c r="G17" s="52">
        <v>265</v>
      </c>
      <c r="H17" s="52">
        <v>285</v>
      </c>
      <c r="I17" s="53">
        <v>305</v>
      </c>
      <c r="J17" s="52">
        <v>610</v>
      </c>
      <c r="K17" s="52">
        <v>910</v>
      </c>
      <c r="L17" s="52">
        <v>1200</v>
      </c>
      <c r="M17" s="52">
        <v>2000</v>
      </c>
      <c r="N17" s="53">
        <v>2500</v>
      </c>
    </row>
    <row r="19" spans="2:14" ht="15.75" x14ac:dyDescent="0.25">
      <c r="B19" s="27"/>
      <c r="C19" s="28"/>
      <c r="D19" s="32"/>
      <c r="E19" s="33"/>
      <c r="F19" s="34"/>
      <c r="G19" s="33"/>
    </row>
    <row r="20" spans="2:14" ht="15.75" x14ac:dyDescent="0.25">
      <c r="B20" s="35" t="s">
        <v>92</v>
      </c>
      <c r="C20" s="36" t="s">
        <v>93</v>
      </c>
      <c r="D20" s="37">
        <f>4*($D$9/1000)/(PI()*(D16/1000)^2)</f>
        <v>23.8360820075305</v>
      </c>
      <c r="E20" s="37">
        <f t="shared" ref="E20:N20" si="0">4*($D$9/1000)/(PI()*(E16/1000)^2)</f>
        <v>16.536570582299994</v>
      </c>
      <c r="F20" s="37">
        <f t="shared" si="0"/>
        <v>11.089743209305782</v>
      </c>
      <c r="G20" s="37">
        <f t="shared" si="0"/>
        <v>8.5809895227109774</v>
      </c>
      <c r="H20" s="37">
        <f t="shared" si="0"/>
        <v>6.7086100895800422</v>
      </c>
      <c r="I20" s="37">
        <f t="shared" si="0"/>
        <v>5.0294621447907497</v>
      </c>
      <c r="J20" s="37">
        <f t="shared" si="0"/>
        <v>1.4218550837081385</v>
      </c>
      <c r="K20" s="37">
        <f t="shared" si="0"/>
        <v>0.88131191720508495</v>
      </c>
      <c r="L20" s="37">
        <f t="shared" si="0"/>
        <v>0.51379089232192932</v>
      </c>
      <c r="M20" s="37">
        <f t="shared" si="0"/>
        <v>0.30436293115415691</v>
      </c>
      <c r="N20" s="37">
        <f t="shared" si="0"/>
        <v>0.22361358207244184</v>
      </c>
    </row>
    <row r="21" spans="2:14" ht="15.75" x14ac:dyDescent="0.25">
      <c r="B21" s="35" t="s">
        <v>120</v>
      </c>
      <c r="C21" s="36"/>
      <c r="D21" s="38">
        <f>(1/(-2*LOG(0.5/(3.7*D16))))^2</f>
        <v>3.4281834696290876E-2</v>
      </c>
      <c r="E21" s="38">
        <f t="shared" ref="E21:N21" si="1">(1/(-2*LOG(0.5/(3.7*E16))))^2</f>
        <v>3.2351570684210178E-2</v>
      </c>
      <c r="F21" s="38">
        <f t="shared" si="1"/>
        <v>3.042288039249301E-2</v>
      </c>
      <c r="G21" s="38">
        <f t="shared" si="1"/>
        <v>2.9274358821222989E-2</v>
      </c>
      <c r="H21" s="38">
        <f t="shared" si="1"/>
        <v>2.8232117577966866E-2</v>
      </c>
      <c r="I21" s="38">
        <f t="shared" si="1"/>
        <v>2.7081551006517938E-2</v>
      </c>
      <c r="J21" s="38">
        <f t="shared" si="1"/>
        <v>2.278182930509676E-2</v>
      </c>
      <c r="K21" s="38">
        <f t="shared" si="1"/>
        <v>2.1417737538779864E-2</v>
      </c>
      <c r="L21" s="38">
        <f t="shared" si="1"/>
        <v>2.0020927056457034E-2</v>
      </c>
      <c r="M21" s="38">
        <f t="shared" si="1"/>
        <v>1.8792184888295718E-2</v>
      </c>
      <c r="N21" s="38">
        <f t="shared" si="1"/>
        <v>1.8120872003758205E-2</v>
      </c>
    </row>
    <row r="22" spans="2:14" ht="15.75" x14ac:dyDescent="0.25">
      <c r="B22" s="35" t="s">
        <v>94</v>
      </c>
      <c r="C22" s="36" t="s">
        <v>95</v>
      </c>
      <c r="D22" s="38">
        <f>$D$6*D21*(D20^2)/(2*9.81*D15/1000)</f>
        <v>4084.6748500757217</v>
      </c>
      <c r="E22" s="39">
        <f>$D$6*E21*(E20^2)/(2*9.81*E15/1000)</f>
        <v>1546.0684418250196</v>
      </c>
      <c r="F22" s="40">
        <f>$D$6*F21*(F20^2)/(2*9.81*F15/1000)</f>
        <v>534.97757897250654</v>
      </c>
      <c r="G22" s="39">
        <f>$D$6*G21*(G20^2)/(2*9.81*G15/1000)</f>
        <v>271.22959693706508</v>
      </c>
      <c r="H22" s="38">
        <f t="shared" ref="H22:N22" si="2">$D$6*H21*(H20^2)/(2*9.81*H15/1000)</f>
        <v>142.74650271654386</v>
      </c>
      <c r="I22" s="39">
        <f t="shared" si="2"/>
        <v>67.34131529397942</v>
      </c>
      <c r="J22" s="40">
        <f t="shared" si="2"/>
        <v>2.2997131384652283</v>
      </c>
      <c r="K22" s="39">
        <f t="shared" si="2"/>
        <v>0.65412062469358867</v>
      </c>
      <c r="L22" s="38">
        <f t="shared" si="2"/>
        <v>0.16625393699028782</v>
      </c>
      <c r="M22" s="39">
        <f t="shared" si="2"/>
        <v>4.5634626301158748E-2</v>
      </c>
      <c r="N22" s="40">
        <f t="shared" si="2"/>
        <v>2.0359277712451485E-2</v>
      </c>
    </row>
    <row r="23" spans="2:14" ht="15.75" x14ac:dyDescent="0.25">
      <c r="B23" s="35" t="s">
        <v>96</v>
      </c>
      <c r="C23" s="36" t="s">
        <v>95</v>
      </c>
      <c r="D23" s="38">
        <f t="shared" ref="D23:N23" si="3">$G$12</f>
        <v>21</v>
      </c>
      <c r="E23" s="39">
        <f t="shared" si="3"/>
        <v>21</v>
      </c>
      <c r="F23" s="38">
        <f t="shared" si="3"/>
        <v>21</v>
      </c>
      <c r="G23" s="38">
        <f t="shared" si="3"/>
        <v>21</v>
      </c>
      <c r="H23" s="38">
        <f t="shared" si="3"/>
        <v>21</v>
      </c>
      <c r="I23" s="39">
        <f t="shared" si="3"/>
        <v>21</v>
      </c>
      <c r="J23" s="38">
        <f t="shared" si="3"/>
        <v>21</v>
      </c>
      <c r="K23" s="38">
        <f t="shared" si="3"/>
        <v>21</v>
      </c>
      <c r="L23" s="38">
        <f t="shared" si="3"/>
        <v>21</v>
      </c>
      <c r="M23" s="39">
        <f t="shared" si="3"/>
        <v>21</v>
      </c>
      <c r="N23" s="38">
        <f t="shared" si="3"/>
        <v>21</v>
      </c>
    </row>
    <row r="24" spans="2:14" ht="15.75" x14ac:dyDescent="0.25">
      <c r="B24" s="41" t="s">
        <v>97</v>
      </c>
      <c r="C24" s="36" t="s">
        <v>95</v>
      </c>
      <c r="D24" s="38">
        <f>D23+D22+D22*0.1</f>
        <v>4514.1423350832947</v>
      </c>
      <c r="E24" s="39">
        <f>E23+E22+E22*0.1</f>
        <v>1721.6752860075217</v>
      </c>
      <c r="F24" s="40">
        <f>F23+F22+F22*0.1</f>
        <v>609.47533686975714</v>
      </c>
      <c r="G24" s="39">
        <f>G23+G22+G22*0.1</f>
        <v>319.35255663077157</v>
      </c>
      <c r="H24" s="38">
        <f t="shared" ref="H24:N24" si="4">H23+H22+H22*0.1</f>
        <v>178.02115298819825</v>
      </c>
      <c r="I24" s="39">
        <f t="shared" si="4"/>
        <v>95.075446823377362</v>
      </c>
      <c r="J24" s="40">
        <f t="shared" si="4"/>
        <v>23.529684452311752</v>
      </c>
      <c r="K24" s="39">
        <f t="shared" si="4"/>
        <v>21.71953268716295</v>
      </c>
      <c r="L24" s="38">
        <f t="shared" si="4"/>
        <v>21.182879330689317</v>
      </c>
      <c r="M24" s="39">
        <f t="shared" si="4"/>
        <v>21.050198088931275</v>
      </c>
      <c r="N24" s="40">
        <f t="shared" si="4"/>
        <v>21.022395205483697</v>
      </c>
    </row>
    <row r="25" spans="2:14" ht="15.75" x14ac:dyDescent="0.25">
      <c r="B25" s="27"/>
      <c r="C25" s="28"/>
      <c r="D25" s="42"/>
      <c r="E25" s="29"/>
      <c r="F25" s="43"/>
      <c r="G25" s="29"/>
      <c r="H25" s="42"/>
      <c r="I25" s="29"/>
      <c r="J25" s="43"/>
      <c r="K25" s="29"/>
      <c r="L25" s="42"/>
      <c r="M25" s="29"/>
      <c r="N25" s="43"/>
    </row>
    <row r="26" spans="2:14" ht="15.75" x14ac:dyDescent="0.25">
      <c r="B26" s="44" t="s">
        <v>98</v>
      </c>
      <c r="C26" s="45" t="s">
        <v>99</v>
      </c>
      <c r="D26" s="46">
        <f t="shared" ref="D26:N26" si="5">100*D24*($D$9/1000)*9.81/$D$12</f>
        <v>7621.8147993131061</v>
      </c>
      <c r="E26" s="46">
        <f t="shared" si="5"/>
        <v>2906.9287586523615</v>
      </c>
      <c r="F26" s="46">
        <f t="shared" si="5"/>
        <v>1029.0566396782747</v>
      </c>
      <c r="G26" s="46">
        <f t="shared" si="5"/>
        <v>539.20454023122386</v>
      </c>
      <c r="H26" s="46">
        <f t="shared" si="5"/>
        <v>300.57631277840414</v>
      </c>
      <c r="I26" s="46">
        <f t="shared" si="5"/>
        <v>160.52826735609628</v>
      </c>
      <c r="J26" s="46">
        <f t="shared" si="5"/>
        <v>39.728232711671474</v>
      </c>
      <c r="K26" s="46">
        <f t="shared" si="5"/>
        <v>36.671917582795658</v>
      </c>
      <c r="L26" s="46">
        <f t="shared" si="5"/>
        <v>35.765815782973625</v>
      </c>
      <c r="M26" s="46">
        <f t="shared" si="5"/>
        <v>35.541792751142481</v>
      </c>
      <c r="N26" s="46">
        <f t="shared" si="5"/>
        <v>35.494849519672492</v>
      </c>
    </row>
    <row r="27" spans="2:14" ht="15.75" x14ac:dyDescent="0.25">
      <c r="B27" s="35" t="s">
        <v>100</v>
      </c>
      <c r="C27" s="36" t="s">
        <v>124</v>
      </c>
      <c r="D27" s="49">
        <f>D26*$D$11*365/10^6</f>
        <v>44.511398427988539</v>
      </c>
      <c r="E27" s="49">
        <f>E26*$D$11*365/10^6</f>
        <v>16.976463950529791</v>
      </c>
      <c r="F27" s="49">
        <f t="shared" ref="F27:N27" si="6">F26*$D$11*365/10^6</f>
        <v>6.0096907757211246</v>
      </c>
      <c r="G27" s="49">
        <f t="shared" si="6"/>
        <v>3.1489545149503471</v>
      </c>
      <c r="H27" s="49">
        <f t="shared" si="6"/>
        <v>1.7553656666258801</v>
      </c>
      <c r="I27" s="49">
        <f t="shared" si="6"/>
        <v>0.93748508135960229</v>
      </c>
      <c r="J27" s="49">
        <f t="shared" si="6"/>
        <v>0.23201287903616141</v>
      </c>
      <c r="K27" s="49">
        <f t="shared" si="6"/>
        <v>0.21416399868352665</v>
      </c>
      <c r="L27" s="49">
        <f t="shared" si="6"/>
        <v>0.20887236417256599</v>
      </c>
      <c r="M27" s="49">
        <f t="shared" si="6"/>
        <v>0.2075640696666721</v>
      </c>
      <c r="N27" s="49">
        <f t="shared" si="6"/>
        <v>0.20728992119488734</v>
      </c>
    </row>
    <row r="28" spans="2:14" ht="15.75" x14ac:dyDescent="0.25">
      <c r="B28" s="27"/>
      <c r="C28" s="28"/>
      <c r="D28" s="42"/>
      <c r="E28" s="29"/>
      <c r="F28" s="43"/>
      <c r="G28" s="29"/>
      <c r="H28" s="42"/>
      <c r="I28" s="29"/>
      <c r="J28" s="43"/>
      <c r="K28" s="29"/>
      <c r="L28" s="42"/>
      <c r="M28" s="29"/>
      <c r="N28" s="43"/>
    </row>
    <row r="29" spans="2:14" ht="15.75" x14ac:dyDescent="0.25">
      <c r="B29" s="44" t="s">
        <v>130</v>
      </c>
      <c r="C29" s="25" t="s">
        <v>129</v>
      </c>
      <c r="D29" s="25">
        <f>$D$10*D27</f>
        <v>44.511398427988539</v>
      </c>
      <c r="E29" s="25">
        <f t="shared" ref="E29:N29" si="7">$D$10*E27</f>
        <v>16.976463950529791</v>
      </c>
      <c r="F29" s="25">
        <f t="shared" si="7"/>
        <v>6.0096907757211246</v>
      </c>
      <c r="G29" s="25">
        <f t="shared" si="7"/>
        <v>3.1489545149503471</v>
      </c>
      <c r="H29" s="25">
        <f t="shared" si="7"/>
        <v>1.7553656666258801</v>
      </c>
      <c r="I29" s="25">
        <f t="shared" si="7"/>
        <v>0.93748508135960229</v>
      </c>
      <c r="J29" s="25">
        <f t="shared" si="7"/>
        <v>0.23201287903616141</v>
      </c>
      <c r="K29" s="25">
        <f t="shared" si="7"/>
        <v>0.21416399868352665</v>
      </c>
      <c r="L29" s="25">
        <f t="shared" si="7"/>
        <v>0.20887236417256599</v>
      </c>
      <c r="M29" s="25">
        <f t="shared" si="7"/>
        <v>0.2075640696666721</v>
      </c>
      <c r="N29" s="25">
        <f t="shared" si="7"/>
        <v>0.20728992119488734</v>
      </c>
    </row>
    <row r="30" spans="2:14" ht="15.75" x14ac:dyDescent="0.25">
      <c r="B30" s="30" t="s">
        <v>133</v>
      </c>
      <c r="C30" s="31" t="s">
        <v>131</v>
      </c>
      <c r="D30" s="54">
        <f>D17*$D$6/10^6</f>
        <v>6.3261257500000001E-2</v>
      </c>
      <c r="E30" s="54">
        <f t="shared" ref="E30:N30" si="8">E17*$D$6/10^6</f>
        <v>6.6347172499999996E-2</v>
      </c>
      <c r="F30" s="54">
        <f t="shared" si="8"/>
        <v>7.5604917499999993E-2</v>
      </c>
      <c r="G30" s="54">
        <f t="shared" si="8"/>
        <v>8.1776747499999997E-2</v>
      </c>
      <c r="H30" s="54">
        <f t="shared" si="8"/>
        <v>8.79485775E-2</v>
      </c>
      <c r="I30" s="54">
        <f t="shared" si="8"/>
        <v>9.4120407500000003E-2</v>
      </c>
      <c r="J30" s="54">
        <f t="shared" si="8"/>
        <v>0.18824081500000001</v>
      </c>
      <c r="K30" s="54">
        <f t="shared" si="8"/>
        <v>0.28081826500000001</v>
      </c>
      <c r="L30" s="54">
        <f t="shared" si="8"/>
        <v>0.37030979999999997</v>
      </c>
      <c r="M30" s="54">
        <f t="shared" si="8"/>
        <v>0.61718300000000004</v>
      </c>
      <c r="N30" s="54">
        <f t="shared" si="8"/>
        <v>0.77147874999999999</v>
      </c>
    </row>
    <row r="31" spans="2:14" ht="15.75" x14ac:dyDescent="0.25">
      <c r="B31" s="25" t="s">
        <v>132</v>
      </c>
      <c r="C31" s="31" t="s">
        <v>131</v>
      </c>
      <c r="D31" s="55">
        <f>D30+D29</f>
        <v>44.574659685488541</v>
      </c>
      <c r="E31" s="55">
        <f t="shared" ref="E31:N31" si="9">E30+E29</f>
        <v>17.042811123029789</v>
      </c>
      <c r="F31" s="55">
        <f t="shared" si="9"/>
        <v>6.0852956932211244</v>
      </c>
      <c r="G31" s="55">
        <f t="shared" si="9"/>
        <v>3.2307312624503473</v>
      </c>
      <c r="H31" s="55">
        <f t="shared" si="9"/>
        <v>1.8433142441258801</v>
      </c>
      <c r="I31" s="55">
        <f t="shared" si="9"/>
        <v>1.0316054888596022</v>
      </c>
      <c r="J31" s="55">
        <f t="shared" si="9"/>
        <v>0.42025369403616142</v>
      </c>
      <c r="K31" s="55">
        <f t="shared" si="9"/>
        <v>0.49498226368352666</v>
      </c>
      <c r="L31" s="55">
        <f t="shared" si="9"/>
        <v>0.57918216417256596</v>
      </c>
      <c r="M31" s="55">
        <f t="shared" si="9"/>
        <v>0.82474706966667211</v>
      </c>
      <c r="N31" s="55">
        <f t="shared" si="9"/>
        <v>0.97876867119488731</v>
      </c>
    </row>
    <row r="32" spans="2:14" x14ac:dyDescent="0.25">
      <c r="B32" s="25" t="s">
        <v>134</v>
      </c>
      <c r="C32" s="25" t="s">
        <v>131</v>
      </c>
    </row>
    <row r="34" spans="2:14" ht="15.75" x14ac:dyDescent="0.25">
      <c r="B34" s="44" t="s">
        <v>115</v>
      </c>
      <c r="C34" s="45" t="s">
        <v>113</v>
      </c>
      <c r="D34" s="46">
        <f t="shared" ref="D34:N34" si="10">IF(D26&lt;=10,50000,368000)</f>
        <v>368000</v>
      </c>
      <c r="E34" s="47">
        <f t="shared" si="10"/>
        <v>368000</v>
      </c>
      <c r="F34" s="48">
        <f t="shared" si="10"/>
        <v>368000</v>
      </c>
      <c r="G34" s="47">
        <f t="shared" si="10"/>
        <v>368000</v>
      </c>
      <c r="H34" s="46">
        <f t="shared" si="10"/>
        <v>368000</v>
      </c>
      <c r="I34" s="47">
        <f t="shared" si="10"/>
        <v>368000</v>
      </c>
      <c r="J34" s="48">
        <f t="shared" si="10"/>
        <v>368000</v>
      </c>
      <c r="K34" s="47">
        <f t="shared" si="10"/>
        <v>368000</v>
      </c>
      <c r="L34" s="46">
        <f t="shared" si="10"/>
        <v>368000</v>
      </c>
      <c r="M34" s="47">
        <f t="shared" si="10"/>
        <v>368000</v>
      </c>
      <c r="N34" s="48">
        <f t="shared" si="10"/>
        <v>368000</v>
      </c>
    </row>
    <row r="35" spans="2:14" ht="15.75" x14ac:dyDescent="0.25">
      <c r="B35" s="44" t="s">
        <v>116</v>
      </c>
      <c r="C35" s="45" t="s">
        <v>112</v>
      </c>
      <c r="D35" s="46">
        <f t="shared" ref="D35:N35" si="11">IF(D34=50000,D34*D26,D34*D26^(0.14))</f>
        <v>1286281.4114261207</v>
      </c>
      <c r="E35" s="47">
        <f t="shared" si="11"/>
        <v>1123902.4891322467</v>
      </c>
      <c r="F35" s="48">
        <f t="shared" si="11"/>
        <v>971827.79881481733</v>
      </c>
      <c r="G35" s="47">
        <f t="shared" si="11"/>
        <v>887755.38291323336</v>
      </c>
      <c r="H35" s="46">
        <f t="shared" si="11"/>
        <v>818015.40797948872</v>
      </c>
      <c r="I35" s="47">
        <f t="shared" si="11"/>
        <v>749247.03196045989</v>
      </c>
      <c r="J35" s="48">
        <f t="shared" si="11"/>
        <v>616200.02717348584</v>
      </c>
      <c r="K35" s="47">
        <f t="shared" si="11"/>
        <v>609332.75637866498</v>
      </c>
      <c r="L35" s="46">
        <f t="shared" si="11"/>
        <v>607202.22964508145</v>
      </c>
      <c r="M35" s="47">
        <f t="shared" si="11"/>
        <v>606668.33125130576</v>
      </c>
      <c r="N35" s="48">
        <f t="shared" si="11"/>
        <v>606556.08811386174</v>
      </c>
    </row>
    <row r="36" spans="2:14" ht="15.75" x14ac:dyDescent="0.25">
      <c r="B36" s="27"/>
      <c r="C36" s="28"/>
      <c r="D36" s="42"/>
      <c r="E36" s="29"/>
      <c r="F36" s="43"/>
      <c r="G36" s="29"/>
      <c r="H36" s="42"/>
      <c r="I36" s="29"/>
      <c r="J36" s="43"/>
      <c r="K36" s="29"/>
      <c r="L36" s="42"/>
      <c r="M36" s="29"/>
      <c r="N36" s="43"/>
    </row>
    <row r="37" spans="2:14" ht="15.75" x14ac:dyDescent="0.25">
      <c r="B37" s="44" t="s">
        <v>119</v>
      </c>
      <c r="C37" s="45" t="s">
        <v>112</v>
      </c>
      <c r="D37" s="46">
        <f>0.3*D35</f>
        <v>385884.42342783621</v>
      </c>
      <c r="E37" s="47">
        <f t="shared" ref="E37:H37" si="12">0.3*E35</f>
        <v>337170.74673967401</v>
      </c>
      <c r="F37" s="46">
        <f t="shared" si="12"/>
        <v>291548.33964444516</v>
      </c>
      <c r="G37" s="46">
        <f t="shared" si="12"/>
        <v>266326.61487396999</v>
      </c>
      <c r="H37" s="46">
        <f t="shared" si="12"/>
        <v>245404.6223938466</v>
      </c>
      <c r="I37" s="47">
        <f t="shared" ref="I37:N37" si="13">0.3*I35</f>
        <v>224774.10958813797</v>
      </c>
      <c r="J37" s="46">
        <f t="shared" si="13"/>
        <v>184860.00815204575</v>
      </c>
      <c r="K37" s="46">
        <f t="shared" si="13"/>
        <v>182799.82691359948</v>
      </c>
      <c r="L37" s="46">
        <f t="shared" si="13"/>
        <v>182160.66889352442</v>
      </c>
      <c r="M37" s="47">
        <f t="shared" si="13"/>
        <v>182000.49937539172</v>
      </c>
      <c r="N37" s="46">
        <f t="shared" si="13"/>
        <v>181966.82643415852</v>
      </c>
    </row>
    <row r="38" spans="2:14" ht="15.75" x14ac:dyDescent="0.25">
      <c r="B38" s="27"/>
      <c r="C38" s="28"/>
      <c r="D38" s="42"/>
      <c r="E38" s="29"/>
      <c r="F38" s="43"/>
      <c r="G38" s="29"/>
      <c r="H38" s="42"/>
      <c r="I38" s="29"/>
      <c r="J38" s="43"/>
      <c r="K38" s="29"/>
      <c r="L38" s="42"/>
      <c r="M38" s="29"/>
      <c r="N38" s="43"/>
    </row>
    <row r="39" spans="2:14" ht="15.75" x14ac:dyDescent="0.25">
      <c r="B39" s="44" t="s">
        <v>114</v>
      </c>
      <c r="C39" s="45" t="s">
        <v>112</v>
      </c>
      <c r="D39" s="46">
        <f>0.05*D35</f>
        <v>64314.070571306038</v>
      </c>
      <c r="E39" s="47">
        <f t="shared" ref="E39:H39" si="14">0.05*E35</f>
        <v>56195.124456612335</v>
      </c>
      <c r="F39" s="48">
        <f t="shared" si="14"/>
        <v>48591.389940740868</v>
      </c>
      <c r="G39" s="47">
        <f t="shared" si="14"/>
        <v>44387.769145661674</v>
      </c>
      <c r="H39" s="46">
        <f t="shared" si="14"/>
        <v>40900.77039897444</v>
      </c>
      <c r="I39" s="47">
        <f t="shared" ref="I39:N39" si="15">0.05*I35</f>
        <v>37462.351598022993</v>
      </c>
      <c r="J39" s="48">
        <f t="shared" si="15"/>
        <v>30810.001358674293</v>
      </c>
      <c r="K39" s="47">
        <f t="shared" si="15"/>
        <v>30466.63781893325</v>
      </c>
      <c r="L39" s="46">
        <f t="shared" si="15"/>
        <v>30360.111482254073</v>
      </c>
      <c r="M39" s="47">
        <f t="shared" si="15"/>
        <v>30333.416562565289</v>
      </c>
      <c r="N39" s="48">
        <f t="shared" si="15"/>
        <v>30327.804405693088</v>
      </c>
    </row>
    <row r="40" spans="2:14" ht="15.75" x14ac:dyDescent="0.25">
      <c r="B40" s="27"/>
      <c r="C40" s="28"/>
      <c r="D40" s="42"/>
      <c r="E40" s="29"/>
      <c r="F40" s="43"/>
      <c r="G40" s="29"/>
      <c r="H40" s="42"/>
      <c r="I40" s="29"/>
      <c r="J40" s="43"/>
      <c r="K40" s="29"/>
      <c r="L40" s="42"/>
      <c r="M40" s="29"/>
      <c r="N40" s="43"/>
    </row>
    <row r="41" spans="2:14" ht="15.75" x14ac:dyDescent="0.25">
      <c r="B41" s="44" t="s">
        <v>117</v>
      </c>
      <c r="C41" s="45" t="s">
        <v>112</v>
      </c>
      <c r="D41" s="46">
        <f t="shared" ref="D41:N41" si="16">D39+D37+D35+D30</f>
        <v>1736479.9686865204</v>
      </c>
      <c r="E41" s="47">
        <f t="shared" si="16"/>
        <v>1517268.4266757055</v>
      </c>
      <c r="F41" s="46">
        <f t="shared" si="16"/>
        <v>1311967.6040049209</v>
      </c>
      <c r="G41" s="46">
        <f t="shared" si="16"/>
        <v>1198469.8487096126</v>
      </c>
      <c r="H41" s="46">
        <f t="shared" si="16"/>
        <v>1104320.8887208872</v>
      </c>
      <c r="I41" s="47">
        <f t="shared" si="16"/>
        <v>1011483.5872670284</v>
      </c>
      <c r="J41" s="46">
        <f t="shared" si="16"/>
        <v>831870.22492502083</v>
      </c>
      <c r="K41" s="46">
        <f t="shared" si="16"/>
        <v>822599.50192946277</v>
      </c>
      <c r="L41" s="46">
        <f t="shared" si="16"/>
        <v>819723.38033066003</v>
      </c>
      <c r="M41" s="47">
        <f t="shared" si="16"/>
        <v>819002.86437226273</v>
      </c>
      <c r="N41" s="46">
        <f t="shared" si="16"/>
        <v>818851.49043246335</v>
      </c>
    </row>
  </sheetData>
  <mergeCells count="1">
    <mergeCell ref="B2:H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B13" sqref="B13"/>
    </sheetView>
  </sheetViews>
  <sheetFormatPr baseColWidth="10" defaultRowHeight="15" x14ac:dyDescent="0.25"/>
  <cols>
    <col min="1" max="1" width="20.28515625" bestFit="1" customWidth="1"/>
  </cols>
  <sheetData>
    <row r="3" spans="1:2" x14ac:dyDescent="0.25">
      <c r="A3" t="s">
        <v>102</v>
      </c>
      <c r="B3" s="24">
        <f>'SP &amp; conduite de refoulement '!D9</f>
        <v>86.056591368505977</v>
      </c>
    </row>
    <row r="4" spans="1:2" x14ac:dyDescent="0.25">
      <c r="A4" t="s">
        <v>103</v>
      </c>
      <c r="B4">
        <v>2</v>
      </c>
    </row>
    <row r="5" spans="1:2" x14ac:dyDescent="0.25">
      <c r="A5" t="s">
        <v>104</v>
      </c>
      <c r="B5">
        <v>6</v>
      </c>
    </row>
    <row r="6" spans="1:2" x14ac:dyDescent="0.25">
      <c r="A6" t="s">
        <v>101</v>
      </c>
      <c r="B6">
        <f>ROUNDUP(0.9*B3/(B4*B5),0)</f>
        <v>7</v>
      </c>
    </row>
    <row r="7" spans="1:2" x14ac:dyDescent="0.25">
      <c r="A7" t="s">
        <v>105</v>
      </c>
      <c r="B7">
        <v>0.5</v>
      </c>
    </row>
    <row r="8" spans="1:2" x14ac:dyDescent="0.25">
      <c r="A8" t="s">
        <v>106</v>
      </c>
      <c r="B8">
        <f>B6/B7</f>
        <v>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besoin eau potable</vt:lpstr>
      <vt:lpstr>rejet et charge polluante</vt:lpstr>
      <vt:lpstr>Dimensionnement des collecteurs</vt:lpstr>
      <vt:lpstr>SP &amp; conduite de refoulement </vt:lpstr>
      <vt:lpstr>volume de la bache d'aspiration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BAYEJJA mohamed</dc:creator>
  <cp:lastModifiedBy>BAYEJJA mohamed</cp:lastModifiedBy>
  <dcterms:created xsi:type="dcterms:W3CDTF">2018-09-08T16:57:03Z</dcterms:created>
  <dcterms:modified xsi:type="dcterms:W3CDTF">2018-10-08T19:26:09Z</dcterms:modified>
</cp:coreProperties>
</file>