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135" windowWidth="12915" windowHeight="7500"/>
  </bookViews>
  <sheets>
    <sheet name="Options calculs" sheetId="10" r:id="rId1"/>
    <sheet name="Investissement cumulé A" sheetId="6" r:id="rId2"/>
    <sheet name="Investissement cumulé B" sheetId="14" r:id="rId3"/>
    <sheet name="Production" sheetId="13" r:id="rId4"/>
  </sheets>
  <calcPr calcId="125725"/>
</workbook>
</file>

<file path=xl/calcChain.xml><?xml version="1.0" encoding="utf-8"?>
<calcChain xmlns="http://schemas.openxmlformats.org/spreadsheetml/2006/main">
  <c r="I15" i="13"/>
  <c r="H15"/>
  <c r="D15"/>
  <c r="C14"/>
  <c r="C15"/>
  <c r="H1"/>
  <c r="H2" s="1"/>
  <c r="H24" s="1"/>
  <c r="I1"/>
  <c r="I2" s="1"/>
  <c r="I24" s="1"/>
  <c r="D1"/>
  <c r="D2" s="1"/>
  <c r="D24" s="1"/>
  <c r="C1"/>
  <c r="C2" s="1"/>
  <c r="C24" s="1"/>
  <c r="O35"/>
  <c r="N40"/>
  <c r="M40"/>
  <c r="M35"/>
  <c r="N35"/>
  <c r="N30"/>
  <c r="N31"/>
  <c r="N29"/>
  <c r="I14"/>
  <c r="H14"/>
  <c r="D14"/>
  <c r="I6"/>
  <c r="H6"/>
  <c r="D6"/>
  <c r="C6"/>
  <c r="C7"/>
  <c r="C8" s="1"/>
  <c r="I11"/>
  <c r="H27"/>
  <c r="I10"/>
  <c r="H10"/>
  <c r="D10"/>
  <c r="I20"/>
  <c r="H20"/>
  <c r="D20"/>
  <c r="I27"/>
  <c r="D27"/>
  <c r="Q25" i="14"/>
  <c r="H25"/>
  <c r="Q25" i="6"/>
  <c r="H26" i="14"/>
  <c r="H26" i="6"/>
  <c r="I31" i="13"/>
  <c r="H31"/>
  <c r="D31"/>
  <c r="C31"/>
  <c r="C29"/>
  <c r="R5" i="10"/>
  <c r="S5" s="1"/>
  <c r="R4"/>
  <c r="S4" s="1"/>
  <c r="R3"/>
  <c r="S3" s="1"/>
  <c r="R2"/>
  <c r="S2" s="1"/>
  <c r="P2"/>
  <c r="Q2" s="1"/>
  <c r="I12" i="13"/>
  <c r="H12"/>
  <c r="I7"/>
  <c r="I13" s="1"/>
  <c r="H7"/>
  <c r="H8" s="1"/>
  <c r="D7"/>
  <c r="D8" s="1"/>
  <c r="B68" i="10"/>
  <c r="B65"/>
  <c r="B52"/>
  <c r="B49"/>
  <c r="B36"/>
  <c r="B33"/>
  <c r="B20"/>
  <c r="B17"/>
  <c r="L33" i="14"/>
  <c r="O33" s="1"/>
  <c r="L20"/>
  <c r="O20" s="1"/>
  <c r="D3"/>
  <c r="D4" s="1"/>
  <c r="M3"/>
  <c r="M4" s="1"/>
  <c r="D3" i="6"/>
  <c r="D4" s="1"/>
  <c r="O5" i="10"/>
  <c r="L35" i="14" s="1"/>
  <c r="O35" s="1"/>
  <c r="O4" i="10"/>
  <c r="L34" i="6" s="1"/>
  <c r="O3" i="10"/>
  <c r="C35" i="14" s="1"/>
  <c r="O2" i="10"/>
  <c r="C34" i="6" s="1"/>
  <c r="F34" s="1"/>
  <c r="D5" i="13"/>
  <c r="I5"/>
  <c r="H5"/>
  <c r="C5"/>
  <c r="L40" i="14"/>
  <c r="M40" s="1"/>
  <c r="M41" s="1"/>
  <c r="L34"/>
  <c r="N34" s="1"/>
  <c r="M21"/>
  <c r="M20"/>
  <c r="M19"/>
  <c r="O19" s="1"/>
  <c r="L21"/>
  <c r="L6" s="1"/>
  <c r="M6" s="1"/>
  <c r="Q21" s="1"/>
  <c r="M12"/>
  <c r="M11"/>
  <c r="M10"/>
  <c r="L12"/>
  <c r="N12" s="1"/>
  <c r="L11"/>
  <c r="Q11" s="1"/>
  <c r="L10"/>
  <c r="N10" s="1"/>
  <c r="P3" i="10"/>
  <c r="Q3" s="1"/>
  <c r="C40" i="14"/>
  <c r="G40" s="1"/>
  <c r="H14" s="1"/>
  <c r="C34"/>
  <c r="D34" s="1"/>
  <c r="C33"/>
  <c r="E33" s="1"/>
  <c r="D21"/>
  <c r="D20"/>
  <c r="D19"/>
  <c r="G19" s="1"/>
  <c r="C21"/>
  <c r="C6" s="1"/>
  <c r="D6" s="1"/>
  <c r="H21" s="1"/>
  <c r="C20"/>
  <c r="E20" s="1"/>
  <c r="D12"/>
  <c r="D11"/>
  <c r="D10"/>
  <c r="C12"/>
  <c r="E12" s="1"/>
  <c r="C11"/>
  <c r="E11" s="1"/>
  <c r="C10"/>
  <c r="F10" s="1"/>
  <c r="W25"/>
  <c r="W24"/>
  <c r="W23"/>
  <c r="W22"/>
  <c r="W21"/>
  <c r="W20"/>
  <c r="W19"/>
  <c r="W18"/>
  <c r="W17"/>
  <c r="W16"/>
  <c r="W15"/>
  <c r="W14"/>
  <c r="W13"/>
  <c r="P13"/>
  <c r="G13"/>
  <c r="W12"/>
  <c r="W11"/>
  <c r="M3" i="6"/>
  <c r="M4" s="1"/>
  <c r="L39"/>
  <c r="L40" s="1"/>
  <c r="M21"/>
  <c r="M20"/>
  <c r="M19"/>
  <c r="O19" s="1"/>
  <c r="L33"/>
  <c r="M33" s="1"/>
  <c r="L32"/>
  <c r="N32" s="1"/>
  <c r="L21"/>
  <c r="L20"/>
  <c r="L12"/>
  <c r="L11"/>
  <c r="L10"/>
  <c r="C33"/>
  <c r="D33" s="1"/>
  <c r="D21"/>
  <c r="D20"/>
  <c r="D19"/>
  <c r="M10"/>
  <c r="D12"/>
  <c r="D11"/>
  <c r="D10"/>
  <c r="P13"/>
  <c r="M12"/>
  <c r="M11"/>
  <c r="C39"/>
  <c r="C40" s="1"/>
  <c r="W12"/>
  <c r="W13"/>
  <c r="W14"/>
  <c r="W15"/>
  <c r="W16"/>
  <c r="W17"/>
  <c r="W18"/>
  <c r="W19"/>
  <c r="W20"/>
  <c r="W21"/>
  <c r="W22"/>
  <c r="W23"/>
  <c r="W24"/>
  <c r="W25"/>
  <c r="W11"/>
  <c r="I16" i="13" l="1"/>
  <c r="H16"/>
  <c r="H17" s="1"/>
  <c r="C16"/>
  <c r="C17" s="1"/>
  <c r="D16"/>
  <c r="H25"/>
  <c r="C25"/>
  <c r="D11"/>
  <c r="D13"/>
  <c r="D12"/>
  <c r="H11"/>
  <c r="H30"/>
  <c r="H28"/>
  <c r="H29"/>
  <c r="C28"/>
  <c r="C13"/>
  <c r="C12"/>
  <c r="C11"/>
  <c r="C30"/>
  <c r="C27"/>
  <c r="C10"/>
  <c r="H19" i="14"/>
  <c r="Q19"/>
  <c r="H13" i="13"/>
  <c r="C9"/>
  <c r="I8"/>
  <c r="L5" i="14"/>
  <c r="M5" s="1"/>
  <c r="Q20" s="1"/>
  <c r="D34" i="6"/>
  <c r="D35" s="1"/>
  <c r="C51" s="1"/>
  <c r="D49" i="10" s="1"/>
  <c r="E34" i="6"/>
  <c r="N35" i="14"/>
  <c r="M35"/>
  <c r="N34" i="6"/>
  <c r="O34"/>
  <c r="M34"/>
  <c r="M35" s="1"/>
  <c r="L51" s="1"/>
  <c r="D52" i="10" s="1"/>
  <c r="E35" i="14"/>
  <c r="D35"/>
  <c r="D36" s="1"/>
  <c r="C52" s="1"/>
  <c r="F35"/>
  <c r="C26" i="13"/>
  <c r="I9"/>
  <c r="H9"/>
  <c r="C41" i="14"/>
  <c r="L41"/>
  <c r="G41"/>
  <c r="G20"/>
  <c r="G22" s="1"/>
  <c r="M34"/>
  <c r="O34"/>
  <c r="O36" s="1"/>
  <c r="L54" s="1"/>
  <c r="E54" i="10" s="1"/>
  <c r="N33" i="14"/>
  <c r="P19"/>
  <c r="P20"/>
  <c r="N20"/>
  <c r="O12"/>
  <c r="N11"/>
  <c r="N13" s="1"/>
  <c r="O11"/>
  <c r="F40"/>
  <c r="F41" s="1"/>
  <c r="F34"/>
  <c r="F33"/>
  <c r="F19"/>
  <c r="F21"/>
  <c r="F11"/>
  <c r="H10"/>
  <c r="E10"/>
  <c r="E13" s="1"/>
  <c r="E21"/>
  <c r="E22" s="1"/>
  <c r="E34"/>
  <c r="E40"/>
  <c r="E41" s="1"/>
  <c r="Q10"/>
  <c r="H12"/>
  <c r="D40"/>
  <c r="D41" s="1"/>
  <c r="P40"/>
  <c r="C5"/>
  <c r="O10"/>
  <c r="F12"/>
  <c r="O21"/>
  <c r="O22" s="1"/>
  <c r="O40"/>
  <c r="O41" s="1"/>
  <c r="N21"/>
  <c r="N40"/>
  <c r="N41" s="1"/>
  <c r="H11"/>
  <c r="Q12"/>
  <c r="F20"/>
  <c r="F33" i="6"/>
  <c r="E33"/>
  <c r="O33"/>
  <c r="P39"/>
  <c r="P40" s="1"/>
  <c r="N33"/>
  <c r="O32"/>
  <c r="M39"/>
  <c r="M40" s="1"/>
  <c r="P19"/>
  <c r="Q19"/>
  <c r="P48" i="10" l="1"/>
  <c r="V48"/>
  <c r="H35" i="13"/>
  <c r="H40" s="1"/>
  <c r="D20" i="10" s="1"/>
  <c r="C35" i="13"/>
  <c r="C40" s="1"/>
  <c r="D17" i="10" s="1"/>
  <c r="I35" i="13"/>
  <c r="I40" s="1"/>
  <c r="E20" i="10" s="1"/>
  <c r="D25" i="13"/>
  <c r="D29"/>
  <c r="D28"/>
  <c r="D30"/>
  <c r="H19"/>
  <c r="H23"/>
  <c r="H22"/>
  <c r="H21"/>
  <c r="I25"/>
  <c r="I30"/>
  <c r="I28"/>
  <c r="I29"/>
  <c r="C22"/>
  <c r="C21"/>
  <c r="C20"/>
  <c r="C23"/>
  <c r="H18"/>
  <c r="I17"/>
  <c r="C19"/>
  <c r="C18"/>
  <c r="C37"/>
  <c r="C42" s="1"/>
  <c r="D19" i="10" s="1"/>
  <c r="H26" i="13"/>
  <c r="I26"/>
  <c r="Q13" i="14"/>
  <c r="P41"/>
  <c r="Q14"/>
  <c r="Q22"/>
  <c r="E36"/>
  <c r="C53" s="1"/>
  <c r="E50" i="10" s="1"/>
  <c r="N36" i="14"/>
  <c r="L53" s="1"/>
  <c r="E53" i="10" s="1"/>
  <c r="D56"/>
  <c r="F36" i="14"/>
  <c r="C54" s="1"/>
  <c r="E51" i="10" s="1"/>
  <c r="M36" i="14"/>
  <c r="L52" s="1"/>
  <c r="E52" i="10" s="1"/>
  <c r="F52" s="1"/>
  <c r="O35" i="6"/>
  <c r="L53" s="1"/>
  <c r="D54" i="10" s="1"/>
  <c r="N35" i="6"/>
  <c r="L52" s="1"/>
  <c r="D53" i="10" s="1"/>
  <c r="C48" i="14"/>
  <c r="E35" i="10" s="1"/>
  <c r="E49"/>
  <c r="C46" i="14"/>
  <c r="F13"/>
  <c r="P22"/>
  <c r="O13"/>
  <c r="N22"/>
  <c r="H13"/>
  <c r="H15" s="1"/>
  <c r="F22"/>
  <c r="D5"/>
  <c r="H20" s="1"/>
  <c r="H22" s="1"/>
  <c r="H24" s="1"/>
  <c r="V56" i="10" l="1"/>
  <c r="P56"/>
  <c r="P54"/>
  <c r="V54"/>
  <c r="P55"/>
  <c r="V55"/>
  <c r="P16"/>
  <c r="J54"/>
  <c r="J48"/>
  <c r="F54"/>
  <c r="J56"/>
  <c r="Q24" i="14"/>
  <c r="Q26"/>
  <c r="J55" i="10"/>
  <c r="C36" i="13"/>
  <c r="C41" s="1"/>
  <c r="D18" i="10" s="1"/>
  <c r="H36" i="13"/>
  <c r="H41" s="1"/>
  <c r="D21" i="10" s="1"/>
  <c r="I21" i="13"/>
  <c r="I22"/>
  <c r="I23"/>
  <c r="I18"/>
  <c r="I19"/>
  <c r="Q23" i="14"/>
  <c r="H23"/>
  <c r="H27" s="1"/>
  <c r="H28" s="1"/>
  <c r="U3" i="10" s="1"/>
  <c r="I37" i="13"/>
  <c r="F53" i="10"/>
  <c r="F49"/>
  <c r="Q15" i="14"/>
  <c r="E57" i="10"/>
  <c r="E58"/>
  <c r="E67"/>
  <c r="C47" i="14"/>
  <c r="C49" s="1"/>
  <c r="C55"/>
  <c r="L55"/>
  <c r="E56" i="10"/>
  <c r="L54" i="6"/>
  <c r="L47" i="14"/>
  <c r="E37" i="10" s="1"/>
  <c r="L46" i="14"/>
  <c r="E36" i="10" s="1"/>
  <c r="L48" i="14"/>
  <c r="E38" i="10" s="1"/>
  <c r="V40" s="1"/>
  <c r="E33"/>
  <c r="V38" l="1"/>
  <c r="G52"/>
  <c r="I42" i="13"/>
  <c r="E22" i="10" s="1"/>
  <c r="P18" s="1"/>
  <c r="I36" i="13"/>
  <c r="I41" s="1"/>
  <c r="E21" i="10" s="1"/>
  <c r="P17" s="1"/>
  <c r="J22"/>
  <c r="Q27" i="14"/>
  <c r="Q28" s="1"/>
  <c r="T5" i="10" s="1"/>
  <c r="F20"/>
  <c r="H37" i="13"/>
  <c r="T3" i="10"/>
  <c r="E59"/>
  <c r="E68"/>
  <c r="E70"/>
  <c r="E74" s="1"/>
  <c r="E69"/>
  <c r="E65"/>
  <c r="L49" i="14"/>
  <c r="E34" i="10"/>
  <c r="V72" l="1"/>
  <c r="P19"/>
  <c r="V70"/>
  <c r="V39"/>
  <c r="Y40" s="1"/>
  <c r="H42" i="13"/>
  <c r="D22" i="10" s="1"/>
  <c r="J24" s="1"/>
  <c r="J23"/>
  <c r="Y55"/>
  <c r="F21"/>
  <c r="U5"/>
  <c r="E72"/>
  <c r="E66"/>
  <c r="V71" l="1"/>
  <c r="Y70" s="1"/>
  <c r="F22"/>
  <c r="G20" s="1"/>
  <c r="J25"/>
  <c r="V41"/>
  <c r="M23"/>
  <c r="M22"/>
  <c r="M24"/>
  <c r="Y39"/>
  <c r="V57"/>
  <c r="Y56"/>
  <c r="Y54"/>
  <c r="Y38"/>
  <c r="E73"/>
  <c r="Y71" l="1"/>
  <c r="Y72"/>
  <c r="V73"/>
  <c r="E75"/>
  <c r="P5"/>
  <c r="Q5" s="1"/>
  <c r="P4"/>
  <c r="Q4" s="1"/>
  <c r="D17" i="13"/>
  <c r="F19" i="6"/>
  <c r="C21"/>
  <c r="C20"/>
  <c r="C5" s="1"/>
  <c r="D5" s="1"/>
  <c r="C32"/>
  <c r="N21"/>
  <c r="N20"/>
  <c r="Q12"/>
  <c r="O11"/>
  <c r="O10"/>
  <c r="C12"/>
  <c r="H12" s="1"/>
  <c r="C11"/>
  <c r="E11" s="1"/>
  <c r="C10"/>
  <c r="E10" s="1"/>
  <c r="E42" i="10"/>
  <c r="E41"/>
  <c r="E40"/>
  <c r="G13" i="6"/>
  <c r="D21" i="13" l="1"/>
  <c r="D22"/>
  <c r="D23"/>
  <c r="D18"/>
  <c r="D19"/>
  <c r="E43" i="10"/>
  <c r="D26" i="13"/>
  <c r="N22" i="6"/>
  <c r="E32"/>
  <c r="E35" s="1"/>
  <c r="C52" s="1"/>
  <c r="D50" i="10" s="1"/>
  <c r="F32" i="6"/>
  <c r="F35" s="1"/>
  <c r="C53" s="1"/>
  <c r="D51" i="10" s="1"/>
  <c r="F10" i="6"/>
  <c r="H20"/>
  <c r="F21"/>
  <c r="C6"/>
  <c r="D9" i="13"/>
  <c r="D35" s="1"/>
  <c r="D40" s="1"/>
  <c r="E17" i="10" s="1"/>
  <c r="N39" i="6"/>
  <c r="N40" s="1"/>
  <c r="D39"/>
  <c r="D40" s="1"/>
  <c r="H19"/>
  <c r="G19"/>
  <c r="E21"/>
  <c r="G20"/>
  <c r="E20"/>
  <c r="F20"/>
  <c r="L6"/>
  <c r="M6" s="1"/>
  <c r="Q21" s="1"/>
  <c r="O21"/>
  <c r="L5"/>
  <c r="M5" s="1"/>
  <c r="Q20" s="1"/>
  <c r="P20"/>
  <c r="P22" s="1"/>
  <c r="O20"/>
  <c r="O12"/>
  <c r="O13" s="1"/>
  <c r="N12"/>
  <c r="Q11"/>
  <c r="N11"/>
  <c r="N10"/>
  <c r="Q10"/>
  <c r="F12"/>
  <c r="E12"/>
  <c r="H11"/>
  <c r="F11"/>
  <c r="H10"/>
  <c r="P50" i="10" l="1"/>
  <c r="V50"/>
  <c r="V49"/>
  <c r="P49"/>
  <c r="P22"/>
  <c r="J16"/>
  <c r="F50"/>
  <c r="J49"/>
  <c r="F51"/>
  <c r="J50"/>
  <c r="D36" i="13"/>
  <c r="D41" s="1"/>
  <c r="E18" i="10" s="1"/>
  <c r="V18"/>
  <c r="D37" i="13"/>
  <c r="D42" s="1"/>
  <c r="E19" i="10" s="1"/>
  <c r="D26"/>
  <c r="D57"/>
  <c r="D58"/>
  <c r="C54" i="6"/>
  <c r="F13"/>
  <c r="Q13"/>
  <c r="Q22"/>
  <c r="O22"/>
  <c r="L46" s="1"/>
  <c r="F22"/>
  <c r="N13"/>
  <c r="L45" s="1"/>
  <c r="G22"/>
  <c r="E22"/>
  <c r="E13"/>
  <c r="D6"/>
  <c r="H21" s="1"/>
  <c r="H22" s="1"/>
  <c r="G39"/>
  <c r="O39"/>
  <c r="O40" s="1"/>
  <c r="L47" s="1"/>
  <c r="Q14"/>
  <c r="F39"/>
  <c r="F40" s="1"/>
  <c r="E39"/>
  <c r="E40" s="1"/>
  <c r="H13"/>
  <c r="P51" i="10" l="1"/>
  <c r="P23"/>
  <c r="J17"/>
  <c r="J18"/>
  <c r="P24"/>
  <c r="G49"/>
  <c r="Q24" i="6"/>
  <c r="Q26"/>
  <c r="H24"/>
  <c r="H25"/>
  <c r="Q23"/>
  <c r="H23"/>
  <c r="C45"/>
  <c r="D33" i="10" s="1"/>
  <c r="C46" i="6"/>
  <c r="D34" i="10" s="1"/>
  <c r="D59"/>
  <c r="C47" i="6"/>
  <c r="L48"/>
  <c r="D38" i="10"/>
  <c r="P40" s="1"/>
  <c r="H14" i="6"/>
  <c r="H15" s="1"/>
  <c r="G40"/>
  <c r="D36" i="10"/>
  <c r="P38" s="1"/>
  <c r="Q15" i="6"/>
  <c r="V32" i="10" l="1"/>
  <c r="P32"/>
  <c r="P33"/>
  <c r="Q27" i="6"/>
  <c r="Q28" s="1"/>
  <c r="U4" i="10" s="1"/>
  <c r="H27" i="6"/>
  <c r="H28" s="1"/>
  <c r="J40" i="10"/>
  <c r="J38"/>
  <c r="F33"/>
  <c r="J32"/>
  <c r="F34"/>
  <c r="J33"/>
  <c r="F19"/>
  <c r="V24"/>
  <c r="V23"/>
  <c r="E25"/>
  <c r="E26"/>
  <c r="F38"/>
  <c r="F36"/>
  <c r="D66"/>
  <c r="D65"/>
  <c r="D68"/>
  <c r="D70"/>
  <c r="P72" s="1"/>
  <c r="D37"/>
  <c r="P39" s="1"/>
  <c r="D40"/>
  <c r="C48" i="6"/>
  <c r="D35" i="10"/>
  <c r="P70" l="1"/>
  <c r="J70"/>
  <c r="V33"/>
  <c r="V34"/>
  <c r="P34"/>
  <c r="S32" s="1"/>
  <c r="J65"/>
  <c r="P65"/>
  <c r="J64"/>
  <c r="P64"/>
  <c r="V64"/>
  <c r="P35"/>
  <c r="M56"/>
  <c r="J39"/>
  <c r="M39" s="1"/>
  <c r="S55"/>
  <c r="J72"/>
  <c r="F35"/>
  <c r="G33" s="1"/>
  <c r="J34"/>
  <c r="J35" s="1"/>
  <c r="M48"/>
  <c r="F66"/>
  <c r="F65"/>
  <c r="T4"/>
  <c r="F70"/>
  <c r="F37"/>
  <c r="G36" s="1"/>
  <c r="F68"/>
  <c r="D41"/>
  <c r="D69"/>
  <c r="P71" s="1"/>
  <c r="D72"/>
  <c r="D42"/>
  <c r="D67"/>
  <c r="S33" l="1"/>
  <c r="V65"/>
  <c r="P67"/>
  <c r="J66"/>
  <c r="J67" s="1"/>
  <c r="P66"/>
  <c r="S66" s="1"/>
  <c r="Y49"/>
  <c r="S34"/>
  <c r="S54"/>
  <c r="P57"/>
  <c r="M50"/>
  <c r="J51"/>
  <c r="Y33"/>
  <c r="S49"/>
  <c r="M49"/>
  <c r="Y48"/>
  <c r="S56"/>
  <c r="Y34"/>
  <c r="S50"/>
  <c r="J41"/>
  <c r="S48"/>
  <c r="M38"/>
  <c r="M55"/>
  <c r="M54"/>
  <c r="J71"/>
  <c r="J73" s="1"/>
  <c r="J57"/>
  <c r="V35"/>
  <c r="Y32"/>
  <c r="M40"/>
  <c r="F67"/>
  <c r="G65" s="1"/>
  <c r="V66"/>
  <c r="V51"/>
  <c r="Y50"/>
  <c r="M34"/>
  <c r="D43"/>
  <c r="M32"/>
  <c r="M33"/>
  <c r="F69"/>
  <c r="G68" s="1"/>
  <c r="D73"/>
  <c r="D74"/>
  <c r="M64" l="1"/>
  <c r="S64"/>
  <c r="M72"/>
  <c r="M71"/>
  <c r="M70"/>
  <c r="Y66"/>
  <c r="S65"/>
  <c r="Y64"/>
  <c r="V67"/>
  <c r="Y65"/>
  <c r="S38"/>
  <c r="S39"/>
  <c r="S40"/>
  <c r="P41"/>
  <c r="D75"/>
  <c r="M66"/>
  <c r="M65"/>
  <c r="F18" l="1"/>
  <c r="V17"/>
  <c r="S18"/>
  <c r="S72"/>
  <c r="S71"/>
  <c r="S70"/>
  <c r="P73"/>
  <c r="D25"/>
  <c r="S23" l="1"/>
  <c r="V22"/>
  <c r="E24"/>
  <c r="E27" s="1"/>
  <c r="V25" l="1"/>
  <c r="Y22"/>
  <c r="Y24"/>
  <c r="Y23"/>
  <c r="S24"/>
  <c r="P25"/>
  <c r="S22"/>
  <c r="D24" l="1"/>
  <c r="D27" s="1"/>
  <c r="V16"/>
  <c r="F17"/>
  <c r="G17" s="1"/>
  <c r="M17" l="1"/>
  <c r="M16"/>
  <c r="M18"/>
  <c r="J19"/>
  <c r="S17"/>
  <c r="S16"/>
  <c r="Y16"/>
  <c r="V19"/>
  <c r="Y18"/>
  <c r="Y17"/>
  <c r="T2"/>
  <c r="U2"/>
</calcChain>
</file>

<file path=xl/sharedStrings.xml><?xml version="1.0" encoding="utf-8"?>
<sst xmlns="http://schemas.openxmlformats.org/spreadsheetml/2006/main" count="717" uniqueCount="132">
  <si>
    <t>Cristal</t>
  </si>
  <si>
    <t>Deut</t>
  </si>
  <si>
    <t>Modèle 1</t>
  </si>
  <si>
    <t>Modèle 2</t>
  </si>
  <si>
    <t>Position planète</t>
  </si>
  <si>
    <t>Temp MIN</t>
  </si>
  <si>
    <t>Temp MAX</t>
  </si>
  <si>
    <t>Temp Moy</t>
  </si>
  <si>
    <t>Plasma</t>
  </si>
  <si>
    <t>Foreuses</t>
  </si>
  <si>
    <t>Métal</t>
  </si>
  <si>
    <t>Mines</t>
  </si>
  <si>
    <t>C</t>
  </si>
  <si>
    <t>D</t>
  </si>
  <si>
    <t>Niveau</t>
  </si>
  <si>
    <t>Nombre</t>
  </si>
  <si>
    <t>Coût métal</t>
  </si>
  <si>
    <t>Coût cristal</t>
  </si>
  <si>
    <t>Total</t>
  </si>
  <si>
    <t>Production énergie</t>
  </si>
  <si>
    <t>Satellite</t>
  </si>
  <si>
    <t>CEF</t>
  </si>
  <si>
    <t>CES</t>
  </si>
  <si>
    <t>Techno énergie</t>
  </si>
  <si>
    <t>Coût deut</t>
  </si>
  <si>
    <t>énergie produite</t>
  </si>
  <si>
    <t>Différence</t>
  </si>
  <si>
    <t>Cout total</t>
  </si>
  <si>
    <t>M</t>
  </si>
  <si>
    <t>Technologie</t>
  </si>
  <si>
    <t>énergie</t>
  </si>
  <si>
    <t>Energie</t>
  </si>
  <si>
    <t>Vaisseaux</t>
  </si>
  <si>
    <t xml:space="preserve">deut </t>
  </si>
  <si>
    <t>foreuse/planète</t>
  </si>
  <si>
    <t>énergie requise /planète</t>
  </si>
  <si>
    <t>total</t>
  </si>
  <si>
    <t>N planètes</t>
  </si>
  <si>
    <t>Techno plasma</t>
  </si>
  <si>
    <t>Classe</t>
  </si>
  <si>
    <t>Foreuse</t>
  </si>
  <si>
    <t>Energie ok?</t>
  </si>
  <si>
    <t>Nombre de planète</t>
  </si>
  <si>
    <t xml:space="preserve">Prod de métal </t>
  </si>
  <si>
    <t>foreuse</t>
  </si>
  <si>
    <t xml:space="preserve">Plasma </t>
  </si>
  <si>
    <t xml:space="preserve">Prod de deut </t>
  </si>
  <si>
    <t>Prod de cristal brut</t>
  </si>
  <si>
    <t>Bonus P1</t>
  </si>
  <si>
    <t>Total/jour</t>
  </si>
  <si>
    <t>Prod énergie</t>
  </si>
  <si>
    <t>Niveau mines de métal</t>
  </si>
  <si>
    <t>Niveau mines de cristal</t>
  </si>
  <si>
    <t>Niveau mines de deut</t>
  </si>
  <si>
    <t>Nombre de foreuses par planète</t>
  </si>
  <si>
    <t>Foreuses max par planète</t>
  </si>
  <si>
    <t>énergie produite / planète</t>
  </si>
  <si>
    <t>énergie requise/planète</t>
  </si>
  <si>
    <t>Nombre de foreuses ok?</t>
  </si>
  <si>
    <t>Positions planètes</t>
  </si>
  <si>
    <t>Tempé moyenne</t>
  </si>
  <si>
    <t>Recherche</t>
  </si>
  <si>
    <t>Astro</t>
  </si>
  <si>
    <t>Nombre planète</t>
  </si>
  <si>
    <t>tech astro</t>
  </si>
  <si>
    <t>Tech astro min</t>
  </si>
  <si>
    <t>Bat et vaisseaux</t>
  </si>
  <si>
    <t>Mod 1</t>
  </si>
  <si>
    <t>Mod 2</t>
  </si>
  <si>
    <t>Modèle</t>
  </si>
  <si>
    <t>Position planètes</t>
  </si>
  <si>
    <t>sous-modèle</t>
  </si>
  <si>
    <t>A</t>
  </si>
  <si>
    <t>B</t>
  </si>
  <si>
    <t>Pos planète A</t>
  </si>
  <si>
    <t>Pos planète B</t>
  </si>
  <si>
    <t>Conversion taux 3/2/1</t>
  </si>
  <si>
    <t>Conversion taux 3/1,5/1</t>
  </si>
  <si>
    <t>Conversion taux 3/1/1</t>
  </si>
  <si>
    <t>Points</t>
  </si>
  <si>
    <t>Autre</t>
  </si>
  <si>
    <t>Avec/sans collecteur</t>
  </si>
  <si>
    <t>Nombre satellite par planète</t>
  </si>
  <si>
    <t>Avec/Sans collecteur</t>
  </si>
  <si>
    <t>Différence énergie</t>
  </si>
  <si>
    <t>Bonus foreuses (max 50%)</t>
  </si>
  <si>
    <t>Bonus foreuse Ok?</t>
  </si>
  <si>
    <t>Bâtiments</t>
  </si>
  <si>
    <t>Tableau 1 récapitulatif M1 versus M2 : Production/jour</t>
  </si>
  <si>
    <t>Tableau 2 récapitulatif M1 versus M2: Investissement bâtiments et vaisseaux</t>
  </si>
  <si>
    <t>Tableau 3 récapitulatif M1 versus M2 : Coût des recherches</t>
  </si>
  <si>
    <t>Tableau 4 récapitulatif M1 versus M2: Coût total</t>
  </si>
  <si>
    <t>Conso CEF</t>
  </si>
  <si>
    <t>Compte commandant</t>
  </si>
  <si>
    <t>Géologue</t>
  </si>
  <si>
    <t>Boosteur métal</t>
  </si>
  <si>
    <t>Booster cristal</t>
  </si>
  <si>
    <t>Non</t>
  </si>
  <si>
    <t>Booster deut</t>
  </si>
  <si>
    <t>Avec/sans géologue</t>
  </si>
  <si>
    <t>Avec/sans commandant</t>
  </si>
  <si>
    <t>Avec/ sans bonus métal</t>
  </si>
  <si>
    <t>Ingénieur</t>
  </si>
  <si>
    <t>Avec/ sans bonus cristal</t>
  </si>
  <si>
    <t>Avec/ sans bonus deut</t>
  </si>
  <si>
    <t>Total prod (B13+B14)</t>
  </si>
  <si>
    <t>Total prod (G13+ G14)</t>
  </si>
  <si>
    <t>Commandant</t>
  </si>
  <si>
    <t>Booster</t>
  </si>
  <si>
    <t>TOTAL</t>
  </si>
  <si>
    <t>TOTAl</t>
  </si>
  <si>
    <t>Comparaison M1 A vs M1 B</t>
  </si>
  <si>
    <t>Comparaison M2 A vs M2 B</t>
  </si>
  <si>
    <t>Comparaison M1 A vs M2 B</t>
  </si>
  <si>
    <t>Comparaison M1 A vs M2 A</t>
  </si>
  <si>
    <t>Comparaison M1 B vs M2 B</t>
  </si>
  <si>
    <t>Vitesse économie univers</t>
  </si>
  <si>
    <t>Booster énergie</t>
  </si>
  <si>
    <t>Total/heure/planète</t>
  </si>
  <si>
    <t>Total/jour/compte</t>
  </si>
  <si>
    <t>Prod de base</t>
  </si>
  <si>
    <t>prod de base</t>
  </si>
  <si>
    <t>Ressources</t>
  </si>
  <si>
    <t>Comparaison M1 B vs M2 A</t>
  </si>
  <si>
    <t>Mines +1</t>
  </si>
  <si>
    <t>Mines actuelle</t>
  </si>
  <si>
    <t>cristal</t>
  </si>
  <si>
    <t>deut</t>
  </si>
  <si>
    <t xml:space="preserve">metal </t>
  </si>
  <si>
    <t>cout de passage métal</t>
  </si>
  <si>
    <t>cout de passage cristal</t>
  </si>
  <si>
    <t>différence</t>
  </si>
</sst>
</file>

<file path=xl/styles.xml><?xml version="1.0" encoding="utf-8"?>
<styleSheet xmlns="http://schemas.openxmlformats.org/spreadsheetml/2006/main">
  <numFmts count="1">
    <numFmt numFmtId="164" formatCode="#,##0\ _€"/>
  </numFmts>
  <fonts count="13">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sz val="10"/>
      <color theme="1"/>
      <name val="Calibri"/>
      <family val="2"/>
      <scheme val="minor"/>
    </font>
    <font>
      <b/>
      <sz val="11"/>
      <name val="Calibri"/>
      <family val="2"/>
      <scheme val="minor"/>
    </font>
    <font>
      <b/>
      <sz val="10"/>
      <color theme="1"/>
      <name val="Calibri"/>
      <family val="2"/>
      <scheme val="minor"/>
    </font>
    <font>
      <b/>
      <sz val="10"/>
      <color theme="3" tint="0.39997558519241921"/>
      <name val="Calibri"/>
      <family val="2"/>
      <scheme val="minor"/>
    </font>
    <font>
      <b/>
      <sz val="10"/>
      <color theme="5" tint="-0.249977111117893"/>
      <name val="Calibri"/>
      <family val="2"/>
      <scheme val="minor"/>
    </font>
    <font>
      <sz val="10"/>
      <color theme="5" tint="-0.249977111117893"/>
      <name val="Calibri"/>
      <family val="2"/>
      <scheme val="minor"/>
    </font>
    <font>
      <sz val="10"/>
      <color rgb="FF0070C0"/>
      <name val="Calibri"/>
      <family val="2"/>
      <scheme val="minor"/>
    </font>
    <font>
      <b/>
      <sz val="10"/>
      <color rgb="FF0070C0"/>
      <name val="Calibri"/>
      <family val="2"/>
      <scheme val="minor"/>
    </font>
    <font>
      <sz val="9"/>
      <color theme="1"/>
      <name val="Calibri"/>
      <family val="2"/>
      <scheme val="minor"/>
    </font>
  </fonts>
  <fills count="2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rgb="FF92D05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8"/>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right/>
      <top/>
      <bottom style="dashDot">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ashDot">
        <color indexed="64"/>
      </bottom>
      <diagonal/>
    </border>
    <border>
      <left/>
      <right style="medium">
        <color indexed="64"/>
      </right>
      <top style="dashDot">
        <color indexed="64"/>
      </top>
      <bottom style="dashDot">
        <color indexed="64"/>
      </bottom>
      <diagonal/>
    </border>
    <border>
      <left/>
      <right style="medium">
        <color indexed="64"/>
      </right>
      <top style="dashDot">
        <color indexed="64"/>
      </top>
      <bottom style="medium">
        <color indexed="64"/>
      </bottom>
      <diagonal/>
    </border>
    <border>
      <left/>
      <right style="medium">
        <color indexed="64"/>
      </right>
      <top/>
      <bottom style="dashDot">
        <color indexed="64"/>
      </bottom>
      <diagonal/>
    </border>
    <border>
      <left/>
      <right style="thin">
        <color indexed="64"/>
      </right>
      <top/>
      <bottom/>
      <diagonal/>
    </border>
    <border>
      <left/>
      <right/>
      <top style="thin">
        <color indexed="64"/>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333">
    <xf numFmtId="0" fontId="0" fillId="0" borderId="0" xfId="0"/>
    <xf numFmtId="164" fontId="0" fillId="0" borderId="1" xfId="0" applyNumberFormat="1" applyBorder="1" applyAlignment="1">
      <alignment horizontal="center" vertical="center"/>
    </xf>
    <xf numFmtId="164" fontId="0" fillId="0" borderId="0" xfId="0" applyNumberFormat="1" applyAlignment="1">
      <alignment horizontal="center" vertical="center"/>
    </xf>
    <xf numFmtId="164" fontId="0" fillId="0" borderId="2" xfId="0" applyNumberFormat="1" applyBorder="1" applyAlignment="1">
      <alignment horizontal="center" vertical="center"/>
    </xf>
    <xf numFmtId="164" fontId="0" fillId="0" borderId="9" xfId="0" applyNumberFormat="1" applyBorder="1" applyAlignment="1">
      <alignment horizontal="center" vertical="center"/>
    </xf>
    <xf numFmtId="164" fontId="0" fillId="0" borderId="1" xfId="0" applyNumberFormat="1" applyBorder="1" applyAlignment="1">
      <alignment horizontal="center" vertical="center" wrapText="1"/>
    </xf>
    <xf numFmtId="164" fontId="0" fillId="0" borderId="9" xfId="0" applyNumberFormat="1" applyBorder="1" applyAlignment="1">
      <alignment horizontal="center" vertical="center" wrapText="1"/>
    </xf>
    <xf numFmtId="164" fontId="2" fillId="0" borderId="0" xfId="0" applyNumberFormat="1" applyFont="1" applyFill="1" applyBorder="1" applyAlignment="1">
      <alignment horizontal="center" vertical="center"/>
    </xf>
    <xf numFmtId="164" fontId="1" fillId="0" borderId="0" xfId="0" applyNumberFormat="1" applyFont="1" applyFill="1" applyBorder="1" applyAlignment="1">
      <alignment horizontal="center" vertical="center"/>
    </xf>
    <xf numFmtId="164" fontId="0" fillId="0" borderId="0" xfId="0" applyNumberFormat="1" applyFill="1" applyBorder="1" applyAlignment="1">
      <alignment vertical="center"/>
    </xf>
    <xf numFmtId="164" fontId="0" fillId="0" borderId="0" xfId="0" applyNumberFormat="1" applyFont="1" applyFill="1" applyBorder="1" applyAlignment="1">
      <alignment horizontal="center" vertical="center"/>
    </xf>
    <xf numFmtId="164" fontId="0" fillId="0" borderId="0" xfId="0" applyNumberFormat="1" applyFill="1" applyBorder="1" applyAlignment="1">
      <alignment horizontal="center" vertical="center"/>
    </xf>
    <xf numFmtId="164" fontId="0" fillId="7" borderId="1" xfId="0" applyNumberFormat="1" applyFill="1" applyBorder="1" applyAlignment="1">
      <alignment horizontal="center" vertical="center"/>
    </xf>
    <xf numFmtId="164" fontId="0" fillId="6" borderId="1" xfId="0" applyNumberFormat="1" applyFill="1" applyBorder="1" applyAlignment="1">
      <alignment horizontal="center" vertical="center"/>
    </xf>
    <xf numFmtId="164" fontId="0" fillId="0" borderId="19" xfId="0" applyNumberFormat="1" applyFill="1" applyBorder="1" applyAlignment="1">
      <alignment horizontal="center" vertical="center"/>
    </xf>
    <xf numFmtId="164" fontId="0" fillId="0" borderId="15" xfId="0" applyNumberFormat="1" applyBorder="1" applyAlignment="1">
      <alignment horizontal="center" vertical="center" wrapText="1"/>
    </xf>
    <xf numFmtId="164" fontId="0" fillId="0" borderId="15" xfId="0" applyNumberFormat="1" applyBorder="1" applyAlignment="1">
      <alignment horizontal="center" vertical="center"/>
    </xf>
    <xf numFmtId="164" fontId="0" fillId="3" borderId="15" xfId="0" applyNumberFormat="1" applyFill="1" applyBorder="1" applyAlignment="1">
      <alignment horizontal="center" vertical="center" wrapText="1"/>
    </xf>
    <xf numFmtId="164" fontId="0" fillId="3" borderId="15" xfId="0" applyNumberFormat="1" applyFill="1" applyBorder="1" applyAlignment="1">
      <alignment horizontal="center" vertical="center"/>
    </xf>
    <xf numFmtId="164" fontId="0" fillId="11" borderId="15" xfId="0" applyNumberFormat="1" applyFill="1" applyBorder="1" applyAlignment="1">
      <alignment horizontal="center" vertical="center"/>
    </xf>
    <xf numFmtId="164" fontId="0" fillId="12" borderId="15" xfId="0" applyNumberFormat="1" applyFill="1" applyBorder="1" applyAlignment="1">
      <alignment horizontal="center" vertical="center" wrapText="1"/>
    </xf>
    <xf numFmtId="164" fontId="0" fillId="0" borderId="15" xfId="0" applyNumberFormat="1" applyFill="1" applyBorder="1" applyAlignment="1">
      <alignment horizontal="center" vertical="center"/>
    </xf>
    <xf numFmtId="164" fontId="0" fillId="0" borderId="12" xfId="0" applyNumberFormat="1" applyBorder="1" applyAlignment="1">
      <alignment horizontal="center" vertical="center"/>
    </xf>
    <xf numFmtId="164" fontId="0" fillId="2" borderId="15" xfId="0" applyNumberFormat="1" applyFill="1" applyBorder="1" applyAlignment="1">
      <alignment horizontal="center" vertical="center"/>
    </xf>
    <xf numFmtId="164" fontId="2" fillId="0" borderId="15" xfId="0" applyNumberFormat="1" applyFont="1" applyFill="1" applyBorder="1" applyAlignment="1">
      <alignment horizontal="center" vertical="center"/>
    </xf>
    <xf numFmtId="164" fontId="0" fillId="0" borderId="0" xfId="0" applyNumberFormat="1" applyBorder="1" applyAlignment="1">
      <alignment horizontal="center" vertical="center"/>
    </xf>
    <xf numFmtId="164" fontId="0" fillId="0" borderId="19" xfId="0" applyNumberFormat="1" applyBorder="1" applyAlignment="1">
      <alignment horizontal="center" vertical="center"/>
    </xf>
    <xf numFmtId="164" fontId="1" fillId="3" borderId="15"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xf>
    <xf numFmtId="164" fontId="1" fillId="3" borderId="15" xfId="0" applyNumberFormat="1" applyFont="1" applyFill="1" applyBorder="1" applyAlignment="1">
      <alignment horizontal="center" vertical="center"/>
    </xf>
    <xf numFmtId="164" fontId="0" fillId="10" borderId="15" xfId="0" applyNumberFormat="1" applyFill="1" applyBorder="1" applyAlignment="1">
      <alignment horizontal="center" vertical="center"/>
    </xf>
    <xf numFmtId="164" fontId="0" fillId="13" borderId="15" xfId="0" applyNumberFormat="1" applyFill="1" applyBorder="1" applyAlignment="1">
      <alignment horizontal="center" vertical="center"/>
    </xf>
    <xf numFmtId="164" fontId="3" fillId="11" borderId="15" xfId="0" applyNumberFormat="1" applyFont="1" applyFill="1" applyBorder="1" applyAlignment="1">
      <alignment horizontal="center" vertical="center"/>
    </xf>
    <xf numFmtId="164" fontId="0" fillId="12" borderId="15" xfId="0" applyNumberFormat="1" applyFont="1" applyFill="1" applyBorder="1" applyAlignment="1">
      <alignment horizontal="center" vertical="center" wrapText="1"/>
    </xf>
    <xf numFmtId="164" fontId="0" fillId="0" borderId="15" xfId="0" applyNumberFormat="1" applyFont="1" applyBorder="1" applyAlignment="1">
      <alignment horizontal="center" vertical="center" wrapText="1"/>
    </xf>
    <xf numFmtId="164" fontId="0" fillId="11" borderId="15" xfId="0" applyNumberFormat="1" applyFont="1" applyFill="1" applyBorder="1" applyAlignment="1">
      <alignment horizontal="center" vertical="center"/>
    </xf>
    <xf numFmtId="164" fontId="0" fillId="3" borderId="15" xfId="0" applyNumberFormat="1" applyFont="1" applyFill="1" applyBorder="1" applyAlignment="1">
      <alignment horizontal="center" vertical="center"/>
    </xf>
    <xf numFmtId="164" fontId="0" fillId="12" borderId="15" xfId="0" applyNumberFormat="1" applyFont="1" applyFill="1" applyBorder="1" applyAlignment="1">
      <alignment horizontal="center" vertical="center"/>
    </xf>
    <xf numFmtId="164" fontId="0" fillId="0" borderId="0" xfId="0" applyNumberFormat="1" applyFont="1" applyAlignment="1">
      <alignment horizontal="center" vertical="center"/>
    </xf>
    <xf numFmtId="164" fontId="0" fillId="13" borderId="15" xfId="0" applyNumberFormat="1" applyFont="1" applyFill="1" applyBorder="1" applyAlignment="1">
      <alignment horizontal="center" vertical="center"/>
    </xf>
    <xf numFmtId="164" fontId="0" fillId="0" borderId="15" xfId="0" applyNumberFormat="1" applyFont="1" applyBorder="1" applyAlignment="1">
      <alignment horizontal="center" vertical="center"/>
    </xf>
    <xf numFmtId="164" fontId="0" fillId="0" borderId="12" xfId="0" applyNumberFormat="1" applyFont="1" applyBorder="1" applyAlignment="1">
      <alignment horizontal="center" vertical="center"/>
    </xf>
    <xf numFmtId="164" fontId="0" fillId="3" borderId="1" xfId="0" applyNumberFormat="1" applyFill="1" applyBorder="1" applyAlignment="1">
      <alignment horizontal="center" vertical="center"/>
    </xf>
    <xf numFmtId="164" fontId="0" fillId="2" borderId="1" xfId="0" applyNumberFormat="1" applyFill="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28" xfId="0" applyNumberFormat="1" applyFont="1" applyBorder="1" applyAlignment="1">
      <alignment horizontal="center" vertical="center"/>
    </xf>
    <xf numFmtId="164" fontId="4" fillId="14" borderId="5" xfId="0" applyNumberFormat="1"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3" borderId="39" xfId="0" applyNumberFormat="1" applyFont="1" applyFill="1" applyBorder="1" applyAlignment="1">
      <alignment horizontal="center" vertical="center"/>
    </xf>
    <xf numFmtId="164" fontId="4" fillId="0" borderId="32" xfId="0" applyNumberFormat="1" applyFont="1" applyBorder="1" applyAlignment="1">
      <alignment horizontal="center" vertical="center"/>
    </xf>
    <xf numFmtId="164" fontId="4" fillId="0" borderId="30" xfId="0" applyNumberFormat="1" applyFont="1" applyBorder="1" applyAlignment="1">
      <alignment horizontal="center" vertical="center"/>
    </xf>
    <xf numFmtId="164" fontId="4" fillId="13" borderId="15" xfId="0" applyNumberFormat="1" applyFont="1" applyFill="1" applyBorder="1" applyAlignment="1">
      <alignment horizontal="center" vertical="center" wrapText="1"/>
    </xf>
    <xf numFmtId="164" fontId="0" fillId="16" borderId="1" xfId="0" applyNumberFormat="1" applyFill="1" applyBorder="1" applyAlignment="1">
      <alignment horizontal="center" vertical="center"/>
    </xf>
    <xf numFmtId="164" fontId="0" fillId="5" borderId="1" xfId="0" applyNumberFormat="1" applyFill="1" applyBorder="1" applyAlignment="1">
      <alignment horizontal="center" vertical="center"/>
    </xf>
    <xf numFmtId="164" fontId="4" fillId="3" borderId="15" xfId="0" applyNumberFormat="1" applyFont="1" applyFill="1" applyBorder="1" applyAlignment="1">
      <alignment horizontal="center" vertical="center" wrapText="1"/>
    </xf>
    <xf numFmtId="164" fontId="4" fillId="3" borderId="20" xfId="0" applyNumberFormat="1" applyFont="1" applyFill="1" applyBorder="1" applyAlignment="1">
      <alignment horizontal="center" vertical="center" wrapText="1"/>
    </xf>
    <xf numFmtId="164" fontId="4" fillId="3" borderId="16" xfId="0" applyNumberFormat="1" applyFont="1" applyFill="1" applyBorder="1" applyAlignment="1">
      <alignment horizontal="center" vertical="center" wrapText="1"/>
    </xf>
    <xf numFmtId="164" fontId="4" fillId="3" borderId="17" xfId="0" applyNumberFormat="1" applyFont="1" applyFill="1" applyBorder="1" applyAlignment="1">
      <alignment horizontal="center" vertical="center" wrapText="1"/>
    </xf>
    <xf numFmtId="164" fontId="4" fillId="3" borderId="18" xfId="0" applyNumberFormat="1" applyFont="1" applyFill="1" applyBorder="1" applyAlignment="1">
      <alignment horizontal="center" vertical="center" wrapText="1"/>
    </xf>
    <xf numFmtId="164" fontId="5" fillId="0" borderId="15" xfId="0" applyNumberFormat="1" applyFont="1" applyBorder="1" applyAlignment="1">
      <alignment horizontal="center" vertical="center" wrapText="1"/>
    </xf>
    <xf numFmtId="164" fontId="2" fillId="11" borderId="15" xfId="0" applyNumberFormat="1" applyFont="1" applyFill="1" applyBorder="1" applyAlignment="1">
      <alignment horizontal="center" vertical="center"/>
    </xf>
    <xf numFmtId="164" fontId="5" fillId="0" borderId="15" xfId="0" applyNumberFormat="1" applyFont="1" applyBorder="1" applyAlignment="1">
      <alignment horizontal="center" vertical="center"/>
    </xf>
    <xf numFmtId="164" fontId="2" fillId="0" borderId="15" xfId="0" applyNumberFormat="1" applyFont="1" applyBorder="1" applyAlignment="1">
      <alignment horizontal="center" vertical="center"/>
    </xf>
    <xf numFmtId="164" fontId="5" fillId="0" borderId="15" xfId="0" applyNumberFormat="1" applyFont="1" applyFill="1" applyBorder="1" applyAlignment="1">
      <alignment horizontal="center" vertical="center"/>
    </xf>
    <xf numFmtId="164" fontId="5" fillId="3" borderId="15" xfId="0" applyNumberFormat="1" applyFont="1" applyFill="1" applyBorder="1" applyAlignment="1">
      <alignment horizontal="center" vertical="center" wrapText="1"/>
    </xf>
    <xf numFmtId="164" fontId="2" fillId="3" borderId="15" xfId="0" applyNumberFormat="1" applyFont="1" applyFill="1" applyBorder="1" applyAlignment="1">
      <alignment horizontal="center" vertical="center"/>
    </xf>
    <xf numFmtId="164" fontId="2" fillId="0" borderId="0" xfId="0" applyNumberFormat="1" applyFont="1" applyAlignment="1">
      <alignment horizontal="center" vertical="center"/>
    </xf>
    <xf numFmtId="164" fontId="2" fillId="0" borderId="0" xfId="0" applyNumberFormat="1" applyFont="1" applyBorder="1" applyAlignment="1">
      <alignment horizontal="center" vertical="center"/>
    </xf>
    <xf numFmtId="164" fontId="2" fillId="3" borderId="15" xfId="0" applyNumberFormat="1" applyFont="1" applyFill="1" applyBorder="1" applyAlignment="1">
      <alignment horizontal="center" vertical="center" wrapText="1"/>
    </xf>
    <xf numFmtId="164" fontId="2" fillId="0" borderId="15" xfId="0" applyNumberFormat="1" applyFont="1" applyBorder="1" applyAlignment="1">
      <alignment horizontal="center" vertical="center" wrapText="1"/>
    </xf>
    <xf numFmtId="164" fontId="2" fillId="12" borderId="15" xfId="0" applyNumberFormat="1" applyFont="1" applyFill="1" applyBorder="1" applyAlignment="1">
      <alignment horizontal="center" vertical="center" wrapText="1"/>
    </xf>
    <xf numFmtId="164" fontId="5" fillId="0" borderId="0" xfId="0" applyNumberFormat="1" applyFont="1" applyFill="1" applyBorder="1" applyAlignment="1">
      <alignment horizontal="center" vertical="center"/>
    </xf>
    <xf numFmtId="164" fontId="2" fillId="12" borderId="15" xfId="0" applyNumberFormat="1" applyFont="1" applyFill="1" applyBorder="1" applyAlignment="1">
      <alignment horizontal="center" vertical="center"/>
    </xf>
    <xf numFmtId="164" fontId="2" fillId="13" borderId="15" xfId="0" applyNumberFormat="1" applyFont="1" applyFill="1" applyBorder="1" applyAlignment="1">
      <alignment horizontal="center" vertical="center"/>
    </xf>
    <xf numFmtId="164" fontId="2" fillId="0" borderId="12" xfId="0" applyNumberFormat="1" applyFont="1" applyBorder="1" applyAlignment="1">
      <alignment horizontal="center" vertical="center"/>
    </xf>
    <xf numFmtId="164" fontId="6" fillId="0" borderId="15" xfId="0" applyNumberFormat="1" applyFont="1" applyFill="1" applyBorder="1" applyAlignment="1">
      <alignment horizontal="center" vertical="center"/>
    </xf>
    <xf numFmtId="164" fontId="0" fillId="2" borderId="15" xfId="0" applyNumberFormat="1" applyFill="1" applyBorder="1" applyAlignment="1">
      <alignment horizontal="center" vertical="center" wrapText="1"/>
    </xf>
    <xf numFmtId="164" fontId="6" fillId="0" borderId="15" xfId="0" applyNumberFormat="1" applyFont="1" applyBorder="1" applyAlignment="1">
      <alignment horizontal="center"/>
    </xf>
    <xf numFmtId="164" fontId="4" fillId="0" borderId="15" xfId="0" applyNumberFormat="1" applyFont="1" applyBorder="1" applyAlignment="1">
      <alignment horizontal="center"/>
    </xf>
    <xf numFmtId="164" fontId="4" fillId="0" borderId="0" xfId="0" applyNumberFormat="1" applyFont="1" applyAlignment="1">
      <alignment horizontal="center" vertical="center"/>
    </xf>
    <xf numFmtId="164" fontId="4" fillId="0" borderId="23" xfId="0" applyNumberFormat="1" applyFont="1" applyBorder="1" applyAlignment="1">
      <alignment horizontal="center" vertical="center"/>
    </xf>
    <xf numFmtId="164" fontId="4" fillId="10" borderId="14" xfId="0" applyNumberFormat="1" applyFont="1" applyFill="1" applyBorder="1" applyAlignment="1">
      <alignment horizontal="center" vertical="center"/>
    </xf>
    <xf numFmtId="164" fontId="4" fillId="8" borderId="16" xfId="0" applyNumberFormat="1" applyFont="1" applyFill="1" applyBorder="1" applyAlignment="1">
      <alignment horizontal="center" vertical="center" wrapText="1"/>
    </xf>
    <xf numFmtId="164" fontId="4" fillId="8" borderId="18" xfId="0" applyNumberFormat="1" applyFont="1" applyFill="1" applyBorder="1" applyAlignment="1">
      <alignment horizontal="center" vertical="center" wrapText="1"/>
    </xf>
    <xf numFmtId="164" fontId="4" fillId="8" borderId="15" xfId="0" applyNumberFormat="1" applyFont="1" applyFill="1" applyBorder="1" applyAlignment="1">
      <alignment horizontal="center" vertical="center" wrapText="1"/>
    </xf>
    <xf numFmtId="164" fontId="0" fillId="6" borderId="15" xfId="0" applyNumberFormat="1" applyFill="1" applyBorder="1" applyAlignment="1">
      <alignment horizontal="center" vertical="center"/>
    </xf>
    <xf numFmtId="164" fontId="4" fillId="0"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164" fontId="4" fillId="0" borderId="9" xfId="0" applyNumberFormat="1" applyFont="1" applyFill="1" applyBorder="1" applyAlignment="1">
      <alignment horizontal="center" vertical="center"/>
    </xf>
    <xf numFmtId="164" fontId="4" fillId="0" borderId="2" xfId="0" applyNumberFormat="1" applyFont="1" applyFill="1" applyBorder="1" applyAlignment="1">
      <alignment horizontal="center" vertical="center"/>
    </xf>
    <xf numFmtId="164" fontId="4" fillId="2" borderId="9" xfId="0" applyNumberFormat="1" applyFont="1" applyFill="1" applyBorder="1" applyAlignment="1">
      <alignment horizontal="center" vertical="center"/>
    </xf>
    <xf numFmtId="164" fontId="4" fillId="0" borderId="23" xfId="0" applyNumberFormat="1" applyFont="1" applyFill="1" applyBorder="1" applyAlignment="1">
      <alignment horizontal="center" vertical="center"/>
    </xf>
    <xf numFmtId="164" fontId="4" fillId="2" borderId="2" xfId="0" applyNumberFormat="1" applyFont="1" applyFill="1" applyBorder="1" applyAlignment="1">
      <alignment horizontal="center" vertical="center"/>
    </xf>
    <xf numFmtId="164" fontId="4" fillId="6" borderId="18" xfId="0" applyNumberFormat="1" applyFont="1" applyFill="1" applyBorder="1" applyAlignment="1">
      <alignment horizontal="center" vertical="center"/>
    </xf>
    <xf numFmtId="164" fontId="4" fillId="14" borderId="6" xfId="0" applyNumberFormat="1" applyFont="1" applyFill="1" applyBorder="1" applyAlignment="1">
      <alignment horizontal="center" vertical="center"/>
    </xf>
    <xf numFmtId="164" fontId="4" fillId="14" borderId="10" xfId="0" applyNumberFormat="1" applyFont="1" applyFill="1" applyBorder="1" applyAlignment="1">
      <alignment horizontal="center" vertical="center"/>
    </xf>
    <xf numFmtId="164" fontId="4" fillId="0" borderId="15" xfId="0" applyNumberFormat="1" applyFont="1" applyBorder="1" applyAlignment="1">
      <alignment horizontal="center" vertical="center"/>
    </xf>
    <xf numFmtId="164" fontId="4" fillId="0" borderId="31" xfId="0" applyNumberFormat="1" applyFont="1" applyBorder="1" applyAlignment="1">
      <alignment horizontal="center" vertical="center"/>
    </xf>
    <xf numFmtId="164" fontId="4" fillId="6" borderId="41" xfId="0" applyNumberFormat="1" applyFont="1" applyFill="1" applyBorder="1" applyAlignment="1">
      <alignment horizontal="center" vertical="center"/>
    </xf>
    <xf numFmtId="164" fontId="4" fillId="14" borderId="3" xfId="0" applyNumberFormat="1" applyFont="1" applyFill="1" applyBorder="1" applyAlignment="1">
      <alignment horizontal="center" vertical="center"/>
    </xf>
    <xf numFmtId="164" fontId="4" fillId="14" borderId="22" xfId="0" applyNumberFormat="1" applyFont="1" applyFill="1" applyBorder="1" applyAlignment="1">
      <alignment horizontal="center" vertical="center"/>
    </xf>
    <xf numFmtId="164" fontId="4" fillId="0" borderId="38" xfId="0" applyNumberFormat="1" applyFont="1" applyBorder="1" applyAlignment="1">
      <alignment horizontal="center" vertical="center"/>
    </xf>
    <xf numFmtId="164" fontId="0" fillId="0" borderId="0" xfId="0" applyNumberFormat="1" applyAlignment="1">
      <alignment horizontal="center" vertical="center" wrapText="1"/>
    </xf>
    <xf numFmtId="164" fontId="0" fillId="13" borderId="15" xfId="0" applyNumberFormat="1" applyFill="1" applyBorder="1" applyAlignment="1">
      <alignment horizontal="center" vertical="center" wrapText="1"/>
    </xf>
    <xf numFmtId="164" fontId="6" fillId="0" borderId="0" xfId="0" applyNumberFormat="1" applyFont="1" applyFill="1" applyBorder="1" applyAlignment="1">
      <alignment horizontal="center" vertical="center"/>
    </xf>
    <xf numFmtId="164" fontId="6" fillId="0" borderId="0" xfId="0" applyNumberFormat="1" applyFont="1" applyBorder="1" applyAlignment="1">
      <alignment horizontal="center"/>
    </xf>
    <xf numFmtId="164" fontId="4" fillId="0" borderId="0" xfId="0" applyNumberFormat="1" applyFont="1" applyBorder="1" applyAlignment="1">
      <alignment horizontal="center"/>
    </xf>
    <xf numFmtId="164" fontId="6" fillId="21" borderId="0" xfId="0" applyNumberFormat="1" applyFont="1" applyFill="1" applyAlignment="1">
      <alignment horizontal="left" vertical="center"/>
    </xf>
    <xf numFmtId="164" fontId="4" fillId="21" borderId="0" xfId="0" applyNumberFormat="1" applyFont="1" applyFill="1" applyAlignment="1">
      <alignment horizontal="center" vertical="center"/>
    </xf>
    <xf numFmtId="164" fontId="4" fillId="21" borderId="7" xfId="0" applyNumberFormat="1" applyFont="1" applyFill="1" applyBorder="1" applyAlignment="1">
      <alignment horizontal="center" vertical="center"/>
    </xf>
    <xf numFmtId="164" fontId="4" fillId="21" borderId="0" xfId="0" applyNumberFormat="1" applyFont="1" applyFill="1" applyBorder="1" applyAlignment="1">
      <alignment horizontal="center" vertical="center"/>
    </xf>
    <xf numFmtId="164" fontId="4" fillId="21" borderId="0" xfId="0" applyNumberFormat="1" applyFont="1" applyFill="1" applyBorder="1" applyAlignment="1">
      <alignment horizontal="left" vertical="center"/>
    </xf>
    <xf numFmtId="164" fontId="4" fillId="21" borderId="23" xfId="0" applyNumberFormat="1" applyFont="1" applyFill="1" applyBorder="1" applyAlignment="1">
      <alignment horizontal="center" vertical="center"/>
    </xf>
    <xf numFmtId="164" fontId="4" fillId="21" borderId="0" xfId="0" applyNumberFormat="1" applyFont="1" applyFill="1" applyBorder="1" applyAlignment="1">
      <alignment vertical="center"/>
    </xf>
    <xf numFmtId="164" fontId="4" fillId="9" borderId="38" xfId="0" applyNumberFormat="1" applyFont="1" applyFill="1" applyBorder="1" applyAlignment="1">
      <alignment horizontal="center" vertical="center"/>
    </xf>
    <xf numFmtId="164" fontId="4" fillId="9" borderId="30" xfId="0" applyNumberFormat="1" applyFont="1" applyFill="1" applyBorder="1" applyAlignment="1">
      <alignment horizontal="center" vertical="center"/>
    </xf>
    <xf numFmtId="164" fontId="4" fillId="7" borderId="38" xfId="0" applyNumberFormat="1" applyFont="1" applyFill="1" applyBorder="1" applyAlignment="1">
      <alignment horizontal="center" vertical="center"/>
    </xf>
    <xf numFmtId="164" fontId="4" fillId="7" borderId="30" xfId="0" applyNumberFormat="1" applyFont="1" applyFill="1" applyBorder="1" applyAlignment="1">
      <alignment horizontal="center" vertical="center"/>
    </xf>
    <xf numFmtId="164" fontId="4" fillId="3" borderId="17" xfId="0" applyNumberFormat="1" applyFont="1" applyFill="1" applyBorder="1" applyAlignment="1">
      <alignment horizontal="center" vertical="center"/>
    </xf>
    <xf numFmtId="164" fontId="4" fillId="21" borderId="0" xfId="0" applyNumberFormat="1" applyFont="1" applyFill="1"/>
    <xf numFmtId="164" fontId="4" fillId="0" borderId="0" xfId="0" applyNumberFormat="1" applyFont="1"/>
    <xf numFmtId="164" fontId="4" fillId="21" borderId="19" xfId="0" applyNumberFormat="1" applyFont="1" applyFill="1" applyBorder="1"/>
    <xf numFmtId="164" fontId="4" fillId="21" borderId="7" xfId="0" applyNumberFormat="1" applyFont="1" applyFill="1" applyBorder="1"/>
    <xf numFmtId="164" fontId="4" fillId="21" borderId="0" xfId="0" applyNumberFormat="1" applyFont="1" applyFill="1" applyBorder="1"/>
    <xf numFmtId="164" fontId="0" fillId="4" borderId="17" xfId="0" applyNumberFormat="1" applyFill="1" applyBorder="1" applyAlignment="1">
      <alignment horizontal="center" vertical="center" wrapText="1"/>
    </xf>
    <xf numFmtId="164" fontId="0" fillId="4" borderId="17" xfId="0" applyNumberFormat="1" applyFill="1" applyBorder="1" applyAlignment="1">
      <alignment horizontal="center" vertical="center"/>
    </xf>
    <xf numFmtId="164" fontId="0" fillId="4" borderId="35" xfId="0" applyNumberFormat="1" applyFill="1" applyBorder="1" applyAlignment="1">
      <alignment horizontal="center" vertical="center" wrapText="1"/>
    </xf>
    <xf numFmtId="164" fontId="0" fillId="2" borderId="2" xfId="0" applyNumberFormat="1" applyFill="1" applyBorder="1" applyAlignment="1">
      <alignment horizontal="center" vertical="center"/>
    </xf>
    <xf numFmtId="164" fontId="0" fillId="0" borderId="8" xfId="0" applyNumberFormat="1" applyBorder="1" applyAlignment="1">
      <alignment horizontal="center" vertical="center"/>
    </xf>
    <xf numFmtId="164" fontId="0" fillId="2" borderId="1" xfId="0" applyNumberFormat="1" applyFill="1" applyBorder="1" applyAlignment="1">
      <alignment horizontal="center" vertical="center" wrapText="1"/>
    </xf>
    <xf numFmtId="164" fontId="0" fillId="0" borderId="3" xfId="0" applyNumberFormat="1" applyBorder="1" applyAlignment="1">
      <alignment horizontal="center" vertical="center"/>
    </xf>
    <xf numFmtId="164" fontId="0" fillId="2" borderId="9" xfId="0" applyNumberFormat="1" applyFill="1" applyBorder="1" applyAlignment="1">
      <alignment horizontal="center" vertical="center" wrapText="1"/>
    </xf>
    <xf numFmtId="164" fontId="0" fillId="0" borderId="22" xfId="0" applyNumberFormat="1" applyBorder="1" applyAlignment="1">
      <alignment horizontal="center" vertical="center"/>
    </xf>
    <xf numFmtId="164" fontId="0" fillId="0" borderId="20" xfId="0" applyNumberFormat="1" applyBorder="1" applyAlignment="1">
      <alignment horizontal="center" vertical="center" wrapText="1"/>
    </xf>
    <xf numFmtId="164" fontId="0" fillId="0" borderId="0" xfId="0" applyNumberFormat="1" applyFill="1" applyBorder="1" applyAlignment="1">
      <alignment horizontal="center" vertical="center" wrapText="1"/>
    </xf>
    <xf numFmtId="164" fontId="0" fillId="0" borderId="0" xfId="0" applyNumberFormat="1" applyFill="1" applyAlignment="1">
      <alignment horizontal="center" vertical="center"/>
    </xf>
    <xf numFmtId="164" fontId="0" fillId="0" borderId="36" xfId="0" applyNumberFormat="1" applyBorder="1" applyAlignment="1">
      <alignment horizontal="center" vertical="center" wrapText="1"/>
    </xf>
    <xf numFmtId="164" fontId="0" fillId="0" borderId="0" xfId="0" applyNumberFormat="1" applyBorder="1" applyAlignment="1">
      <alignment horizontal="center" vertical="center" wrapText="1"/>
    </xf>
    <xf numFmtId="164" fontId="0" fillId="4" borderId="16" xfId="0" applyNumberFormat="1" applyFill="1" applyBorder="1" applyAlignment="1">
      <alignment horizontal="center" vertical="center" wrapText="1"/>
    </xf>
    <xf numFmtId="164" fontId="0" fillId="2" borderId="46" xfId="0" applyNumberFormat="1" applyFill="1" applyBorder="1" applyAlignment="1">
      <alignment horizontal="center" vertical="center"/>
    </xf>
    <xf numFmtId="164" fontId="0" fillId="2" borderId="4" xfId="0" applyNumberFormat="1" applyFill="1" applyBorder="1" applyAlignment="1">
      <alignment horizontal="center" vertical="center" wrapText="1"/>
    </xf>
    <xf numFmtId="164" fontId="0" fillId="2" borderId="11" xfId="0" applyNumberFormat="1" applyFill="1" applyBorder="1" applyAlignment="1">
      <alignment horizontal="center" vertical="center" wrapText="1"/>
    </xf>
    <xf numFmtId="164" fontId="0" fillId="0" borderId="45" xfId="0" applyNumberFormat="1" applyBorder="1" applyAlignment="1">
      <alignment horizontal="center" vertical="center"/>
    </xf>
    <xf numFmtId="164" fontId="4" fillId="0" borderId="0" xfId="0" applyNumberFormat="1" applyFont="1" applyBorder="1" applyAlignment="1">
      <alignment horizontal="center" vertical="center"/>
    </xf>
    <xf numFmtId="164" fontId="7" fillId="21" borderId="0" xfId="0" applyNumberFormat="1" applyFont="1" applyFill="1" applyBorder="1" applyAlignment="1">
      <alignment horizontal="center" vertical="center"/>
    </xf>
    <xf numFmtId="164" fontId="7" fillId="21" borderId="0" xfId="0" applyNumberFormat="1" applyFont="1" applyFill="1" applyBorder="1" applyAlignment="1">
      <alignment horizontal="center"/>
    </xf>
    <xf numFmtId="164" fontId="6" fillId="21" borderId="0" xfId="0" applyNumberFormat="1" applyFont="1" applyFill="1" applyBorder="1" applyAlignment="1">
      <alignment horizontal="center" vertical="center"/>
    </xf>
    <xf numFmtId="164" fontId="4" fillId="21" borderId="0" xfId="0" applyNumberFormat="1" applyFont="1" applyFill="1" applyBorder="1" applyAlignment="1">
      <alignment horizontal="center"/>
    </xf>
    <xf numFmtId="164" fontId="6" fillId="21" borderId="0" xfId="0" applyNumberFormat="1" applyFont="1" applyFill="1" applyBorder="1" applyAlignment="1">
      <alignment horizontal="center"/>
    </xf>
    <xf numFmtId="164" fontId="4" fillId="20" borderId="6" xfId="0" applyNumberFormat="1" applyFont="1" applyFill="1" applyBorder="1" applyAlignment="1">
      <alignment horizontal="center" vertical="center"/>
    </xf>
    <xf numFmtId="164" fontId="4" fillId="20" borderId="5" xfId="0" applyNumberFormat="1" applyFont="1" applyFill="1" applyBorder="1" applyAlignment="1">
      <alignment horizontal="center" vertical="center"/>
    </xf>
    <xf numFmtId="164" fontId="4" fillId="20" borderId="10" xfId="0" applyNumberFormat="1" applyFont="1" applyFill="1" applyBorder="1" applyAlignment="1">
      <alignment horizontal="center" vertical="center"/>
    </xf>
    <xf numFmtId="164" fontId="4" fillId="20" borderId="8" xfId="0" applyNumberFormat="1" applyFont="1" applyFill="1" applyBorder="1" applyAlignment="1">
      <alignment horizontal="center" vertical="center"/>
    </xf>
    <xf numFmtId="164" fontId="4" fillId="20" borderId="3" xfId="0" applyNumberFormat="1" applyFont="1" applyFill="1" applyBorder="1" applyAlignment="1">
      <alignment horizontal="center" vertical="center"/>
    </xf>
    <xf numFmtId="164" fontId="4" fillId="21" borderId="47" xfId="0" applyNumberFormat="1" applyFont="1" applyFill="1" applyBorder="1"/>
    <xf numFmtId="164" fontId="4" fillId="4" borderId="18" xfId="0" applyNumberFormat="1" applyFont="1" applyFill="1" applyBorder="1" applyAlignment="1">
      <alignment horizontal="center" vertical="center" wrapText="1"/>
    </xf>
    <xf numFmtId="164" fontId="4" fillId="6" borderId="15" xfId="0" applyNumberFormat="1" applyFont="1" applyFill="1" applyBorder="1" applyAlignment="1">
      <alignment horizontal="center" vertical="center" wrapText="1"/>
    </xf>
    <xf numFmtId="164" fontId="0" fillId="10" borderId="1" xfId="0" applyNumberFormat="1" applyFill="1" applyBorder="1" applyAlignment="1">
      <alignment horizontal="center" vertical="center"/>
    </xf>
    <xf numFmtId="164" fontId="0" fillId="15" borderId="1" xfId="0" applyNumberFormat="1" applyFill="1" applyBorder="1" applyAlignment="1">
      <alignment horizontal="center" vertical="center"/>
    </xf>
    <xf numFmtId="164" fontId="0" fillId="22" borderId="1" xfId="0" applyNumberFormat="1" applyFill="1" applyBorder="1" applyAlignment="1">
      <alignment horizontal="center" vertical="center"/>
    </xf>
    <xf numFmtId="164" fontId="0" fillId="26" borderId="1" xfId="0" applyNumberFormat="1" applyFill="1" applyBorder="1" applyAlignment="1">
      <alignment horizontal="center" vertical="center"/>
    </xf>
    <xf numFmtId="164" fontId="0" fillId="22" borderId="0" xfId="0" applyNumberFormat="1" applyFill="1" applyAlignment="1">
      <alignment horizontal="center" vertical="center"/>
    </xf>
    <xf numFmtId="164" fontId="0" fillId="7" borderId="0" xfId="0" applyNumberFormat="1" applyFill="1" applyAlignment="1">
      <alignment horizontal="center" vertical="center"/>
    </xf>
    <xf numFmtId="164" fontId="0" fillId="7" borderId="36" xfId="0" applyNumberFormat="1" applyFill="1" applyBorder="1" applyAlignment="1">
      <alignment vertical="center"/>
    </xf>
    <xf numFmtId="164" fontId="0" fillId="7" borderId="24" xfId="0" applyNumberFormat="1" applyFill="1" applyBorder="1" applyAlignment="1">
      <alignment vertical="center"/>
    </xf>
    <xf numFmtId="164" fontId="0" fillId="7" borderId="37" xfId="0" applyNumberFormat="1" applyFill="1" applyBorder="1" applyAlignment="1">
      <alignment vertical="center"/>
    </xf>
    <xf numFmtId="164" fontId="0" fillId="9" borderId="36" xfId="0" applyNumberFormat="1" applyFill="1" applyBorder="1" applyAlignment="1">
      <alignment vertical="center"/>
    </xf>
    <xf numFmtId="164" fontId="0" fillId="9" borderId="24" xfId="0" applyNumberFormat="1" applyFill="1" applyBorder="1" applyAlignment="1">
      <alignment vertical="center"/>
    </xf>
    <xf numFmtId="164" fontId="0" fillId="9" borderId="37" xfId="0" applyNumberFormat="1" applyFill="1" applyBorder="1" applyAlignment="1">
      <alignment vertical="center"/>
    </xf>
    <xf numFmtId="164" fontId="0" fillId="13" borderId="36" xfId="0" applyNumberFormat="1" applyFill="1" applyBorder="1" applyAlignment="1">
      <alignment horizontal="center" vertical="center" wrapText="1"/>
    </xf>
    <xf numFmtId="164" fontId="0" fillId="25" borderId="37" xfId="0" applyNumberFormat="1" applyFont="1" applyFill="1" applyBorder="1" applyAlignment="1">
      <alignment horizontal="center" vertical="center"/>
    </xf>
    <xf numFmtId="164" fontId="0" fillId="18" borderId="15" xfId="0" applyNumberFormat="1" applyFill="1" applyBorder="1" applyAlignment="1">
      <alignment horizontal="center" vertical="center"/>
    </xf>
    <xf numFmtId="164" fontId="0" fillId="18" borderId="15" xfId="0" applyNumberFormat="1" applyFont="1" applyFill="1" applyBorder="1" applyAlignment="1">
      <alignment horizontal="center" vertical="center"/>
    </xf>
    <xf numFmtId="164" fontId="4" fillId="3" borderId="49" xfId="0" applyNumberFormat="1" applyFont="1" applyFill="1" applyBorder="1" applyAlignment="1">
      <alignment horizontal="center" vertical="center" wrapText="1"/>
    </xf>
    <xf numFmtId="164" fontId="4" fillId="4" borderId="49" xfId="0" applyNumberFormat="1" applyFont="1" applyFill="1" applyBorder="1" applyAlignment="1">
      <alignment horizontal="center" vertical="center" wrapText="1"/>
    </xf>
    <xf numFmtId="164" fontId="4" fillId="6" borderId="20" xfId="0" applyNumberFormat="1" applyFont="1" applyFill="1" applyBorder="1" applyAlignment="1">
      <alignment horizontal="center" vertical="center" wrapText="1"/>
    </xf>
    <xf numFmtId="164" fontId="8" fillId="23" borderId="49" xfId="0" applyNumberFormat="1" applyFont="1" applyFill="1" applyBorder="1" applyAlignment="1">
      <alignment horizontal="center" vertical="center" wrapText="1"/>
    </xf>
    <xf numFmtId="164" fontId="9" fillId="23" borderId="17" xfId="0" applyNumberFormat="1" applyFont="1" applyFill="1" applyBorder="1" applyAlignment="1">
      <alignment horizontal="center" vertical="center" wrapText="1"/>
    </xf>
    <xf numFmtId="164" fontId="9" fillId="23" borderId="17" xfId="0" applyNumberFormat="1" applyFont="1" applyFill="1" applyBorder="1" applyAlignment="1">
      <alignment horizontal="center" vertical="center"/>
    </xf>
    <xf numFmtId="164" fontId="9" fillId="23" borderId="18" xfId="0" applyNumberFormat="1" applyFont="1" applyFill="1" applyBorder="1" applyAlignment="1">
      <alignment horizontal="center" vertical="center" wrapText="1"/>
    </xf>
    <xf numFmtId="164" fontId="2" fillId="18" borderId="15" xfId="0" applyNumberFormat="1" applyFont="1" applyFill="1" applyBorder="1" applyAlignment="1">
      <alignment horizontal="center" vertical="center"/>
    </xf>
    <xf numFmtId="164" fontId="0" fillId="25" borderId="37" xfId="0" applyNumberFormat="1" applyFill="1" applyBorder="1" applyAlignment="1">
      <alignment horizontal="center" vertical="center"/>
    </xf>
    <xf numFmtId="164" fontId="2" fillId="13" borderId="37" xfId="0" applyNumberFormat="1" applyFont="1" applyFill="1" applyBorder="1" applyAlignment="1">
      <alignment horizontal="center" vertical="center"/>
    </xf>
    <xf numFmtId="164" fontId="0" fillId="13" borderId="37" xfId="0" applyNumberFormat="1" applyFill="1" applyBorder="1" applyAlignment="1">
      <alignment horizontal="center" vertical="center"/>
    </xf>
    <xf numFmtId="164" fontId="0" fillId="0" borderId="55" xfId="0" applyNumberFormat="1" applyBorder="1" applyAlignment="1">
      <alignment horizontal="center" vertical="center"/>
    </xf>
    <xf numFmtId="164" fontId="0" fillId="0" borderId="19" xfId="0" applyNumberFormat="1" applyBorder="1" applyAlignment="1">
      <alignment horizontal="center" vertical="center" wrapText="1"/>
    </xf>
    <xf numFmtId="164" fontId="0" fillId="0" borderId="19" xfId="0" applyNumberFormat="1" applyFill="1" applyBorder="1" applyAlignment="1">
      <alignment horizontal="center" vertical="center" wrapText="1"/>
    </xf>
    <xf numFmtId="164" fontId="10" fillId="15" borderId="2" xfId="0" applyNumberFormat="1" applyFont="1" applyFill="1" applyBorder="1" applyAlignment="1">
      <alignment horizontal="center"/>
    </xf>
    <xf numFmtId="164" fontId="10" fillId="15" borderId="6" xfId="0" applyNumberFormat="1" applyFont="1" applyFill="1" applyBorder="1" applyAlignment="1">
      <alignment horizontal="center"/>
    </xf>
    <xf numFmtId="164" fontId="10" fillId="17" borderId="9" xfId="0" applyNumberFormat="1" applyFont="1" applyFill="1" applyBorder="1" applyAlignment="1">
      <alignment horizontal="center"/>
    </xf>
    <xf numFmtId="164" fontId="10" fillId="17" borderId="10" xfId="0" applyNumberFormat="1" applyFont="1" applyFill="1" applyBorder="1" applyAlignment="1">
      <alignment horizontal="center"/>
    </xf>
    <xf numFmtId="164" fontId="10" fillId="15" borderId="26" xfId="0" applyNumberFormat="1" applyFont="1" applyFill="1" applyBorder="1" applyAlignment="1">
      <alignment horizontal="center"/>
    </xf>
    <xf numFmtId="164" fontId="10" fillId="15" borderId="33" xfId="0" applyNumberFormat="1" applyFont="1" applyFill="1" applyBorder="1" applyAlignment="1">
      <alignment horizontal="center"/>
    </xf>
    <xf numFmtId="164" fontId="10" fillId="15" borderId="50" xfId="0" applyNumberFormat="1" applyFont="1" applyFill="1" applyBorder="1" applyAlignment="1">
      <alignment horizontal="center" vertical="center"/>
    </xf>
    <xf numFmtId="164" fontId="11" fillId="15" borderId="39" xfId="0" applyNumberFormat="1" applyFont="1" applyFill="1" applyBorder="1" applyAlignment="1">
      <alignment horizontal="center" vertical="center"/>
    </xf>
    <xf numFmtId="164" fontId="11" fillId="15" borderId="25" xfId="0" applyNumberFormat="1" applyFont="1" applyFill="1" applyBorder="1" applyAlignment="1">
      <alignment horizontal="center" vertical="center"/>
    </xf>
    <xf numFmtId="164" fontId="11" fillId="15" borderId="26" xfId="0" applyNumberFormat="1" applyFont="1" applyFill="1" applyBorder="1" applyAlignment="1">
      <alignment horizontal="center" vertical="center"/>
    </xf>
    <xf numFmtId="164" fontId="11" fillId="15" borderId="33" xfId="0" applyNumberFormat="1" applyFont="1" applyFill="1" applyBorder="1" applyAlignment="1">
      <alignment horizontal="center" vertical="center"/>
    </xf>
    <xf numFmtId="164" fontId="11" fillId="15" borderId="52" xfId="0" applyNumberFormat="1" applyFont="1" applyFill="1" applyBorder="1" applyAlignment="1">
      <alignment horizontal="center" vertical="center"/>
    </xf>
    <xf numFmtId="164" fontId="11" fillId="15" borderId="38" xfId="0" applyNumberFormat="1" applyFont="1" applyFill="1" applyBorder="1" applyAlignment="1">
      <alignment horizontal="center" vertical="center"/>
    </xf>
    <xf numFmtId="164" fontId="10" fillId="17" borderId="51" xfId="0" applyNumberFormat="1" applyFont="1" applyFill="1" applyBorder="1" applyAlignment="1">
      <alignment horizontal="center" vertical="center"/>
    </xf>
    <xf numFmtId="164" fontId="11" fillId="17" borderId="27" xfId="0" applyNumberFormat="1" applyFont="1" applyFill="1" applyBorder="1" applyAlignment="1">
      <alignment horizontal="center" vertical="center"/>
    </xf>
    <xf numFmtId="164" fontId="11" fillId="17" borderId="11" xfId="0" applyNumberFormat="1" applyFont="1" applyFill="1" applyBorder="1" applyAlignment="1">
      <alignment horizontal="center" vertical="center"/>
    </xf>
    <xf numFmtId="164" fontId="11" fillId="17" borderId="9" xfId="0" applyNumberFormat="1" applyFont="1" applyFill="1" applyBorder="1" applyAlignment="1">
      <alignment horizontal="center" vertical="center"/>
    </xf>
    <xf numFmtId="164" fontId="11" fillId="17" borderId="10" xfId="0" applyNumberFormat="1" applyFont="1" applyFill="1" applyBorder="1" applyAlignment="1">
      <alignment horizontal="center" vertical="center"/>
    </xf>
    <xf numFmtId="164" fontId="11" fillId="17" borderId="51" xfId="0" applyNumberFormat="1" applyFont="1" applyFill="1" applyBorder="1" applyAlignment="1">
      <alignment horizontal="center" vertical="center"/>
    </xf>
    <xf numFmtId="164" fontId="11" fillId="17" borderId="30" xfId="0" applyNumberFormat="1" applyFont="1" applyFill="1" applyBorder="1" applyAlignment="1">
      <alignment horizontal="center"/>
    </xf>
    <xf numFmtId="164" fontId="10" fillId="15" borderId="52" xfId="0" applyNumberFormat="1" applyFont="1" applyFill="1" applyBorder="1" applyAlignment="1">
      <alignment horizontal="center" vertical="center"/>
    </xf>
    <xf numFmtId="164" fontId="10" fillId="17" borderId="53" xfId="0" applyNumberFormat="1" applyFont="1" applyFill="1" applyBorder="1" applyAlignment="1">
      <alignment horizontal="center" vertical="center"/>
    </xf>
    <xf numFmtId="164" fontId="11" fillId="15" borderId="54" xfId="0" applyNumberFormat="1" applyFont="1" applyFill="1" applyBorder="1" applyAlignment="1">
      <alignment horizontal="center" vertical="center"/>
    </xf>
    <xf numFmtId="164" fontId="11" fillId="15" borderId="2" xfId="0" applyNumberFormat="1" applyFont="1" applyFill="1" applyBorder="1" applyAlignment="1">
      <alignment horizontal="center"/>
    </xf>
    <xf numFmtId="164" fontId="11" fillId="17" borderId="9" xfId="0" applyNumberFormat="1" applyFont="1" applyFill="1" applyBorder="1" applyAlignment="1">
      <alignment horizontal="center"/>
    </xf>
    <xf numFmtId="164" fontId="11" fillId="15" borderId="26" xfId="0" applyNumberFormat="1" applyFont="1" applyFill="1" applyBorder="1" applyAlignment="1">
      <alignment horizontal="center"/>
    </xf>
    <xf numFmtId="164" fontId="4" fillId="0" borderId="46" xfId="0" applyNumberFormat="1" applyFont="1" applyBorder="1" applyAlignment="1">
      <alignment horizontal="center" vertical="center"/>
    </xf>
    <xf numFmtId="164" fontId="4" fillId="21" borderId="12" xfId="0" applyNumberFormat="1" applyFont="1" applyFill="1" applyBorder="1" applyAlignment="1">
      <alignment horizontal="center" vertical="center"/>
    </xf>
    <xf numFmtId="164" fontId="4" fillId="0" borderId="6" xfId="0" applyNumberFormat="1" applyFont="1" applyFill="1" applyBorder="1" applyAlignment="1">
      <alignment horizontal="center" vertical="center"/>
    </xf>
    <xf numFmtId="164" fontId="4" fillId="0" borderId="5" xfId="0" applyNumberFormat="1" applyFont="1" applyFill="1" applyBorder="1" applyAlignment="1">
      <alignment horizontal="center" vertical="center"/>
    </xf>
    <xf numFmtId="164" fontId="4" fillId="0" borderId="10" xfId="0" applyNumberFormat="1" applyFont="1" applyFill="1" applyBorder="1" applyAlignment="1">
      <alignment horizontal="center" vertical="center"/>
    </xf>
    <xf numFmtId="164" fontId="4" fillId="21" borderId="45" xfId="0" applyNumberFormat="1" applyFont="1" applyFill="1" applyBorder="1" applyAlignment="1">
      <alignment horizontal="center" vertical="center"/>
    </xf>
    <xf numFmtId="164" fontId="4" fillId="21" borderId="45" xfId="0" applyNumberFormat="1" applyFont="1" applyFill="1" applyBorder="1"/>
    <xf numFmtId="164" fontId="4" fillId="21" borderId="56" xfId="0" applyNumberFormat="1" applyFont="1" applyFill="1" applyBorder="1" applyAlignment="1">
      <alignment horizontal="center" vertical="center"/>
    </xf>
    <xf numFmtId="164" fontId="7" fillId="21" borderId="56" xfId="0" applyNumberFormat="1" applyFont="1" applyFill="1" applyBorder="1" applyAlignment="1">
      <alignment horizontal="center" vertical="center"/>
    </xf>
    <xf numFmtId="164" fontId="4" fillId="0" borderId="56" xfId="0" applyNumberFormat="1" applyFont="1" applyBorder="1"/>
    <xf numFmtId="164" fontId="4" fillId="21" borderId="56" xfId="0" applyNumberFormat="1" applyFont="1" applyFill="1" applyBorder="1"/>
    <xf numFmtId="164" fontId="4" fillId="0" borderId="0" xfId="0" applyNumberFormat="1" applyFont="1" applyBorder="1"/>
    <xf numFmtId="164" fontId="4" fillId="21" borderId="24" xfId="0" applyNumberFormat="1" applyFont="1" applyFill="1" applyBorder="1" applyAlignment="1">
      <alignment horizontal="center" vertical="center"/>
    </xf>
    <xf numFmtId="164" fontId="4" fillId="2" borderId="15" xfId="0" applyNumberFormat="1" applyFont="1" applyFill="1" applyBorder="1" applyAlignment="1">
      <alignment horizontal="center" vertical="center"/>
    </xf>
    <xf numFmtId="164" fontId="4" fillId="2" borderId="20" xfId="0" applyNumberFormat="1" applyFont="1" applyFill="1" applyBorder="1" applyAlignment="1">
      <alignment horizontal="center" vertical="center"/>
    </xf>
    <xf numFmtId="164" fontId="4" fillId="0" borderId="33" xfId="0" applyNumberFormat="1" applyFont="1" applyBorder="1" applyAlignment="1">
      <alignment horizontal="center" vertical="center"/>
    </xf>
    <xf numFmtId="164" fontId="4" fillId="0" borderId="18" xfId="0" applyNumberFormat="1" applyFont="1" applyBorder="1" applyAlignment="1">
      <alignment horizontal="center" vertical="center"/>
    </xf>
    <xf numFmtId="164" fontId="4" fillId="3" borderId="43" xfId="0" applyNumberFormat="1" applyFont="1" applyFill="1" applyBorder="1" applyAlignment="1">
      <alignment horizontal="center" vertical="center"/>
    </xf>
    <xf numFmtId="164" fontId="4" fillId="3" borderId="63" xfId="0" applyNumberFormat="1" applyFont="1" applyFill="1" applyBorder="1" applyAlignment="1">
      <alignment horizontal="center" vertical="center"/>
    </xf>
    <xf numFmtId="164" fontId="4" fillId="21" borderId="40" xfId="0" applyNumberFormat="1" applyFont="1" applyFill="1" applyBorder="1"/>
    <xf numFmtId="164" fontId="4" fillId="10" borderId="16" xfId="0" applyNumberFormat="1" applyFont="1" applyFill="1" applyBorder="1" applyAlignment="1">
      <alignment horizontal="center" vertical="center"/>
    </xf>
    <xf numFmtId="164" fontId="4" fillId="20" borderId="46" xfId="0" applyNumberFormat="1" applyFont="1" applyFill="1" applyBorder="1" applyAlignment="1">
      <alignment horizontal="center" vertical="center"/>
    </xf>
    <xf numFmtId="164" fontId="4" fillId="20" borderId="4" xfId="0" applyNumberFormat="1" applyFont="1" applyFill="1" applyBorder="1" applyAlignment="1">
      <alignment horizontal="center" vertical="center"/>
    </xf>
    <xf numFmtId="164" fontId="4" fillId="20" borderId="11" xfId="0" applyNumberFormat="1" applyFont="1" applyFill="1" applyBorder="1" applyAlignment="1">
      <alignment horizontal="center" vertical="center"/>
    </xf>
    <xf numFmtId="164" fontId="4" fillId="14" borderId="46" xfId="0" applyNumberFormat="1" applyFont="1" applyFill="1" applyBorder="1" applyAlignment="1">
      <alignment horizontal="center" vertical="center"/>
    </xf>
    <xf numFmtId="164" fontId="4" fillId="14" borderId="4" xfId="0" applyNumberFormat="1" applyFont="1" applyFill="1" applyBorder="1" applyAlignment="1">
      <alignment horizontal="center" vertical="center"/>
    </xf>
    <xf numFmtId="164" fontId="4" fillId="14" borderId="11" xfId="0" applyNumberFormat="1" applyFont="1" applyFill="1" applyBorder="1" applyAlignment="1">
      <alignment horizontal="center" vertical="center"/>
    </xf>
    <xf numFmtId="164" fontId="4" fillId="3" borderId="65" xfId="0" applyNumberFormat="1" applyFont="1" applyFill="1" applyBorder="1" applyAlignment="1">
      <alignment horizontal="center" vertical="center"/>
    </xf>
    <xf numFmtId="164" fontId="4" fillId="3" borderId="28" xfId="0" applyNumberFormat="1" applyFont="1" applyFill="1" applyBorder="1" applyAlignment="1">
      <alignment horizontal="center" vertical="center"/>
    </xf>
    <xf numFmtId="164" fontId="4" fillId="3" borderId="27" xfId="0" applyNumberFormat="1" applyFont="1" applyFill="1" applyBorder="1" applyAlignment="1">
      <alignment horizontal="center" vertical="center"/>
    </xf>
    <xf numFmtId="164" fontId="4" fillId="0" borderId="16" xfId="0" applyNumberFormat="1" applyFont="1" applyBorder="1" applyAlignment="1">
      <alignment horizontal="center" vertical="center"/>
    </xf>
    <xf numFmtId="164" fontId="4" fillId="3" borderId="38" xfId="0" applyNumberFormat="1" applyFont="1" applyFill="1" applyBorder="1" applyAlignment="1">
      <alignment horizontal="center" vertical="center"/>
    </xf>
    <xf numFmtId="164" fontId="4" fillId="3" borderId="32" xfId="0" applyNumberFormat="1" applyFont="1" applyFill="1" applyBorder="1" applyAlignment="1">
      <alignment horizontal="center" vertical="center"/>
    </xf>
    <xf numFmtId="164" fontId="4" fillId="3" borderId="30" xfId="0" applyNumberFormat="1" applyFont="1" applyFill="1" applyBorder="1" applyAlignment="1">
      <alignment horizontal="center" vertical="center"/>
    </xf>
    <xf numFmtId="164" fontId="4" fillId="2" borderId="15" xfId="0" applyNumberFormat="1" applyFont="1" applyFill="1" applyBorder="1" applyAlignment="1">
      <alignment horizontal="center"/>
    </xf>
    <xf numFmtId="164" fontId="4" fillId="3" borderId="5"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10" borderId="49" xfId="0" applyNumberFormat="1" applyFont="1" applyFill="1" applyBorder="1" applyAlignment="1">
      <alignment horizontal="center" vertical="center"/>
    </xf>
    <xf numFmtId="164" fontId="4" fillId="21" borderId="19" xfId="0" applyNumberFormat="1" applyFont="1" applyFill="1" applyBorder="1" applyAlignment="1">
      <alignment horizontal="center" vertical="center"/>
    </xf>
    <xf numFmtId="164" fontId="4" fillId="0" borderId="16" xfId="0" applyNumberFormat="1" applyFont="1" applyBorder="1" applyAlignment="1">
      <alignment horizontal="center"/>
    </xf>
    <xf numFmtId="164" fontId="4" fillId="2" borderId="18" xfId="0" applyNumberFormat="1" applyFont="1" applyFill="1" applyBorder="1" applyAlignment="1">
      <alignment horizontal="center"/>
    </xf>
    <xf numFmtId="164" fontId="4" fillId="10" borderId="13" xfId="0" applyNumberFormat="1" applyFont="1" applyFill="1" applyBorder="1" applyAlignment="1">
      <alignment horizontal="center" vertical="center"/>
    </xf>
    <xf numFmtId="164" fontId="4" fillId="0" borderId="18" xfId="0" applyNumberFormat="1" applyFont="1" applyBorder="1" applyAlignment="1">
      <alignment horizontal="center"/>
    </xf>
    <xf numFmtId="164" fontId="4" fillId="0" borderId="33" xfId="0" applyNumberFormat="1" applyFont="1" applyFill="1" applyBorder="1" applyAlignment="1">
      <alignment horizontal="center" vertical="center"/>
    </xf>
    <xf numFmtId="164" fontId="4" fillId="2" borderId="46" xfId="0" applyNumberFormat="1" applyFont="1" applyFill="1" applyBorder="1" applyAlignment="1">
      <alignment horizontal="left" vertical="center"/>
    </xf>
    <xf numFmtId="164" fontId="4" fillId="2" borderId="4" xfId="0" applyNumberFormat="1" applyFont="1" applyFill="1" applyBorder="1"/>
    <xf numFmtId="164" fontId="4" fillId="2" borderId="11" xfId="0" applyNumberFormat="1" applyFont="1" applyFill="1" applyBorder="1" applyAlignment="1">
      <alignment vertical="center"/>
    </xf>
    <xf numFmtId="164" fontId="4" fillId="0" borderId="15" xfId="0" applyNumberFormat="1" applyFont="1" applyFill="1" applyBorder="1" applyAlignment="1">
      <alignment horizontal="center" vertical="center"/>
    </xf>
    <xf numFmtId="164" fontId="4" fillId="0" borderId="65" xfId="0" applyNumberFormat="1" applyFont="1" applyBorder="1" applyAlignment="1">
      <alignment horizontal="center" vertical="center"/>
    </xf>
    <xf numFmtId="164" fontId="4" fillId="0" borderId="20" xfId="0" applyNumberFormat="1" applyFont="1" applyFill="1" applyBorder="1" applyAlignment="1">
      <alignment horizontal="center" vertical="center"/>
    </xf>
    <xf numFmtId="164" fontId="4" fillId="2" borderId="26" xfId="0" applyNumberFormat="1" applyFont="1" applyFill="1" applyBorder="1" applyAlignment="1">
      <alignment horizontal="center" vertical="center"/>
    </xf>
    <xf numFmtId="164" fontId="4" fillId="3" borderId="42" xfId="0" applyNumberFormat="1" applyFont="1" applyFill="1" applyBorder="1" applyAlignment="1">
      <alignment horizontal="center" vertical="center"/>
    </xf>
    <xf numFmtId="164" fontId="4" fillId="2" borderId="25" xfId="0" applyNumberFormat="1" applyFont="1" applyFill="1" applyBorder="1" applyAlignment="1">
      <alignment horizontal="left" vertical="center"/>
    </xf>
    <xf numFmtId="164" fontId="4" fillId="3" borderId="67" xfId="0" applyNumberFormat="1" applyFont="1" applyFill="1" applyBorder="1" applyAlignment="1">
      <alignment horizontal="center" vertical="center"/>
    </xf>
    <xf numFmtId="164" fontId="4" fillId="3" borderId="57" xfId="0" applyNumberFormat="1" applyFont="1" applyFill="1" applyBorder="1" applyAlignment="1">
      <alignment horizontal="center" vertical="center"/>
    </xf>
    <xf numFmtId="164" fontId="4" fillId="3" borderId="68" xfId="0" applyNumberFormat="1" applyFont="1" applyFill="1" applyBorder="1" applyAlignment="1">
      <alignment horizontal="center" vertical="center"/>
    </xf>
    <xf numFmtId="164" fontId="4" fillId="21" borderId="66" xfId="0" applyNumberFormat="1" applyFont="1" applyFill="1" applyBorder="1" applyAlignment="1">
      <alignment horizontal="center" vertical="center"/>
    </xf>
    <xf numFmtId="164" fontId="6" fillId="21" borderId="56" xfId="0" applyNumberFormat="1" applyFont="1" applyFill="1" applyBorder="1" applyAlignment="1">
      <alignment horizontal="center"/>
    </xf>
    <xf numFmtId="164" fontId="4" fillId="21" borderId="56" xfId="0" applyNumberFormat="1" applyFont="1" applyFill="1" applyBorder="1" applyAlignment="1">
      <alignment horizontal="center"/>
    </xf>
    <xf numFmtId="164" fontId="4" fillId="3" borderId="31" xfId="0" applyNumberFormat="1" applyFont="1" applyFill="1" applyBorder="1" applyAlignment="1">
      <alignment horizontal="center" vertical="center"/>
    </xf>
    <xf numFmtId="164" fontId="4" fillId="21" borderId="24" xfId="0" applyNumberFormat="1" applyFont="1" applyFill="1" applyBorder="1" applyAlignment="1">
      <alignment vertical="center"/>
    </xf>
    <xf numFmtId="164" fontId="4" fillId="21" borderId="24" xfId="0" applyNumberFormat="1" applyFont="1" applyFill="1" applyBorder="1"/>
    <xf numFmtId="164" fontId="4" fillId="15" borderId="38" xfId="0" applyNumberFormat="1" applyFont="1" applyFill="1" applyBorder="1" applyAlignment="1">
      <alignment horizontal="center" vertical="center"/>
    </xf>
    <xf numFmtId="164" fontId="4" fillId="17" borderId="30" xfId="0" applyNumberFormat="1" applyFont="1" applyFill="1" applyBorder="1" applyAlignment="1">
      <alignment horizontal="center" vertical="center"/>
    </xf>
    <xf numFmtId="164" fontId="0" fillId="16" borderId="0" xfId="0" applyNumberFormat="1" applyFill="1" applyAlignment="1">
      <alignment horizontal="center" vertical="center"/>
    </xf>
    <xf numFmtId="164" fontId="0" fillId="16" borderId="34" xfId="0" applyNumberFormat="1" applyFill="1" applyBorder="1" applyAlignment="1">
      <alignment horizontal="center" vertical="center"/>
    </xf>
    <xf numFmtId="164" fontId="0" fillId="22" borderId="34" xfId="0" applyNumberFormat="1" applyFill="1" applyBorder="1" applyAlignment="1">
      <alignment horizontal="center" vertical="center" wrapText="1"/>
    </xf>
    <xf numFmtId="164" fontId="0" fillId="22" borderId="34" xfId="0" applyNumberFormat="1" applyFill="1" applyBorder="1" applyAlignment="1">
      <alignment horizontal="center" vertical="center"/>
    </xf>
    <xf numFmtId="164" fontId="0" fillId="26" borderId="2" xfId="0" applyNumberFormat="1" applyFill="1" applyBorder="1" applyAlignment="1">
      <alignment horizontal="center" vertical="center"/>
    </xf>
    <xf numFmtId="164" fontId="0" fillId="7" borderId="2" xfId="0" applyNumberFormat="1" applyFill="1" applyBorder="1" applyAlignment="1">
      <alignment horizontal="center" vertical="center"/>
    </xf>
    <xf numFmtId="164" fontId="4" fillId="19" borderId="0" xfId="0" applyNumberFormat="1" applyFont="1" applyFill="1"/>
    <xf numFmtId="164" fontId="4" fillId="19" borderId="0" xfId="0" applyNumberFormat="1" applyFont="1" applyFill="1" applyBorder="1" applyAlignment="1">
      <alignment horizontal="center" vertical="center"/>
    </xf>
    <xf numFmtId="164" fontId="4" fillId="24" borderId="7" xfId="0" applyNumberFormat="1" applyFont="1" applyFill="1" applyBorder="1"/>
    <xf numFmtId="164" fontId="0" fillId="0" borderId="0" xfId="0" applyNumberFormat="1" applyAlignment="1">
      <alignment horizontal="center" vertical="center"/>
    </xf>
    <xf numFmtId="164" fontId="4" fillId="3" borderId="69" xfId="0" applyNumberFormat="1" applyFont="1" applyFill="1" applyBorder="1" applyAlignment="1">
      <alignment horizontal="center" vertical="center"/>
    </xf>
    <xf numFmtId="164" fontId="4" fillId="19" borderId="7" xfId="0" applyNumberFormat="1" applyFont="1" applyFill="1" applyBorder="1"/>
    <xf numFmtId="164" fontId="4" fillId="19" borderId="7" xfId="0" applyNumberFormat="1" applyFont="1" applyFill="1" applyBorder="1" applyAlignment="1">
      <alignment horizontal="center" vertical="center"/>
    </xf>
    <xf numFmtId="164" fontId="12" fillId="0" borderId="0" xfId="0" applyNumberFormat="1" applyFont="1" applyAlignment="1">
      <alignment horizontal="center" vertical="center"/>
    </xf>
    <xf numFmtId="164" fontId="4" fillId="3" borderId="36" xfId="0" applyNumberFormat="1" applyFont="1" applyFill="1" applyBorder="1" applyAlignment="1">
      <alignment horizontal="center" vertical="center"/>
    </xf>
    <xf numFmtId="164" fontId="4" fillId="3" borderId="24" xfId="0" applyNumberFormat="1" applyFont="1" applyFill="1" applyBorder="1" applyAlignment="1">
      <alignment horizontal="center" vertical="center"/>
    </xf>
    <xf numFmtId="164" fontId="4" fillId="3" borderId="37" xfId="0" applyNumberFormat="1" applyFont="1" applyFill="1" applyBorder="1" applyAlignment="1">
      <alignment horizontal="center" vertical="center"/>
    </xf>
    <xf numFmtId="164" fontId="4" fillId="7" borderId="48" xfId="0" applyNumberFormat="1" applyFont="1" applyFill="1" applyBorder="1" applyAlignment="1">
      <alignment horizontal="center" vertical="center"/>
    </xf>
    <xf numFmtId="164" fontId="4" fillId="7" borderId="64" xfId="0" applyNumberFormat="1" applyFont="1" applyFill="1" applyBorder="1" applyAlignment="1">
      <alignment horizontal="center" vertical="center"/>
    </xf>
    <xf numFmtId="164" fontId="4" fillId="7" borderId="44" xfId="0" applyNumberFormat="1" applyFont="1" applyFill="1" applyBorder="1" applyAlignment="1">
      <alignment horizontal="center" vertical="center"/>
    </xf>
    <xf numFmtId="164" fontId="4" fillId="9" borderId="48" xfId="0" applyNumberFormat="1" applyFont="1" applyFill="1" applyBorder="1" applyAlignment="1">
      <alignment horizontal="center" vertical="center"/>
    </xf>
    <xf numFmtId="164" fontId="4" fillId="9" borderId="64" xfId="0" applyNumberFormat="1" applyFont="1" applyFill="1" applyBorder="1" applyAlignment="1">
      <alignment horizontal="center" vertical="center"/>
    </xf>
    <xf numFmtId="164" fontId="4" fillId="9" borderId="44" xfId="0" applyNumberFormat="1" applyFont="1" applyFill="1" applyBorder="1" applyAlignment="1">
      <alignment horizontal="center" vertical="center"/>
    </xf>
    <xf numFmtId="164" fontId="4" fillId="3" borderId="40" xfId="0" applyNumberFormat="1" applyFont="1" applyFill="1" applyBorder="1" applyAlignment="1">
      <alignment horizontal="center" vertical="center"/>
    </xf>
    <xf numFmtId="164" fontId="4" fillId="3" borderId="45"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9" borderId="29"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7" borderId="6" xfId="0" applyNumberFormat="1" applyFont="1" applyFill="1" applyBorder="1" applyAlignment="1">
      <alignment horizontal="center" vertical="center"/>
    </xf>
    <xf numFmtId="164" fontId="4" fillId="21" borderId="36" xfId="0" applyNumberFormat="1" applyFont="1" applyFill="1" applyBorder="1" applyAlignment="1">
      <alignment horizontal="center" vertical="center"/>
    </xf>
    <xf numFmtId="164" fontId="4" fillId="21" borderId="24" xfId="0" applyNumberFormat="1" applyFont="1" applyFill="1" applyBorder="1" applyAlignment="1">
      <alignment horizontal="center" vertical="center"/>
    </xf>
    <xf numFmtId="164" fontId="4" fillId="21" borderId="37" xfId="0" applyNumberFormat="1" applyFont="1" applyFill="1" applyBorder="1" applyAlignment="1">
      <alignment horizontal="center" vertical="center"/>
    </xf>
    <xf numFmtId="164" fontId="4" fillId="21" borderId="58" xfId="0" applyNumberFormat="1" applyFont="1" applyFill="1" applyBorder="1" applyAlignment="1">
      <alignment horizontal="center" vertical="center"/>
    </xf>
    <xf numFmtId="164" fontId="4" fillId="21" borderId="59" xfId="0" applyNumberFormat="1" applyFont="1" applyFill="1" applyBorder="1" applyAlignment="1">
      <alignment horizontal="center" vertical="center"/>
    </xf>
    <xf numFmtId="164" fontId="4" fillId="21" borderId="60" xfId="0" applyNumberFormat="1" applyFont="1" applyFill="1" applyBorder="1" applyAlignment="1">
      <alignment horizontal="center" vertical="center"/>
    </xf>
    <xf numFmtId="164" fontId="4" fillId="21" borderId="61" xfId="0" applyNumberFormat="1" applyFont="1" applyFill="1" applyBorder="1" applyAlignment="1">
      <alignment horizontal="center" vertical="center"/>
    </xf>
    <xf numFmtId="164" fontId="1" fillId="3" borderId="21" xfId="0" applyNumberFormat="1" applyFont="1" applyFill="1" applyBorder="1" applyAlignment="1">
      <alignment horizontal="center" vertical="center"/>
    </xf>
    <xf numFmtId="164" fontId="1" fillId="3" borderId="20" xfId="0" applyNumberFormat="1" applyFont="1" applyFill="1" applyBorder="1" applyAlignment="1">
      <alignment horizontal="center" vertical="center"/>
    </xf>
    <xf numFmtId="164" fontId="0" fillId="7" borderId="36" xfId="0" applyNumberFormat="1" applyFill="1" applyBorder="1" applyAlignment="1">
      <alignment horizontal="center" vertical="center"/>
    </xf>
    <xf numFmtId="164" fontId="0" fillId="7" borderId="24" xfId="0" applyNumberFormat="1" applyFill="1" applyBorder="1" applyAlignment="1">
      <alignment horizontal="center" vertical="center"/>
    </xf>
    <xf numFmtId="164" fontId="0" fillId="7" borderId="37" xfId="0" applyNumberFormat="1" applyFill="1" applyBorder="1" applyAlignment="1">
      <alignment horizontal="center" vertical="center"/>
    </xf>
    <xf numFmtId="164" fontId="0" fillId="9" borderId="36" xfId="0" applyNumberFormat="1" applyFill="1" applyBorder="1" applyAlignment="1">
      <alignment horizontal="center" vertical="center"/>
    </xf>
    <xf numFmtId="164" fontId="0" fillId="9" borderId="24" xfId="0" applyNumberFormat="1" applyFill="1" applyBorder="1" applyAlignment="1">
      <alignment horizontal="center" vertical="center"/>
    </xf>
    <xf numFmtId="164" fontId="0" fillId="9" borderId="37" xfId="0" applyNumberFormat="1" applyFill="1" applyBorder="1" applyAlignment="1">
      <alignment horizontal="center" vertical="center"/>
    </xf>
    <xf numFmtId="164" fontId="1" fillId="3" borderId="23" xfId="0" applyNumberFormat="1" applyFont="1" applyFill="1" applyBorder="1" applyAlignment="1">
      <alignment horizontal="center" vertical="center"/>
    </xf>
    <xf numFmtId="164" fontId="2" fillId="7" borderId="36" xfId="0" applyNumberFormat="1" applyFont="1" applyFill="1" applyBorder="1" applyAlignment="1">
      <alignment horizontal="center" vertical="center"/>
    </xf>
    <xf numFmtId="164" fontId="2" fillId="7" borderId="24" xfId="0" applyNumberFormat="1" applyFont="1" applyFill="1" applyBorder="1" applyAlignment="1">
      <alignment horizontal="center" vertical="center"/>
    </xf>
    <xf numFmtId="164" fontId="2" fillId="7" borderId="37" xfId="0" applyNumberFormat="1" applyFont="1" applyFill="1" applyBorder="1" applyAlignment="1">
      <alignment horizontal="center" vertical="center"/>
    </xf>
    <xf numFmtId="164" fontId="5" fillId="3" borderId="21" xfId="0" applyNumberFormat="1" applyFont="1" applyFill="1" applyBorder="1" applyAlignment="1">
      <alignment horizontal="center" vertical="center"/>
    </xf>
    <xf numFmtId="164" fontId="5" fillId="3" borderId="23" xfId="0" applyNumberFormat="1" applyFont="1" applyFill="1" applyBorder="1" applyAlignment="1">
      <alignment horizontal="center" vertical="center"/>
    </xf>
    <xf numFmtId="164" fontId="5" fillId="3" borderId="20" xfId="0" applyNumberFormat="1" applyFont="1" applyFill="1" applyBorder="1" applyAlignment="1">
      <alignment horizontal="center" vertical="center"/>
    </xf>
    <xf numFmtId="164" fontId="0" fillId="0" borderId="0" xfId="0" applyNumberFormat="1" applyAlignment="1">
      <alignment horizontal="center" vertical="center"/>
    </xf>
    <xf numFmtId="164" fontId="0" fillId="0" borderId="62" xfId="0" applyNumberFormat="1" applyBorder="1" applyAlignment="1">
      <alignment horizontal="center" vertical="center"/>
    </xf>
  </cellXfs>
  <cellStyles count="1">
    <cellStyle name="Normal" xfId="0" builtinId="0"/>
  </cellStyles>
  <dxfs count="4">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45507</xdr:colOff>
      <xdr:row>76</xdr:row>
      <xdr:rowOff>143932</xdr:rowOff>
    </xdr:from>
    <xdr:to>
      <xdr:col>9</xdr:col>
      <xdr:colOff>550333</xdr:colOff>
      <xdr:row>150</xdr:row>
      <xdr:rowOff>84667</xdr:rowOff>
    </xdr:to>
    <xdr:sp macro="" textlink="">
      <xdr:nvSpPr>
        <xdr:cNvPr id="2" name="ZoneTexte 1"/>
        <xdr:cNvSpPr txBox="1"/>
      </xdr:nvSpPr>
      <xdr:spPr>
        <a:xfrm>
          <a:off x="45507" y="14050432"/>
          <a:ext cx="9151409" cy="116882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b="1" u="sng">
              <a:latin typeface="+mn-lt"/>
            </a:rPr>
            <a:t>Explications</a:t>
          </a:r>
          <a:r>
            <a:rPr lang="fr-FR" sz="1100">
              <a:latin typeface="+mn-lt"/>
            </a:rPr>
            <a:t>: </a:t>
          </a:r>
        </a:p>
        <a:p>
          <a:endParaRPr lang="fr-FR" sz="1100">
            <a:latin typeface="+mn-lt"/>
          </a:endParaRPr>
        </a:p>
        <a:p>
          <a:r>
            <a:rPr lang="fr-FR" sz="1100">
              <a:latin typeface="+mn-lt"/>
            </a:rPr>
            <a:t>Ce modèle permet de configurer</a:t>
          </a:r>
          <a:r>
            <a:rPr lang="fr-FR" sz="1100" baseline="0">
              <a:latin typeface="+mn-lt"/>
            </a:rPr>
            <a:t> quatre comparaisons simultanées de production sur ogame. Il s'agit d'un modèle simple et "rigide" car il ne permet de ne comparer que des niveaux de mines "lissés".  Il permet néemoins d'apprécier les production, les couts des batiments et de la technologie nécéssaire pour parvenir à ladite production, tout en tenant compte de votre classe (collecteur ou non). Il permet ainsi de juger quel modèle vous semble le plus productif, sur la base d'un modèle théorique. </a:t>
          </a:r>
        </a:p>
        <a:p>
          <a:endParaRPr lang="fr-FR" sz="1100" baseline="0">
            <a:latin typeface="+mn-lt"/>
          </a:endParaRPr>
        </a:p>
        <a:p>
          <a:r>
            <a:rPr lang="fr-FR" sz="1100" baseline="0">
              <a:latin typeface="+mn-lt"/>
            </a:rPr>
            <a:t>Il nécéssite pour cela de rentrer des caractéristiques de bases (</a:t>
          </a:r>
          <a:r>
            <a:rPr lang="fr-FR" sz="1100" b="1" u="sng" baseline="0">
              <a:solidFill>
                <a:schemeClr val="tx2">
                  <a:lumMod val="60000"/>
                  <a:lumOff val="40000"/>
                </a:schemeClr>
              </a:solidFill>
              <a:latin typeface="+mn-lt"/>
            </a:rPr>
            <a:t>en bleu</a:t>
          </a:r>
          <a:r>
            <a:rPr lang="fr-FR" sz="1100" b="1" baseline="0">
              <a:solidFill>
                <a:schemeClr val="tx2">
                  <a:lumMod val="60000"/>
                  <a:lumOff val="40000"/>
                </a:schemeClr>
              </a:solidFill>
              <a:latin typeface="+mn-lt"/>
            </a:rPr>
            <a:t>) </a:t>
          </a:r>
          <a:r>
            <a:rPr lang="fr-FR" sz="1100" b="0" baseline="0">
              <a:solidFill>
                <a:sysClr val="windowText" lastClr="000000"/>
              </a:solidFill>
              <a:latin typeface="+mn-lt"/>
            </a:rPr>
            <a:t>pour chacun des quatre modèles. Vous pouvez également ne rentrer qu'une ligne ou deux ligne, peut importe. </a:t>
          </a:r>
        </a:p>
        <a:p>
          <a:endParaRPr lang="fr-FR" sz="1100" b="0" baseline="0">
            <a:solidFill>
              <a:sysClr val="windowText" lastClr="000000"/>
            </a:solidFill>
            <a:latin typeface="+mn-lt"/>
          </a:endParaRPr>
        </a:p>
        <a:p>
          <a:r>
            <a:rPr lang="fr-FR" sz="1100" b="0" baseline="0">
              <a:solidFill>
                <a:sysClr val="windowText" lastClr="000000"/>
              </a:solidFill>
              <a:latin typeface="+mn-lt"/>
            </a:rPr>
            <a:t>I) La page "Options calculs"</a:t>
          </a:r>
        </a:p>
        <a:p>
          <a:endParaRPr lang="fr-FR" sz="1100" b="0" baseline="0">
            <a:solidFill>
              <a:sysClr val="windowText" lastClr="000000"/>
            </a:solidFill>
            <a:latin typeface="+mn-lt"/>
          </a:endParaRPr>
        </a:p>
        <a:p>
          <a:pPr algn="just"/>
          <a:r>
            <a:rPr lang="fr-FR" b="1" i="0" u="sng">
              <a:solidFill>
                <a:srgbClr val="000000"/>
              </a:solidFill>
              <a:latin typeface="+mn-lt"/>
            </a:rPr>
            <a:t>Voici les caractéristiques prises en compte pour paramétrer les modèles:</a:t>
          </a:r>
        </a:p>
        <a:p>
          <a:pPr lvl="1" algn="just">
            <a:buFont typeface="Arial"/>
            <a:buChar char="•"/>
          </a:pPr>
          <a:r>
            <a:rPr lang="fr-FR" b="0" i="0">
              <a:solidFill>
                <a:srgbClr val="000000"/>
              </a:solidFill>
              <a:latin typeface="+mn-lt"/>
            </a:rPr>
            <a:t>Le nombre de planète (colonne D)</a:t>
          </a:r>
        </a:p>
        <a:p>
          <a:pPr lvl="1" algn="just">
            <a:buFont typeface="Arial"/>
            <a:buChar char="•"/>
          </a:pPr>
          <a:r>
            <a:rPr lang="fr-FR" b="0" i="0">
              <a:solidFill>
                <a:srgbClr val="000000"/>
              </a:solidFill>
              <a:latin typeface="+mn-lt"/>
            </a:rPr>
            <a:t>Le  niveau des mines de métal, cristal et deut (colonne E, F, G)</a:t>
          </a:r>
        </a:p>
        <a:p>
          <a:pPr lvl="1" algn="just">
            <a:buFont typeface="Arial"/>
            <a:buChar char="•"/>
          </a:pPr>
          <a:r>
            <a:rPr lang="fr-FR" b="0" i="0">
              <a:solidFill>
                <a:srgbClr val="000000"/>
              </a:solidFill>
              <a:latin typeface="+mn-lt"/>
            </a:rPr>
            <a:t>La technologie plasma (colonne H)</a:t>
          </a:r>
        </a:p>
        <a:p>
          <a:pPr lvl="1" algn="just">
            <a:buFont typeface="Arial"/>
            <a:buChar char="•"/>
          </a:pPr>
          <a:r>
            <a:rPr lang="fr-FR" b="0" i="0">
              <a:solidFill>
                <a:srgbClr val="000000"/>
              </a:solidFill>
              <a:latin typeface="+mn-lt"/>
            </a:rPr>
            <a:t>La technologie énergie (colonne I)</a:t>
          </a:r>
        </a:p>
        <a:p>
          <a:pPr lvl="1" algn="just">
            <a:buFont typeface="Arial"/>
            <a:buChar char="•"/>
          </a:pPr>
          <a:r>
            <a:rPr lang="fr-FR" b="0" i="0">
              <a:solidFill>
                <a:srgbClr val="000000"/>
              </a:solidFill>
              <a:latin typeface="+mn-lt"/>
            </a:rPr>
            <a:t>Le niveau des centrale électrique à fusion (CEF, colonne  J)</a:t>
          </a:r>
        </a:p>
        <a:p>
          <a:pPr lvl="1" algn="just">
            <a:buFont typeface="Arial"/>
            <a:buChar char="•"/>
          </a:pPr>
          <a:r>
            <a:rPr lang="fr-FR" b="0" i="0">
              <a:solidFill>
                <a:srgbClr val="000000"/>
              </a:solidFill>
              <a:latin typeface="+mn-lt"/>
            </a:rPr>
            <a:t>Le niveau des centrale électrique solaire (CES, collone K)</a:t>
          </a:r>
        </a:p>
        <a:p>
          <a:pPr lvl="1" algn="just">
            <a:buFont typeface="Arial"/>
            <a:buChar char="•"/>
          </a:pPr>
          <a:r>
            <a:rPr lang="fr-FR" b="0" i="0">
              <a:solidFill>
                <a:srgbClr val="000000"/>
              </a:solidFill>
              <a:latin typeface="+mn-lt"/>
            </a:rPr>
            <a:t>Le nombre de satellites par planète (colonne L)</a:t>
          </a:r>
        </a:p>
        <a:p>
          <a:pPr lvl="1" algn="just">
            <a:buFont typeface="Arial"/>
            <a:buChar char="•"/>
          </a:pPr>
          <a:r>
            <a:rPr lang="fr-FR" b="0" i="0">
              <a:solidFill>
                <a:srgbClr val="000000"/>
              </a:solidFill>
              <a:latin typeface="+mn-lt"/>
            </a:rPr>
            <a:t>le nombre de foreuses par planète (colonne M)</a:t>
          </a:r>
        </a:p>
        <a:p>
          <a:pPr algn="just">
            <a:buFont typeface="Arial"/>
            <a:buChar char="•"/>
          </a:pPr>
          <a:endParaRPr lang="fr-FR" b="0" i="0">
            <a:solidFill>
              <a:srgbClr val="000000"/>
            </a:solidFill>
            <a:latin typeface="+mn-lt"/>
          </a:endParaRPr>
        </a:p>
        <a:p>
          <a:pPr algn="just"/>
          <a:r>
            <a:rPr lang="fr-FR" b="1" i="0" u="sng">
              <a:solidFill>
                <a:srgbClr val="000000"/>
              </a:solidFill>
              <a:latin typeface="+mn-lt"/>
            </a:rPr>
            <a:t>Un second tableau va également vous permettre d'ajuster les paramètres de votre comparaison</a:t>
          </a:r>
          <a:r>
            <a:rPr lang="fr-FR" b="1" i="0">
              <a:solidFill>
                <a:srgbClr val="000000"/>
              </a:solidFill>
              <a:latin typeface="+mn-lt"/>
            </a:rPr>
            <a:t>:</a:t>
          </a:r>
          <a:endParaRPr lang="fr-FR" b="0" i="0">
            <a:solidFill>
              <a:srgbClr val="000000"/>
            </a:solidFill>
            <a:latin typeface="+mn-lt"/>
          </a:endParaRPr>
        </a:p>
        <a:p>
          <a:pPr lvl="1" algn="l">
            <a:buFont typeface="Arial"/>
            <a:buChar char="•"/>
          </a:pPr>
          <a:r>
            <a:rPr lang="fr-FR" b="0" i="0">
              <a:solidFill>
                <a:srgbClr val="000000"/>
              </a:solidFill>
              <a:latin typeface="+mn-lt"/>
            </a:rPr>
            <a:t>La sélection de la classe (colonne C)</a:t>
          </a:r>
        </a:p>
        <a:p>
          <a:pPr lvl="1" algn="l">
            <a:buFont typeface="Arial"/>
            <a:buChar char="•"/>
          </a:pPr>
          <a:r>
            <a:rPr lang="fr-FR" b="0" i="0">
              <a:solidFill>
                <a:srgbClr val="000000"/>
              </a:solidFill>
              <a:latin typeface="+mn-lt"/>
            </a:rPr>
            <a:t>La vitesse de l'économie de l'univers cible (colonne D)</a:t>
          </a:r>
        </a:p>
        <a:p>
          <a:pPr lvl="1" algn="l">
            <a:buFont typeface="Arial"/>
            <a:buChar char="•"/>
          </a:pPr>
          <a:r>
            <a:rPr lang="fr-FR" b="0" i="0">
              <a:solidFill>
                <a:srgbClr val="000000"/>
              </a:solidFill>
              <a:latin typeface="+mn-lt"/>
            </a:rPr>
            <a:t>L'option du compte commandant (+2% énergie et production, colonne E)</a:t>
          </a:r>
        </a:p>
        <a:p>
          <a:pPr lvl="1" algn="l">
            <a:buFont typeface="Arial"/>
            <a:buChar char="•"/>
          </a:pPr>
          <a:r>
            <a:rPr lang="fr-FR" b="0" i="0">
              <a:solidFill>
                <a:srgbClr val="000000"/>
              </a:solidFill>
              <a:latin typeface="+mn-lt"/>
            </a:rPr>
            <a:t>L'option du géologue (+10% ressources, colonne E)</a:t>
          </a:r>
        </a:p>
        <a:p>
          <a:pPr lvl="1" algn="l">
            <a:buFont typeface="Arial"/>
            <a:buChar char="•"/>
          </a:pPr>
          <a:r>
            <a:rPr lang="fr-FR" b="0" i="0">
              <a:solidFill>
                <a:srgbClr val="000000"/>
              </a:solidFill>
              <a:latin typeface="+mn-lt"/>
            </a:rPr>
            <a:t>L'option de l'ingénieur (+10% énergie, colonne G)</a:t>
          </a:r>
        </a:p>
        <a:p>
          <a:pPr lvl="1" algn="l">
            <a:buFont typeface="Arial"/>
            <a:buChar char="•"/>
          </a:pPr>
          <a:r>
            <a:rPr lang="fr-FR" b="0" i="0">
              <a:solidFill>
                <a:srgbClr val="000000"/>
              </a:solidFill>
              <a:latin typeface="+mn-lt"/>
            </a:rPr>
            <a:t>L'option des boosters métal/cristal/deut en 10/20/30/40% (colonne H,I, J)</a:t>
          </a:r>
        </a:p>
        <a:p>
          <a:pPr lvl="1" algn="l">
            <a:buFont typeface="Arial"/>
            <a:buChar char="•"/>
          </a:pPr>
          <a:r>
            <a:rPr lang="fr-FR" b="0" i="0">
              <a:solidFill>
                <a:srgbClr val="000000"/>
              </a:solidFill>
              <a:latin typeface="+mn-lt"/>
            </a:rPr>
            <a:t>L'option des boosters d'énergie en 20/40/60/80% (colonne L)</a:t>
          </a:r>
        </a:p>
        <a:p>
          <a:pPr algn="just"/>
          <a:r>
            <a:rPr lang="fr-FR" b="0" i="0">
              <a:solidFill>
                <a:srgbClr val="000000"/>
              </a:solidFill>
              <a:latin typeface="+mn-lt"/>
            </a:rPr>
            <a:t/>
          </a:r>
          <a:br>
            <a:rPr lang="fr-FR" b="0" i="0">
              <a:solidFill>
                <a:srgbClr val="000000"/>
              </a:solidFill>
              <a:latin typeface="+mn-lt"/>
            </a:rPr>
          </a:br>
          <a:endParaRPr lang="fr-FR" b="0" i="0">
            <a:solidFill>
              <a:srgbClr val="000000"/>
            </a:solidFill>
            <a:latin typeface="+mn-lt"/>
          </a:endParaRPr>
        </a:p>
        <a:p>
          <a:pPr algn="just"/>
          <a:r>
            <a:rPr lang="fr-FR" b="1" i="0" u="sng">
              <a:solidFill>
                <a:srgbClr val="000000"/>
              </a:solidFill>
              <a:latin typeface="+mn-lt"/>
            </a:rPr>
            <a:t>Il existe également un  "point de contrôle"  dans les colonnes P à V qui indique:</a:t>
          </a:r>
          <a:endParaRPr lang="fr-FR" b="0" i="0">
            <a:solidFill>
              <a:srgbClr val="000000"/>
            </a:solidFill>
            <a:latin typeface="+mn-lt"/>
          </a:endParaRPr>
        </a:p>
        <a:p>
          <a:pPr lvl="1" algn="just">
            <a:buFont typeface="Arial"/>
            <a:buChar char="•"/>
          </a:pPr>
          <a:r>
            <a:rPr lang="fr-FR" b="0" i="0">
              <a:solidFill>
                <a:srgbClr val="000000"/>
              </a:solidFill>
              <a:latin typeface="+mn-lt"/>
            </a:rPr>
            <a:t>La technologie astro minimum requise au regard du nombre de planètes que vous avez sélectionné (colonne P)</a:t>
          </a:r>
        </a:p>
        <a:p>
          <a:pPr lvl="1" algn="just">
            <a:buFont typeface="Arial"/>
            <a:buChar char="•"/>
          </a:pPr>
          <a:r>
            <a:rPr lang="fr-FR" b="0" i="0">
              <a:solidFill>
                <a:srgbClr val="000000"/>
              </a:solidFill>
              <a:latin typeface="+mn-lt"/>
            </a:rPr>
            <a:t>Le nombre maximum de foreuses en fonction du niveau des mines rentré (colonne Q)</a:t>
          </a:r>
        </a:p>
        <a:p>
          <a:pPr lvl="1" algn="just">
            <a:buFont typeface="Arial"/>
            <a:buChar char="•"/>
          </a:pPr>
          <a:r>
            <a:rPr lang="fr-FR" b="0" i="0">
              <a:solidFill>
                <a:srgbClr val="000000"/>
              </a:solidFill>
              <a:latin typeface="+mn-lt"/>
            </a:rPr>
            <a:t>Si vous avez dépassé accidentellement le nombre maximal de foreuses qui était conseillé  (colonne R), si c'est le cas cela indique "non", sinon "oui"</a:t>
          </a:r>
        </a:p>
        <a:p>
          <a:pPr lvl="1" algn="just">
            <a:buFont typeface="Arial"/>
            <a:buChar char="•"/>
          </a:pPr>
          <a:r>
            <a:rPr lang="fr-FR" b="0" i="0">
              <a:solidFill>
                <a:srgbClr val="000000"/>
              </a:solidFill>
              <a:latin typeface="+mn-lt"/>
            </a:rPr>
            <a:t>Le bonus qui sera attribué à la production par vos foreuses en fonction de la classe sélectionnée (colonne S)</a:t>
          </a:r>
        </a:p>
        <a:p>
          <a:pPr lvl="1" algn="just">
            <a:buFont typeface="Arial"/>
            <a:buChar char="•"/>
          </a:pPr>
          <a:r>
            <a:rPr lang="fr-FR" b="0" i="0">
              <a:solidFill>
                <a:srgbClr val="000000"/>
              </a:solidFill>
              <a:latin typeface="+mn-lt"/>
            </a:rPr>
            <a:t>Si le nombre de foreuses indiquées dépasse la valeur de production Max permise de 50% (colonne T), si c'est le cas cela indique "non", sinon "oui"</a:t>
          </a:r>
        </a:p>
        <a:p>
          <a:pPr lvl="1" algn="just">
            <a:buFont typeface="Arial"/>
            <a:buChar char="•"/>
          </a:pPr>
          <a:r>
            <a:rPr lang="fr-FR" b="0" i="0">
              <a:solidFill>
                <a:srgbClr val="000000"/>
              </a:solidFill>
              <a:latin typeface="+mn-lt"/>
            </a:rPr>
            <a:t>La valeur de la différence entre l'énergie requise et l'énergie produite par les CES, CEF et satellites, en prenant en compte votre classe (colonne U)</a:t>
          </a:r>
        </a:p>
        <a:p>
          <a:pPr lvl="1" algn="just">
            <a:buFont typeface="Arial"/>
            <a:buChar char="•"/>
          </a:pPr>
          <a:r>
            <a:rPr lang="fr-FR" b="0" i="0">
              <a:solidFill>
                <a:srgbClr val="000000"/>
              </a:solidFill>
              <a:latin typeface="+mn-lt"/>
            </a:rPr>
            <a:t>Si le niveau d'énergie déployé est tout simplement suffisant au regard de vos besoins de productions (colonne V). Si c'est le cas cela indique "oui", sinon "non".</a:t>
          </a:r>
        </a:p>
        <a:p>
          <a:pPr algn="just">
            <a:buFont typeface="Arial"/>
            <a:buChar char="•"/>
          </a:pPr>
          <a:endParaRPr lang="fr-FR" b="0" i="0">
            <a:solidFill>
              <a:srgbClr val="000000"/>
            </a:solidFill>
            <a:latin typeface="+mn-lt"/>
          </a:endParaRPr>
        </a:p>
        <a:p>
          <a:pPr algn="just"/>
          <a:r>
            <a:rPr lang="fr-FR" b="1" i="0" u="sng">
              <a:solidFill>
                <a:srgbClr val="000000"/>
              </a:solidFill>
              <a:latin typeface="+mn-lt"/>
            </a:rPr>
            <a:t>Vous aurez alors quatre tableaux qui vont se remplir automatiquement:  (ligne 7, 23, 39, 55)</a:t>
          </a:r>
          <a:endParaRPr lang="fr-FR" b="0" i="0">
            <a:solidFill>
              <a:srgbClr val="000000"/>
            </a:solidFill>
            <a:latin typeface="+mn-lt"/>
          </a:endParaRPr>
        </a:p>
        <a:p>
          <a:pPr lvl="1" algn="just">
            <a:buFont typeface="Arial"/>
            <a:buChar char="•"/>
          </a:pPr>
          <a:r>
            <a:rPr lang="fr-FR" b="0" i="0">
              <a:solidFill>
                <a:srgbClr val="000000"/>
              </a:solidFill>
              <a:latin typeface="+mn-lt"/>
            </a:rPr>
            <a:t>Ceci grâce aux onglets qui permettent un calcul automatique en se basant sur les formules officielles du forum Ogame que l'on trouve </a:t>
          </a:r>
          <a:r>
            <a:rPr lang="fr-FR" b="0" i="0" u="none" strike="noStrike">
              <a:solidFill>
                <a:srgbClr val="00D1FF"/>
              </a:solidFill>
              <a:latin typeface="+mn-lt"/>
              <a:hlinkClick xmlns:r="http://schemas.openxmlformats.org/officeDocument/2006/relationships" r:id=""/>
            </a:rPr>
            <a:t>ici</a:t>
          </a:r>
          <a:endParaRPr lang="fr-FR" b="0" i="0">
            <a:solidFill>
              <a:srgbClr val="000000"/>
            </a:solidFill>
            <a:latin typeface="+mn-lt"/>
          </a:endParaRPr>
        </a:p>
        <a:p>
          <a:pPr lvl="1" algn="just">
            <a:buFont typeface="Arial"/>
            <a:buChar char="•"/>
          </a:pPr>
          <a:r>
            <a:rPr lang="fr-FR" b="0" i="0">
              <a:solidFill>
                <a:srgbClr val="000000"/>
              </a:solidFill>
              <a:latin typeface="+mn-lt"/>
            </a:rPr>
            <a:t>Le premier indique la production par jour des N modèles remplis.</a:t>
          </a:r>
        </a:p>
        <a:p>
          <a:pPr lvl="1" algn="just">
            <a:buFont typeface="Arial"/>
            <a:buChar char="•"/>
          </a:pPr>
          <a:r>
            <a:rPr lang="fr-FR" b="0" i="0">
              <a:solidFill>
                <a:srgbClr val="000000"/>
              </a:solidFill>
              <a:latin typeface="+mn-lt"/>
            </a:rPr>
            <a:t>Le second indique le prix  cumulé  en métal, cristal, deut des bâtiments qu'il a fallu développer pour en arriver là (mines, centrales, mais aussi satellites et foreuses)</a:t>
          </a:r>
        </a:p>
        <a:p>
          <a:pPr lvl="1" algn="just">
            <a:buFont typeface="Arial"/>
            <a:buChar char="•"/>
          </a:pPr>
          <a:r>
            <a:rPr lang="fr-FR" b="0" i="0">
              <a:solidFill>
                <a:srgbClr val="000000"/>
              </a:solidFill>
              <a:latin typeface="+mn-lt"/>
            </a:rPr>
            <a:t>Le troisième indique le prix cumulé en métal, cristal, deut des recherches qu'il a fallu développer pour en arriver là (techno énergie, plasma, astrophysique)</a:t>
          </a:r>
        </a:p>
        <a:p>
          <a:pPr lvl="1" algn="just">
            <a:buFont typeface="Arial"/>
            <a:buChar char="•"/>
          </a:pPr>
          <a:r>
            <a:rPr lang="fr-FR" b="0" i="0">
              <a:solidFill>
                <a:srgbClr val="000000"/>
              </a:solidFill>
              <a:latin typeface="+mn-lt"/>
            </a:rPr>
            <a:t>Le quatrième indique tout simplement le prix cumulé en métal, cristal, deut  des paramètres "bâtiments" et recherches associés.</a:t>
          </a:r>
        </a:p>
        <a:p>
          <a:pPr algn="just"/>
          <a:r>
            <a:rPr lang="fr-FR" b="0" i="0">
              <a:solidFill>
                <a:srgbClr val="000000"/>
              </a:solidFill>
              <a:latin typeface="+mn-lt"/>
            </a:rPr>
            <a:t/>
          </a:r>
          <a:br>
            <a:rPr lang="fr-FR" b="0" i="0">
              <a:solidFill>
                <a:srgbClr val="000000"/>
              </a:solidFill>
              <a:latin typeface="+mn-lt"/>
            </a:rPr>
          </a:br>
          <a:endParaRPr lang="fr-FR" b="0" i="0">
            <a:solidFill>
              <a:srgbClr val="000000"/>
            </a:solidFill>
            <a:latin typeface="+mn-lt"/>
          </a:endParaRPr>
        </a:p>
        <a:p>
          <a:pPr algn="just"/>
          <a:r>
            <a:rPr lang="fr-FR" b="1" i="0" u="sng">
              <a:solidFill>
                <a:srgbClr val="000000"/>
              </a:solidFill>
              <a:latin typeface="+mn-lt"/>
            </a:rPr>
            <a:t>Chaque tableau fait automatiquement la comparaison des modèles 1 et 2 en fonction du paramètre A et B</a:t>
          </a:r>
          <a:r>
            <a:rPr lang="fr-FR" b="0" i="0">
              <a:solidFill>
                <a:srgbClr val="000000"/>
              </a:solidFill>
              <a:latin typeface="+mn-lt"/>
            </a:rPr>
            <a:t>:</a:t>
          </a:r>
        </a:p>
        <a:p>
          <a:pPr algn="just">
            <a:buFont typeface="Arial"/>
            <a:buChar char="•"/>
          </a:pPr>
          <a:r>
            <a:rPr lang="fr-FR" b="0" i="0">
              <a:solidFill>
                <a:srgbClr val="000000"/>
              </a:solidFill>
              <a:latin typeface="+mn-lt"/>
            </a:rPr>
            <a:t>Il délivre les différences en métal, cristal et deut observées entre chaque modèle (6 comparaisons pour chaque catégorie) .</a:t>
          </a:r>
        </a:p>
        <a:p>
          <a:pPr algn="just">
            <a:buFont typeface="Arial"/>
            <a:buChar char="•"/>
          </a:pPr>
          <a:r>
            <a:rPr lang="fr-FR" b="0" i="0">
              <a:solidFill>
                <a:srgbClr val="000000"/>
              </a:solidFill>
              <a:latin typeface="+mn-lt"/>
            </a:rPr>
            <a:t>Il délivre aussi la différence en termes de points pour le classement entre le modèle 1 et 2, pour les catégorie A et B</a:t>
          </a:r>
        </a:p>
        <a:p>
          <a:pPr algn="just">
            <a:buFont typeface="Arial"/>
            <a:buChar char="•"/>
          </a:pPr>
          <a:r>
            <a:rPr lang="fr-FR" b="0" i="0">
              <a:solidFill>
                <a:srgbClr val="000000"/>
              </a:solidFill>
              <a:latin typeface="+mn-lt"/>
            </a:rPr>
            <a:t>Il délivre aussi la différence en terme de ressources pour trois pallier de change:</a:t>
          </a:r>
        </a:p>
        <a:p>
          <a:pPr lvl="2"/>
          <a:r>
            <a:rPr lang="fr-FR" sz="1100" b="0" baseline="0">
              <a:solidFill>
                <a:sysClr val="windowText" lastClr="000000"/>
              </a:solidFill>
              <a:latin typeface="+mn-lt"/>
            </a:rPr>
            <a:t>taux 3m = 2C = 1D</a:t>
          </a:r>
        </a:p>
        <a:p>
          <a:pPr lvl="2"/>
          <a:r>
            <a:rPr lang="fr-FR" sz="1100" b="0" baseline="0">
              <a:solidFill>
                <a:sysClr val="windowText" lastClr="000000"/>
              </a:solidFill>
              <a:latin typeface="+mn-lt"/>
            </a:rPr>
            <a:t>taux 3m =1,5C = 1D</a:t>
          </a:r>
        </a:p>
        <a:p>
          <a:pPr lvl="2"/>
          <a:r>
            <a:rPr lang="fr-FR" sz="1100" b="0" baseline="0">
              <a:solidFill>
                <a:sysClr val="windowText" lastClr="000000"/>
              </a:solidFill>
              <a:latin typeface="+mn-lt"/>
            </a:rPr>
            <a:t>taux 3 m = 1C = 1D</a:t>
          </a:r>
        </a:p>
        <a:p>
          <a:pPr lvl="2"/>
          <a:endParaRPr lang="fr-FR" sz="1100" b="0" baseline="0">
            <a:solidFill>
              <a:sysClr val="windowText" lastClr="000000"/>
            </a:solidFill>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latin typeface="+mn-lt"/>
              <a:ea typeface="+mn-ea"/>
              <a:cs typeface="+mn-cs"/>
            </a:rPr>
            <a:t>J'ai également rajouté des tableaux qui vont réaliser une comparasion croisée, </a:t>
          </a:r>
          <a:r>
            <a:rPr lang="fr-FR" sz="1100" b="1" baseline="0">
              <a:solidFill>
                <a:sysClr val="windowText" lastClr="000000"/>
              </a:solidFill>
              <a:latin typeface="+mn-lt"/>
            </a:rPr>
            <a:t>six comparaisons sont possibles:</a:t>
          </a:r>
        </a:p>
        <a:p>
          <a:pPr lvl="1"/>
          <a:r>
            <a:rPr lang="fr-FR" sz="1100" b="0" baseline="0">
              <a:solidFill>
                <a:sysClr val="windowText" lastClr="000000"/>
              </a:solidFill>
              <a:latin typeface="+mn-lt"/>
            </a:rPr>
            <a:t>1A vs 1B</a:t>
          </a:r>
        </a:p>
        <a:p>
          <a:pPr lvl="1"/>
          <a:r>
            <a:rPr lang="fr-FR" sz="1100" b="0" baseline="0">
              <a:solidFill>
                <a:sysClr val="windowText" lastClr="000000"/>
              </a:solidFill>
              <a:latin typeface="+mn-lt"/>
            </a:rPr>
            <a:t>2A vs 2B</a:t>
          </a:r>
        </a:p>
        <a:p>
          <a:pPr lvl="1"/>
          <a:r>
            <a:rPr lang="fr-FR" sz="1100" b="0" baseline="0">
              <a:solidFill>
                <a:sysClr val="windowText" lastClr="000000"/>
              </a:solidFill>
              <a:latin typeface="+mn-lt"/>
            </a:rPr>
            <a:t>1A vs 2B</a:t>
          </a:r>
        </a:p>
        <a:p>
          <a:pPr lvl="1"/>
          <a:r>
            <a:rPr lang="fr-FR" sz="1100" b="0" baseline="0">
              <a:solidFill>
                <a:sysClr val="windowText" lastClr="000000"/>
              </a:solidFill>
              <a:latin typeface="+mn-lt"/>
            </a:rPr>
            <a:t>2A vs 1B</a:t>
          </a:r>
        </a:p>
        <a:p>
          <a:pPr lvl="1"/>
          <a:r>
            <a:rPr lang="fr-FR" sz="1100" b="0" baseline="0">
              <a:solidFill>
                <a:sysClr val="windowText" lastClr="000000"/>
              </a:solidFill>
              <a:latin typeface="+mn-lt"/>
            </a:rPr>
            <a:t>1A vs 2A</a:t>
          </a:r>
        </a:p>
        <a:p>
          <a:pPr lvl="1"/>
          <a:r>
            <a:rPr lang="fr-FR" sz="1100" b="0" baseline="0">
              <a:solidFill>
                <a:sysClr val="windowText" lastClr="000000"/>
              </a:solidFill>
              <a:latin typeface="+mn-lt"/>
            </a:rPr>
            <a:t>1B vs 2B</a:t>
          </a:r>
        </a:p>
        <a:p>
          <a:pPr lvl="0"/>
          <a:endParaRPr lang="fr-FR" sz="1100" b="0" baseline="0">
            <a:solidFill>
              <a:sysClr val="windowText" lastClr="000000"/>
            </a:solidFill>
          </a:endParaRPr>
        </a:p>
        <a:p>
          <a:pPr lvl="0"/>
          <a:endParaRPr lang="fr-FR" sz="1100" b="0" baseline="0">
            <a:solidFill>
              <a:sysClr val="windowText" lastClr="000000"/>
            </a:solidFill>
          </a:endParaRPr>
        </a:p>
        <a:p>
          <a:pPr lvl="0"/>
          <a:endParaRPr lang="fr-FR" sz="1100" b="0" baseline="0">
            <a:solidFill>
              <a:sysClr val="windowText" lastClr="000000"/>
            </a:solidFill>
          </a:endParaRPr>
        </a:p>
        <a:p>
          <a:pPr lvl="0"/>
          <a:endParaRPr lang="fr-FR" sz="1100" b="0" baseline="0">
            <a:solidFill>
              <a:sysClr val="windowText" lastClr="000000"/>
            </a:solidFill>
          </a:endParaRPr>
        </a:p>
        <a:p>
          <a:pPr lvl="0"/>
          <a:endParaRPr lang="fr-FR" sz="1100" b="0" baseline="0">
            <a:solidFill>
              <a:sysClr val="windowText" lastClr="000000"/>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C84"/>
  <sheetViews>
    <sheetView tabSelected="1" topLeftCell="J1" zoomScale="90" zoomScaleNormal="90" workbookViewId="0">
      <selection activeCell="N10" sqref="N10"/>
    </sheetView>
  </sheetViews>
  <sheetFormatPr baseColWidth="10" defaultRowHeight="12.75"/>
  <cols>
    <col min="1" max="1" width="13.28515625" style="123" customWidth="1"/>
    <col min="2" max="2" width="12" style="123" customWidth="1"/>
    <col min="3" max="3" width="13.140625" style="123" customWidth="1"/>
    <col min="4" max="4" width="16.5703125" style="123" customWidth="1"/>
    <col min="5" max="5" width="16.28515625" style="123" customWidth="1"/>
    <col min="6" max="6" width="14.5703125" style="123" customWidth="1"/>
    <col min="7" max="7" width="14" style="82" customWidth="1"/>
    <col min="8" max="8" width="13" style="123" customWidth="1"/>
    <col min="9" max="9" width="16.7109375" style="123" customWidth="1"/>
    <col min="10" max="10" width="14.140625" style="123" customWidth="1"/>
    <col min="11" max="11" width="11.7109375" style="123" customWidth="1"/>
    <col min="12" max="12" width="12.140625" style="123" customWidth="1"/>
    <col min="13" max="13" width="14.28515625" style="123" customWidth="1"/>
    <col min="14" max="14" width="11.42578125" style="123"/>
    <col min="15" max="15" width="14.140625" style="123" customWidth="1"/>
    <col min="16" max="16" width="17.5703125" style="123" customWidth="1"/>
    <col min="17" max="17" width="13.85546875" style="123" customWidth="1"/>
    <col min="18" max="18" width="11.42578125" style="123"/>
    <col min="19" max="19" width="14.5703125" style="123" customWidth="1"/>
    <col min="20" max="20" width="11.42578125" style="123"/>
    <col min="21" max="21" width="13.85546875" style="123" customWidth="1"/>
    <col min="22" max="22" width="14" style="123" customWidth="1"/>
    <col min="23" max="24" width="11.42578125" style="123"/>
    <col min="25" max="25" width="14.7109375" style="123" customWidth="1"/>
    <col min="26" max="16384" width="11.42578125" style="123"/>
  </cols>
  <sheetData>
    <row r="1" spans="1:29" ht="42.75" customHeight="1" thickBot="1">
      <c r="A1" s="121" t="s">
        <v>69</v>
      </c>
      <c r="B1" s="57" t="s">
        <v>71</v>
      </c>
      <c r="C1" s="176" t="s">
        <v>70</v>
      </c>
      <c r="D1" s="58" t="s">
        <v>37</v>
      </c>
      <c r="E1" s="59" t="s">
        <v>51</v>
      </c>
      <c r="F1" s="60" t="s">
        <v>52</v>
      </c>
      <c r="G1" s="61" t="s">
        <v>53</v>
      </c>
      <c r="H1" s="177" t="s">
        <v>38</v>
      </c>
      <c r="I1" s="158" t="s">
        <v>23</v>
      </c>
      <c r="J1" s="85" t="s">
        <v>21</v>
      </c>
      <c r="K1" s="86" t="s">
        <v>22</v>
      </c>
      <c r="L1" s="178" t="s">
        <v>82</v>
      </c>
      <c r="M1" s="159" t="s">
        <v>54</v>
      </c>
      <c r="N1" s="157"/>
      <c r="O1" s="87" t="s">
        <v>65</v>
      </c>
      <c r="P1" s="54" t="s">
        <v>55</v>
      </c>
      <c r="Q1" s="54" t="s">
        <v>58</v>
      </c>
      <c r="R1" s="54" t="s">
        <v>85</v>
      </c>
      <c r="S1" s="54" t="s">
        <v>86</v>
      </c>
      <c r="T1" s="54" t="s">
        <v>84</v>
      </c>
      <c r="U1" s="54" t="s">
        <v>41</v>
      </c>
      <c r="V1" s="122"/>
      <c r="W1" s="122"/>
      <c r="X1" s="122"/>
      <c r="Y1" s="122"/>
      <c r="Z1" s="122"/>
      <c r="AA1" s="122"/>
      <c r="AB1" s="122"/>
      <c r="AC1" s="122"/>
    </row>
    <row r="2" spans="1:29" ht="13.5" thickBot="1">
      <c r="A2" s="306">
        <v>1</v>
      </c>
      <c r="B2" s="278" t="s">
        <v>72</v>
      </c>
      <c r="C2" s="196">
        <v>1</v>
      </c>
      <c r="D2" s="197">
        <v>11</v>
      </c>
      <c r="E2" s="198">
        <v>34</v>
      </c>
      <c r="F2" s="199">
        <v>30</v>
      </c>
      <c r="G2" s="200">
        <v>31</v>
      </c>
      <c r="H2" s="201">
        <v>13</v>
      </c>
      <c r="I2" s="200">
        <v>12</v>
      </c>
      <c r="J2" s="198">
        <v>0</v>
      </c>
      <c r="K2" s="200">
        <v>20</v>
      </c>
      <c r="L2" s="197">
        <v>352</v>
      </c>
      <c r="M2" s="202">
        <v>0</v>
      </c>
      <c r="N2" s="157"/>
      <c r="O2" s="99">
        <f>LOOKUP(D2,'Investissement cumulé A'!Y10:Z29)</f>
        <v>19</v>
      </c>
      <c r="P2" s="78">
        <f>((E2+F2+G2)*8)</f>
        <v>760</v>
      </c>
      <c r="Q2" s="81" t="str">
        <f>IF(M2&lt;=P2,"OUI","NON")</f>
        <v>OUI</v>
      </c>
      <c r="R2" s="99">
        <f>IF(C9=1,M2*0.03,M2*0.02)</f>
        <v>0</v>
      </c>
      <c r="S2" s="99" t="str">
        <f>IF(R2&lt;=50,"Oui","Non")</f>
        <v>Oui</v>
      </c>
      <c r="T2" s="80">
        <f>'Investissement cumulé A'!H28</f>
        <v>42.812531979023333</v>
      </c>
      <c r="U2" s="81" t="str">
        <f>IF('Investissement cumulé A'!H28&gt;=0,"Oui","Non")</f>
        <v>Oui</v>
      </c>
      <c r="V2" s="122"/>
      <c r="W2" s="122"/>
      <c r="X2" s="122"/>
      <c r="Y2" s="122"/>
      <c r="Z2" s="122"/>
      <c r="AA2" s="122"/>
      <c r="AB2" s="122"/>
      <c r="AC2" s="122"/>
    </row>
    <row r="3" spans="1:29" ht="13.5" thickBot="1">
      <c r="A3" s="307"/>
      <c r="B3" s="279" t="s">
        <v>73</v>
      </c>
      <c r="C3" s="203">
        <v>1</v>
      </c>
      <c r="D3" s="204">
        <v>11</v>
      </c>
      <c r="E3" s="205">
        <v>34</v>
      </c>
      <c r="F3" s="206">
        <v>30</v>
      </c>
      <c r="G3" s="207">
        <v>31</v>
      </c>
      <c r="H3" s="208">
        <v>13</v>
      </c>
      <c r="I3" s="207">
        <v>12</v>
      </c>
      <c r="J3" s="205">
        <v>0</v>
      </c>
      <c r="K3" s="207">
        <v>20</v>
      </c>
      <c r="L3" s="204">
        <v>929</v>
      </c>
      <c r="M3" s="209">
        <v>760</v>
      </c>
      <c r="N3" s="157"/>
      <c r="O3" s="99">
        <f>LOOKUP(D3,'Investissement cumulé B'!Y10:Z29)</f>
        <v>19</v>
      </c>
      <c r="P3" s="78">
        <f>(E3+F3+G3)*8</f>
        <v>760</v>
      </c>
      <c r="Q3" s="81" t="str">
        <f>IF(M3&lt;=P3,"OUI","NON")</f>
        <v>OUI</v>
      </c>
      <c r="R3" s="99">
        <f>IF(C10=1,M3*0.03,M3*0.02)</f>
        <v>15.200000000000001</v>
      </c>
      <c r="S3" s="99" t="str">
        <f>IF(R3&lt;=50,"Oui","Non")</f>
        <v>Oui</v>
      </c>
      <c r="T3" s="80">
        <f>'Investissement cumulé B'!H28</f>
        <v>28.645865312355454</v>
      </c>
      <c r="U3" s="81" t="str">
        <f>IF('Investissement cumulé B'!H28&gt;=0,"Oui","Non")</f>
        <v>Oui</v>
      </c>
      <c r="V3" s="122"/>
      <c r="W3" s="122"/>
      <c r="X3" s="122"/>
      <c r="Y3" s="122"/>
      <c r="Z3" s="122"/>
      <c r="AA3" s="122"/>
      <c r="AB3" s="122"/>
      <c r="AC3" s="122"/>
    </row>
    <row r="4" spans="1:29" ht="13.5" thickBot="1">
      <c r="A4" s="297">
        <v>2</v>
      </c>
      <c r="B4" s="278" t="s">
        <v>72</v>
      </c>
      <c r="C4" s="210">
        <v>15</v>
      </c>
      <c r="D4" s="197">
        <v>11</v>
      </c>
      <c r="E4" s="198">
        <v>34</v>
      </c>
      <c r="F4" s="199">
        <v>30</v>
      </c>
      <c r="G4" s="200">
        <v>31</v>
      </c>
      <c r="H4" s="201">
        <v>13</v>
      </c>
      <c r="I4" s="200">
        <v>17</v>
      </c>
      <c r="J4" s="198">
        <v>18</v>
      </c>
      <c r="K4" s="200">
        <v>21</v>
      </c>
      <c r="L4" s="197">
        <v>403</v>
      </c>
      <c r="M4" s="202">
        <v>0</v>
      </c>
      <c r="N4" s="157"/>
      <c r="O4" s="99">
        <f>LOOKUP(D4,'Investissement cumulé A'!Y10:Z29)</f>
        <v>19</v>
      </c>
      <c r="P4" s="78">
        <f>(E4+F4+G4)*8</f>
        <v>760</v>
      </c>
      <c r="Q4" s="81" t="str">
        <f>IF(M4&lt;=P4,"OUI","NON")</f>
        <v>OUI</v>
      </c>
      <c r="R4" s="99">
        <f>IF(C11=1,M4*0.03,M4*0.02)</f>
        <v>0</v>
      </c>
      <c r="S4" s="99" t="str">
        <f>IF(R4&lt;=50,"Oui","Non")</f>
        <v>Oui</v>
      </c>
      <c r="T4" s="80">
        <f>'Investissement cumulé A'!Q28</f>
        <v>3.373362106805871</v>
      </c>
      <c r="U4" s="81" t="str">
        <f>IF('Investissement cumulé A'!Q28&gt;=0,"Oui","Non")</f>
        <v>Oui</v>
      </c>
      <c r="V4" s="122"/>
      <c r="W4" s="122"/>
      <c r="X4" s="122"/>
      <c r="Y4" s="122"/>
      <c r="Z4" s="122"/>
      <c r="AA4" s="122"/>
      <c r="AB4" s="122"/>
      <c r="AC4" s="122"/>
    </row>
    <row r="5" spans="1:29" ht="13.5" thickBot="1">
      <c r="A5" s="308"/>
      <c r="B5" s="279" t="s">
        <v>73</v>
      </c>
      <c r="C5" s="211">
        <v>15</v>
      </c>
      <c r="D5" s="204">
        <v>11</v>
      </c>
      <c r="E5" s="205">
        <v>34</v>
      </c>
      <c r="F5" s="206">
        <v>30</v>
      </c>
      <c r="G5" s="207">
        <v>31</v>
      </c>
      <c r="H5" s="208">
        <v>13</v>
      </c>
      <c r="I5" s="207">
        <v>19</v>
      </c>
      <c r="J5" s="205">
        <v>20</v>
      </c>
      <c r="K5" s="207">
        <v>25</v>
      </c>
      <c r="L5" s="204">
        <v>1700</v>
      </c>
      <c r="M5" s="209">
        <v>760</v>
      </c>
      <c r="N5" s="157"/>
      <c r="O5" s="99">
        <f>LOOKUP(D5,'Investissement cumulé B'!Y10:Z29)</f>
        <v>19</v>
      </c>
      <c r="P5" s="78">
        <f>(E5+F5+G5)*8</f>
        <v>760</v>
      </c>
      <c r="Q5" s="81" t="str">
        <f>IF(M5&lt;=P5,"OUI","NON")</f>
        <v>OUI</v>
      </c>
      <c r="R5" s="99">
        <f>IF(C12=1,M5*0.03,M5*0.02)</f>
        <v>15.200000000000001</v>
      </c>
      <c r="S5" s="99" t="str">
        <f>IF(R5&lt;=50,"Oui","Non")</f>
        <v>Oui</v>
      </c>
      <c r="T5" s="80">
        <f>'Investissement cumulé B'!Q28</f>
        <v>80.988729258468084</v>
      </c>
      <c r="U5" s="81" t="str">
        <f>IF('Investissement cumulé B'!Q28&gt;=0,"Oui","Non")</f>
        <v>Oui</v>
      </c>
      <c r="V5" s="122"/>
      <c r="W5" s="122"/>
      <c r="X5" s="122"/>
      <c r="Y5" s="122"/>
      <c r="Z5" s="122"/>
      <c r="AA5" s="122"/>
      <c r="AB5" s="122"/>
      <c r="AC5" s="122"/>
    </row>
    <row r="6" spans="1:29">
      <c r="A6" s="113"/>
      <c r="B6" s="113"/>
      <c r="C6" s="113"/>
      <c r="D6" s="147"/>
      <c r="E6" s="147"/>
      <c r="F6" s="147"/>
      <c r="G6" s="147"/>
      <c r="H6" s="147"/>
      <c r="I6" s="147"/>
      <c r="J6" s="147"/>
      <c r="K6" s="147"/>
      <c r="L6" s="147"/>
      <c r="M6" s="148"/>
      <c r="N6" s="126"/>
      <c r="O6" s="146"/>
      <c r="P6" s="107"/>
      <c r="Q6" s="109"/>
      <c r="R6" s="146"/>
      <c r="S6" s="146"/>
      <c r="T6" s="108"/>
      <c r="U6" s="109"/>
      <c r="V6" s="122"/>
      <c r="W6" s="122"/>
      <c r="X6" s="122"/>
      <c r="Y6" s="122"/>
      <c r="Z6" s="122"/>
      <c r="AA6" s="122"/>
      <c r="AB6" s="122"/>
      <c r="AC6" s="122"/>
    </row>
    <row r="7" spans="1:29" ht="13.5" thickBot="1">
      <c r="A7" s="113"/>
      <c r="B7" s="113"/>
      <c r="C7" s="113"/>
      <c r="D7" s="147"/>
      <c r="E7" s="147"/>
      <c r="F7" s="147"/>
      <c r="G7" s="147"/>
      <c r="H7" s="147"/>
      <c r="I7" s="147"/>
      <c r="J7" s="147"/>
      <c r="K7" s="147"/>
      <c r="L7" s="147"/>
      <c r="M7" s="148"/>
      <c r="N7" s="147"/>
      <c r="O7" s="148"/>
      <c r="P7" s="122"/>
      <c r="Q7" s="113"/>
      <c r="R7" s="149"/>
      <c r="S7" s="150"/>
      <c r="T7" s="113"/>
      <c r="U7" s="113"/>
      <c r="V7" s="151"/>
      <c r="W7" s="150"/>
      <c r="X7" s="122"/>
      <c r="Y7" s="122"/>
      <c r="Z7" s="122"/>
      <c r="AA7" s="122"/>
      <c r="AB7" s="122"/>
      <c r="AC7" s="122"/>
    </row>
    <row r="8" spans="1:29" ht="26.25" thickBot="1">
      <c r="A8" s="121" t="s">
        <v>69</v>
      </c>
      <c r="B8" s="57" t="s">
        <v>71</v>
      </c>
      <c r="C8" s="179" t="s">
        <v>39</v>
      </c>
      <c r="D8" s="180" t="s">
        <v>116</v>
      </c>
      <c r="E8" s="180" t="s">
        <v>93</v>
      </c>
      <c r="F8" s="181" t="s">
        <v>94</v>
      </c>
      <c r="G8" s="181" t="s">
        <v>102</v>
      </c>
      <c r="H8" s="180" t="s">
        <v>95</v>
      </c>
      <c r="I8" s="180" t="s">
        <v>96</v>
      </c>
      <c r="J8" s="180" t="s">
        <v>98</v>
      </c>
      <c r="K8" s="182" t="s">
        <v>117</v>
      </c>
      <c r="L8" s="147"/>
      <c r="M8" s="148"/>
      <c r="N8" s="147"/>
      <c r="O8" s="148"/>
      <c r="P8" s="122"/>
      <c r="Q8" s="113"/>
      <c r="R8" s="149"/>
      <c r="S8" s="150"/>
      <c r="T8" s="113"/>
      <c r="U8" s="113"/>
      <c r="V8" s="151"/>
      <c r="W8" s="150"/>
      <c r="X8" s="122"/>
      <c r="Y8" s="122"/>
      <c r="Z8" s="122"/>
      <c r="AA8" s="122"/>
      <c r="AB8" s="122"/>
      <c r="AC8" s="122"/>
    </row>
    <row r="9" spans="1:29">
      <c r="A9" s="306">
        <v>1</v>
      </c>
      <c r="B9" s="117" t="s">
        <v>72</v>
      </c>
      <c r="C9" s="212" t="s">
        <v>80</v>
      </c>
      <c r="D9" s="213">
        <v>6</v>
      </c>
      <c r="E9" s="190" t="s">
        <v>97</v>
      </c>
      <c r="F9" s="190" t="s">
        <v>97</v>
      </c>
      <c r="G9" s="190" t="s">
        <v>97</v>
      </c>
      <c r="H9" s="190">
        <v>0</v>
      </c>
      <c r="I9" s="190">
        <v>0</v>
      </c>
      <c r="J9" s="190">
        <v>0</v>
      </c>
      <c r="K9" s="191">
        <v>0</v>
      </c>
      <c r="L9" s="147"/>
      <c r="M9" s="148"/>
      <c r="N9" s="147"/>
      <c r="O9" s="148"/>
      <c r="P9" s="122"/>
      <c r="Q9" s="113"/>
      <c r="R9" s="149"/>
      <c r="S9" s="150"/>
      <c r="T9" s="113"/>
      <c r="U9" s="113"/>
      <c r="V9" s="151"/>
      <c r="W9" s="150"/>
      <c r="X9" s="122"/>
      <c r="Y9" s="122"/>
      <c r="Z9" s="122"/>
      <c r="AA9" s="122"/>
      <c r="AB9" s="122"/>
      <c r="AC9" s="122"/>
    </row>
    <row r="10" spans="1:29" ht="13.5" thickBot="1">
      <c r="A10" s="307"/>
      <c r="B10" s="118" t="s">
        <v>73</v>
      </c>
      <c r="C10" s="208" t="s">
        <v>80</v>
      </c>
      <c r="D10" s="214">
        <v>6</v>
      </c>
      <c r="E10" s="192" t="s">
        <v>97</v>
      </c>
      <c r="F10" s="192" t="s">
        <v>97</v>
      </c>
      <c r="G10" s="192" t="s">
        <v>97</v>
      </c>
      <c r="H10" s="192">
        <v>0</v>
      </c>
      <c r="I10" s="192">
        <v>0</v>
      </c>
      <c r="J10" s="192">
        <v>0</v>
      </c>
      <c r="K10" s="193">
        <v>0</v>
      </c>
      <c r="L10" s="147"/>
      <c r="M10" s="148"/>
      <c r="N10" s="147"/>
      <c r="O10" s="148"/>
      <c r="P10" s="122"/>
      <c r="Q10" s="113"/>
      <c r="R10" s="149"/>
      <c r="S10" s="150"/>
      <c r="T10" s="113"/>
      <c r="U10" s="113"/>
      <c r="V10" s="151"/>
      <c r="W10" s="150"/>
      <c r="X10" s="122"/>
      <c r="Y10" s="122"/>
      <c r="Z10" s="122"/>
      <c r="AA10" s="122"/>
      <c r="AB10" s="122"/>
      <c r="AC10" s="122"/>
    </row>
    <row r="11" spans="1:29">
      <c r="A11" s="297">
        <v>2</v>
      </c>
      <c r="B11" s="119" t="s">
        <v>72</v>
      </c>
      <c r="C11" s="201" t="s">
        <v>80</v>
      </c>
      <c r="D11" s="215">
        <v>6</v>
      </c>
      <c r="E11" s="194" t="s">
        <v>97</v>
      </c>
      <c r="F11" s="194" t="s">
        <v>97</v>
      </c>
      <c r="G11" s="194" t="s">
        <v>97</v>
      </c>
      <c r="H11" s="194">
        <v>0</v>
      </c>
      <c r="I11" s="194">
        <v>0</v>
      </c>
      <c r="J11" s="194">
        <v>0</v>
      </c>
      <c r="K11" s="195">
        <v>0</v>
      </c>
      <c r="L11" s="147"/>
      <c r="M11" s="148"/>
      <c r="N11" s="147"/>
      <c r="O11" s="148"/>
      <c r="P11" s="122"/>
      <c r="Q11" s="113"/>
      <c r="R11" s="149"/>
      <c r="S11" s="150"/>
      <c r="T11" s="113"/>
      <c r="U11" s="113"/>
      <c r="V11" s="151"/>
      <c r="W11" s="150"/>
      <c r="X11" s="122"/>
      <c r="Y11" s="122"/>
      <c r="Z11" s="122"/>
      <c r="AA11" s="122"/>
      <c r="AB11" s="122"/>
      <c r="AC11" s="122"/>
    </row>
    <row r="12" spans="1:29" ht="13.5" thickBot="1">
      <c r="A12" s="299"/>
      <c r="B12" s="120" t="s">
        <v>73</v>
      </c>
      <c r="C12" s="208" t="s">
        <v>80</v>
      </c>
      <c r="D12" s="214">
        <v>6</v>
      </c>
      <c r="E12" s="192" t="s">
        <v>97</v>
      </c>
      <c r="F12" s="192" t="s">
        <v>97</v>
      </c>
      <c r="G12" s="192" t="s">
        <v>97</v>
      </c>
      <c r="H12" s="192">
        <v>0</v>
      </c>
      <c r="I12" s="192">
        <v>0</v>
      </c>
      <c r="J12" s="192">
        <v>0</v>
      </c>
      <c r="K12" s="193">
        <v>0</v>
      </c>
      <c r="L12" s="147"/>
      <c r="M12" s="148"/>
      <c r="N12" s="147"/>
      <c r="O12" s="148"/>
      <c r="P12" s="122"/>
      <c r="Q12" s="113"/>
      <c r="R12" s="149"/>
      <c r="S12" s="150"/>
      <c r="T12" s="113"/>
      <c r="U12" s="113"/>
      <c r="V12" s="151"/>
      <c r="W12" s="150"/>
      <c r="X12" s="122"/>
      <c r="Y12" s="122"/>
      <c r="Z12" s="122"/>
      <c r="AA12" s="122"/>
      <c r="AB12" s="122"/>
      <c r="AC12" s="122"/>
    </row>
    <row r="13" spans="1:29">
      <c r="A13" s="223"/>
      <c r="B13" s="223"/>
      <c r="C13" s="223"/>
      <c r="D13" s="224"/>
      <c r="E13" s="224"/>
      <c r="F13" s="224"/>
      <c r="G13" s="225"/>
      <c r="H13" s="225"/>
      <c r="I13" s="225"/>
      <c r="J13" s="225"/>
      <c r="K13" s="226"/>
      <c r="L13" s="226"/>
      <c r="M13" s="226"/>
      <c r="N13" s="224"/>
      <c r="O13" s="226"/>
      <c r="P13" s="226"/>
      <c r="Q13" s="226"/>
      <c r="R13" s="226"/>
      <c r="S13" s="226"/>
      <c r="T13" s="226"/>
      <c r="U13" s="226"/>
      <c r="V13" s="273"/>
      <c r="W13" s="274"/>
      <c r="X13" s="226"/>
      <c r="Y13" s="226"/>
      <c r="Z13" s="226"/>
      <c r="AA13" s="226"/>
      <c r="AB13" s="122"/>
      <c r="AC13" s="122"/>
    </row>
    <row r="14" spans="1:29">
      <c r="A14" s="126"/>
      <c r="B14" s="126"/>
      <c r="C14" s="126"/>
      <c r="D14" s="126"/>
      <c r="E14" s="126"/>
      <c r="F14" s="126"/>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row>
    <row r="15" spans="1:29" ht="13.5" thickBot="1">
      <c r="A15" s="110" t="s">
        <v>88</v>
      </c>
      <c r="B15" s="111"/>
      <c r="C15" s="111"/>
      <c r="D15" s="112"/>
      <c r="E15" s="112"/>
      <c r="F15" s="111"/>
      <c r="G15" s="113"/>
      <c r="H15" s="113"/>
      <c r="I15" s="125" t="s">
        <v>111</v>
      </c>
      <c r="J15" s="125"/>
      <c r="K15" s="125"/>
      <c r="L15" s="125"/>
      <c r="M15" s="125"/>
      <c r="N15" s="122"/>
      <c r="O15" s="288" t="s">
        <v>113</v>
      </c>
      <c r="P15" s="288"/>
      <c r="Q15" s="125"/>
      <c r="R15" s="125"/>
      <c r="S15" s="125"/>
      <c r="T15" s="122"/>
      <c r="U15" s="125" t="s">
        <v>114</v>
      </c>
      <c r="V15" s="125"/>
      <c r="W15" s="125"/>
      <c r="X15" s="125"/>
      <c r="Y15" s="125"/>
      <c r="Z15" s="122"/>
      <c r="AA15" s="122"/>
      <c r="AB15" s="122"/>
      <c r="AC15" s="122"/>
    </row>
    <row r="16" spans="1:29" ht="13.5" thickBot="1">
      <c r="A16" s="112"/>
      <c r="B16" s="112"/>
      <c r="C16" s="217"/>
      <c r="D16" s="236" t="s">
        <v>72</v>
      </c>
      <c r="E16" s="96" t="s">
        <v>73</v>
      </c>
      <c r="F16" s="229" t="s">
        <v>26</v>
      </c>
      <c r="G16" s="230" t="s">
        <v>122</v>
      </c>
      <c r="H16" s="113"/>
      <c r="I16" s="247" t="s">
        <v>28</v>
      </c>
      <c r="J16" s="264">
        <f>D17-E17</f>
        <v>-6274082.604850404</v>
      </c>
      <c r="K16" s="260" t="s">
        <v>76</v>
      </c>
      <c r="L16" s="95"/>
      <c r="M16" s="218">
        <f>(J16/3)+(J17/2)+J18</f>
        <v>-9240285.9772701822</v>
      </c>
      <c r="N16" s="122"/>
      <c r="O16" s="275" t="s">
        <v>28</v>
      </c>
      <c r="P16" s="100">
        <f>D17-E20</f>
        <v>-6274082.604850404</v>
      </c>
      <c r="Q16" s="260" t="s">
        <v>76</v>
      </c>
      <c r="R16" s="95"/>
      <c r="S16" s="218">
        <f>(P16/3)+(P17/2)+P18</f>
        <v>-14974129.555687722</v>
      </c>
      <c r="T16" s="122"/>
      <c r="U16" s="275" t="s">
        <v>28</v>
      </c>
      <c r="V16" s="100">
        <f>D17-D20</f>
        <v>0</v>
      </c>
      <c r="W16" s="260" t="s">
        <v>76</v>
      </c>
      <c r="X16" s="95"/>
      <c r="Y16" s="218">
        <f>(V16/3)+(V17/2)+V18</f>
        <v>-9475077.4642806519</v>
      </c>
      <c r="Z16" s="122"/>
      <c r="AA16" s="122"/>
      <c r="AB16" s="122"/>
      <c r="AC16" s="122"/>
    </row>
    <row r="17" spans="1:29" ht="15" customHeight="1">
      <c r="A17" s="300" t="s">
        <v>2</v>
      </c>
      <c r="B17" s="303">
        <f>C2</f>
        <v>1</v>
      </c>
      <c r="C17" s="243" t="s">
        <v>28</v>
      </c>
      <c r="D17" s="237">
        <f>Production!C40</f>
        <v>46690370.943953648</v>
      </c>
      <c r="E17" s="97">
        <f>Production!D40</f>
        <v>52964453.548804052</v>
      </c>
      <c r="F17" s="104">
        <f t="shared" ref="F17:F22" si="0">E17-D17</f>
        <v>6274082.604850404</v>
      </c>
      <c r="G17" s="312">
        <f>SUM(F17:F19)</f>
        <v>10238725.457479689</v>
      </c>
      <c r="H17" s="228"/>
      <c r="I17" s="251" t="s">
        <v>12</v>
      </c>
      <c r="J17" s="46">
        <f>E18-D21</f>
        <v>8679024.4623024426</v>
      </c>
      <c r="K17" s="261" t="s">
        <v>77</v>
      </c>
      <c r="L17" s="90"/>
      <c r="M17" s="219">
        <f>(J16/3)+(J17/1.5)+J18</f>
        <v>-7793781.9002197739</v>
      </c>
      <c r="N17" s="122"/>
      <c r="O17" s="248" t="s">
        <v>12</v>
      </c>
      <c r="P17" s="100">
        <f>D18-E21</f>
        <v>2881288.856346596</v>
      </c>
      <c r="Q17" s="261" t="s">
        <v>77</v>
      </c>
      <c r="R17" s="90"/>
      <c r="S17" s="219">
        <f>(P16/3)+(P17/1.5)+P18</f>
        <v>-14493914.746296624</v>
      </c>
      <c r="T17" s="122"/>
      <c r="U17" s="248" t="s">
        <v>12</v>
      </c>
      <c r="V17" s="100">
        <f t="shared" ref="V17:V18" si="1">D18-D21</f>
        <v>5402043.4676317461</v>
      </c>
      <c r="W17" s="261" t="s">
        <v>77</v>
      </c>
      <c r="X17" s="90"/>
      <c r="Y17" s="219">
        <f>(V16/3)+(V17/1.5)+V18</f>
        <v>-8574736.8863420282</v>
      </c>
      <c r="Z17" s="122"/>
      <c r="AA17" s="122"/>
      <c r="AB17" s="122"/>
      <c r="AC17" s="122"/>
    </row>
    <row r="18" spans="1:29" ht="15" customHeight="1" thickBot="1">
      <c r="A18" s="301"/>
      <c r="B18" s="304"/>
      <c r="C18" s="244" t="s">
        <v>12</v>
      </c>
      <c r="D18" s="238">
        <f>Production!C41</f>
        <v>23432615.026404228</v>
      </c>
      <c r="E18" s="47">
        <f>Production!D41</f>
        <v>26709596.021074925</v>
      </c>
      <c r="F18" s="52">
        <f t="shared" si="0"/>
        <v>3276980.9946706966</v>
      </c>
      <c r="G18" s="313"/>
      <c r="H18" s="228"/>
      <c r="I18" s="252" t="s">
        <v>13</v>
      </c>
      <c r="J18" s="48">
        <f>E19-D22</f>
        <v>-11488437.340137934</v>
      </c>
      <c r="K18" s="262" t="s">
        <v>78</v>
      </c>
      <c r="L18" s="93"/>
      <c r="M18" s="220">
        <f>(J16/3)+J17+J18</f>
        <v>-4900773.74611896</v>
      </c>
      <c r="N18" s="122"/>
      <c r="O18" s="249" t="s">
        <v>13</v>
      </c>
      <c r="P18" s="100">
        <f>D19-E22</f>
        <v>-14323413.115577552</v>
      </c>
      <c r="Q18" s="262" t="s">
        <v>78</v>
      </c>
      <c r="R18" s="93"/>
      <c r="S18" s="220">
        <f>(P16/3)+P17+P18</f>
        <v>-13533485.127514424</v>
      </c>
      <c r="T18" s="122"/>
      <c r="U18" s="249" t="s">
        <v>13</v>
      </c>
      <c r="V18" s="100">
        <f t="shared" si="1"/>
        <v>-12176099.198096525</v>
      </c>
      <c r="W18" s="262" t="s">
        <v>78</v>
      </c>
      <c r="X18" s="93"/>
      <c r="Y18" s="220">
        <f>(V16/3)+V17+V18</f>
        <v>-6774055.7304647788</v>
      </c>
      <c r="Z18" s="122"/>
      <c r="AA18" s="122"/>
      <c r="AB18" s="122"/>
      <c r="AC18" s="122"/>
    </row>
    <row r="19" spans="1:29" ht="15.75" customHeight="1" thickBot="1">
      <c r="A19" s="302"/>
      <c r="B19" s="305"/>
      <c r="C19" s="245" t="s">
        <v>13</v>
      </c>
      <c r="D19" s="239">
        <f>Production!C42</f>
        <v>4718174.6820066618</v>
      </c>
      <c r="E19" s="98">
        <f>Production!D42</f>
        <v>5405836.5399652515</v>
      </c>
      <c r="F19" s="53">
        <f t="shared" si="0"/>
        <v>687661.85795858968</v>
      </c>
      <c r="G19" s="314"/>
      <c r="H19" s="228"/>
      <c r="I19" s="256" t="s">
        <v>122</v>
      </c>
      <c r="J19" s="265">
        <f>SUM(J16:J18)</f>
        <v>-9083495.4826858956</v>
      </c>
      <c r="K19" s="254"/>
      <c r="L19" s="113"/>
      <c r="M19" s="113"/>
      <c r="N19" s="122"/>
      <c r="O19" s="256" t="s">
        <v>122</v>
      </c>
      <c r="P19" s="263">
        <f>SUM(P16:P18)</f>
        <v>-17716206.86408136</v>
      </c>
      <c r="Q19" s="254"/>
      <c r="R19" s="113"/>
      <c r="S19" s="254"/>
      <c r="T19" s="122"/>
      <c r="U19" s="256" t="s">
        <v>122</v>
      </c>
      <c r="V19" s="263">
        <f>SUM(V16:V18)</f>
        <v>-6774055.7304647788</v>
      </c>
      <c r="W19" s="254"/>
      <c r="X19" s="113"/>
      <c r="Y19" s="254"/>
      <c r="Z19" s="122"/>
      <c r="AA19" s="122"/>
      <c r="AB19" s="122"/>
      <c r="AC19" s="122"/>
    </row>
    <row r="20" spans="1:29" ht="15.75" customHeight="1">
      <c r="A20" s="297" t="s">
        <v>3</v>
      </c>
      <c r="B20" s="303">
        <f>C4</f>
        <v>15</v>
      </c>
      <c r="C20" s="243" t="s">
        <v>28</v>
      </c>
      <c r="D20" s="240">
        <f>Production!H40</f>
        <v>46690370.943953648</v>
      </c>
      <c r="E20" s="152">
        <f>Production!I40</f>
        <v>52964453.548804052</v>
      </c>
      <c r="F20" s="100">
        <f t="shared" si="0"/>
        <v>6274082.604850404</v>
      </c>
      <c r="G20" s="315">
        <f>SUM(F20:F22)</f>
        <v>10942151.133616582</v>
      </c>
      <c r="H20" s="111"/>
      <c r="I20" s="122"/>
      <c r="J20" s="122"/>
      <c r="K20" s="122"/>
      <c r="L20" s="122"/>
      <c r="M20" s="122"/>
      <c r="N20" s="122"/>
      <c r="O20" s="122"/>
      <c r="P20" s="122"/>
      <c r="Q20" s="122"/>
      <c r="R20" s="122"/>
      <c r="S20" s="122"/>
      <c r="T20" s="122"/>
      <c r="U20" s="122"/>
      <c r="V20" s="122"/>
      <c r="W20" s="122"/>
      <c r="X20" s="122"/>
      <c r="Y20" s="122"/>
      <c r="Z20" s="122"/>
      <c r="AA20" s="122"/>
      <c r="AB20" s="122"/>
      <c r="AC20" s="122"/>
    </row>
    <row r="21" spans="1:29" ht="13.5" thickBot="1">
      <c r="A21" s="298"/>
      <c r="B21" s="304"/>
      <c r="C21" s="244" t="s">
        <v>12</v>
      </c>
      <c r="D21" s="241">
        <f>Production!H41</f>
        <v>18030571.558772482</v>
      </c>
      <c r="E21" s="153">
        <f>Production!I41</f>
        <v>20551326.170057632</v>
      </c>
      <c r="F21" s="52">
        <f t="shared" si="0"/>
        <v>2520754.6112851501</v>
      </c>
      <c r="G21" s="313"/>
      <c r="H21" s="122"/>
      <c r="I21" s="125" t="s">
        <v>112</v>
      </c>
      <c r="J21" s="125"/>
      <c r="K21" s="112"/>
      <c r="L21" s="112"/>
      <c r="M21" s="112"/>
      <c r="N21" s="113"/>
      <c r="O21" s="286" t="s">
        <v>123</v>
      </c>
      <c r="P21" s="287"/>
      <c r="Q21" s="113"/>
      <c r="R21" s="113"/>
      <c r="S21" s="113"/>
      <c r="T21" s="122"/>
      <c r="U21" s="122" t="s">
        <v>115</v>
      </c>
      <c r="V21" s="113"/>
      <c r="W21" s="113"/>
      <c r="X21" s="113"/>
      <c r="Y21" s="113"/>
      <c r="Z21" s="122"/>
      <c r="AA21" s="122"/>
      <c r="AB21" s="122"/>
      <c r="AC21" s="122"/>
    </row>
    <row r="22" spans="1:29" ht="13.5" thickBot="1">
      <c r="A22" s="299"/>
      <c r="B22" s="305"/>
      <c r="C22" s="245" t="s">
        <v>13</v>
      </c>
      <c r="D22" s="242">
        <f>Production!H42</f>
        <v>16894273.880103186</v>
      </c>
      <c r="E22" s="154">
        <f>Production!I42</f>
        <v>19041587.797584213</v>
      </c>
      <c r="F22" s="53">
        <f t="shared" si="0"/>
        <v>2147313.9174810275</v>
      </c>
      <c r="G22" s="314"/>
      <c r="H22" s="126"/>
      <c r="I22" s="247" t="s">
        <v>28</v>
      </c>
      <c r="J22" s="100">
        <f>D20-E20</f>
        <v>-6274082.604850404</v>
      </c>
      <c r="K22" s="260" t="s">
        <v>76</v>
      </c>
      <c r="L22" s="95"/>
      <c r="M22" s="218">
        <f>(J22/3)+(J23/2)+J24</f>
        <v>-5499052.0914070709</v>
      </c>
      <c r="N22" s="122"/>
      <c r="O22" s="269" t="s">
        <v>28</v>
      </c>
      <c r="P22" s="104">
        <f>E17-D20</f>
        <v>6274082.604850404</v>
      </c>
      <c r="Q22" s="268" t="s">
        <v>76</v>
      </c>
      <c r="R22" s="266"/>
      <c r="S22" s="259">
        <f>(P22/3)+(P23/2)+P24</f>
        <v>-5057564.2407032447</v>
      </c>
      <c r="T22" s="122"/>
      <c r="U22" s="269" t="s">
        <v>28</v>
      </c>
      <c r="V22" s="104">
        <f>E17-E20</f>
        <v>0</v>
      </c>
      <c r="W22" s="268" t="s">
        <v>76</v>
      </c>
      <c r="X22" s="266"/>
      <c r="Y22" s="259">
        <f>(V22/3)+(V23/2)+V24</f>
        <v>-10556616.332110316</v>
      </c>
      <c r="Z22" s="122"/>
      <c r="AA22" s="122"/>
      <c r="AB22" s="122"/>
      <c r="AC22" s="122"/>
    </row>
    <row r="23" spans="1:29" ht="13.5" thickBot="1">
      <c r="A23" s="111"/>
      <c r="B23" s="115"/>
      <c r="C23" s="115"/>
      <c r="D23" s="112"/>
      <c r="E23" s="112"/>
      <c r="F23" s="113"/>
      <c r="G23" s="113"/>
      <c r="H23" s="221"/>
      <c r="I23" s="251" t="s">
        <v>12</v>
      </c>
      <c r="J23" s="100">
        <f>D21-E21</f>
        <v>-2520754.6112851501</v>
      </c>
      <c r="K23" s="261" t="s">
        <v>77</v>
      </c>
      <c r="L23" s="90"/>
      <c r="M23" s="219">
        <f>(J22/3)+(J23/1.5)+J24</f>
        <v>-5919177.8599545956</v>
      </c>
      <c r="N23" s="122"/>
      <c r="O23" s="270" t="s">
        <v>12</v>
      </c>
      <c r="P23" s="104">
        <f>E18-D21</f>
        <v>8679024.4623024426</v>
      </c>
      <c r="Q23" s="261" t="s">
        <v>77</v>
      </c>
      <c r="R23" s="90"/>
      <c r="S23" s="219">
        <f>(P22/3)+(P23/1.5)+P24</f>
        <v>-3611060.1636528373</v>
      </c>
      <c r="T23" s="122"/>
      <c r="U23" s="270" t="s">
        <v>12</v>
      </c>
      <c r="V23" s="104">
        <f t="shared" ref="V23:V24" si="2">E18-E21</f>
        <v>6158269.8510172926</v>
      </c>
      <c r="W23" s="261" t="s">
        <v>77</v>
      </c>
      <c r="X23" s="90"/>
      <c r="Y23" s="219">
        <f>(V22/3)+(V23/1.5)+V24</f>
        <v>-9530238.0236074328</v>
      </c>
      <c r="Z23" s="122"/>
      <c r="AA23" s="122"/>
      <c r="AB23" s="122"/>
      <c r="AC23" s="122"/>
    </row>
    <row r="24" spans="1:29" ht="15" customHeight="1" thickBot="1">
      <c r="A24" s="221"/>
      <c r="B24" s="303" t="s">
        <v>26</v>
      </c>
      <c r="C24" s="247" t="s">
        <v>28</v>
      </c>
      <c r="D24" s="216">
        <f t="shared" ref="D24:E26" si="3">D17-D20</f>
        <v>0</v>
      </c>
      <c r="E24" s="231">
        <f t="shared" si="3"/>
        <v>0</v>
      </c>
      <c r="F24" s="114"/>
      <c r="G24" s="113"/>
      <c r="H24" s="221"/>
      <c r="I24" s="252" t="s">
        <v>13</v>
      </c>
      <c r="J24" s="100">
        <f>D22-E22</f>
        <v>-2147313.9174810275</v>
      </c>
      <c r="K24" s="262" t="s">
        <v>78</v>
      </c>
      <c r="L24" s="93"/>
      <c r="M24" s="220">
        <f>(J22/3)+J23+J24</f>
        <v>-6759429.3970496459</v>
      </c>
      <c r="N24" s="122"/>
      <c r="O24" s="271" t="s">
        <v>13</v>
      </c>
      <c r="P24" s="104">
        <f>E19-D22</f>
        <v>-11488437.340137934</v>
      </c>
      <c r="Q24" s="262" t="s">
        <v>78</v>
      </c>
      <c r="R24" s="93"/>
      <c r="S24" s="220">
        <f>(P22/3)+P23+P24</f>
        <v>-718052.0095520243</v>
      </c>
      <c r="T24" s="122"/>
      <c r="U24" s="271" t="s">
        <v>13</v>
      </c>
      <c r="V24" s="104">
        <f t="shared" si="2"/>
        <v>-13635751.257618962</v>
      </c>
      <c r="W24" s="262" t="s">
        <v>78</v>
      </c>
      <c r="X24" s="93"/>
      <c r="Y24" s="220">
        <f>(V22/3)+V23+V24</f>
        <v>-7477481.4066016693</v>
      </c>
      <c r="Z24" s="122"/>
      <c r="AA24" s="122"/>
      <c r="AB24" s="122"/>
      <c r="AC24" s="122"/>
    </row>
    <row r="25" spans="1:29" ht="15" customHeight="1" thickBot="1">
      <c r="A25" s="221"/>
      <c r="B25" s="304"/>
      <c r="C25" s="248" t="s">
        <v>12</v>
      </c>
      <c r="D25" s="44">
        <f t="shared" si="3"/>
        <v>5402043.4676317461</v>
      </c>
      <c r="E25" s="45">
        <f t="shared" si="3"/>
        <v>6158269.8510172926</v>
      </c>
      <c r="F25" s="126"/>
      <c r="G25" s="113"/>
      <c r="H25" s="221"/>
      <c r="I25" s="256" t="s">
        <v>122</v>
      </c>
      <c r="J25" s="263">
        <f>SUM(J22:J24)</f>
        <v>-10942151.133616582</v>
      </c>
      <c r="K25" s="254"/>
      <c r="L25" s="113"/>
      <c r="M25" s="113"/>
      <c r="N25" s="122"/>
      <c r="O25" s="256" t="s">
        <v>122</v>
      </c>
      <c r="P25" s="263">
        <f>SUM(P22:P24)</f>
        <v>3464669.7270149123</v>
      </c>
      <c r="Q25" s="254"/>
      <c r="R25" s="113"/>
      <c r="S25" s="113"/>
      <c r="T25" s="122"/>
      <c r="U25" s="256" t="s">
        <v>122</v>
      </c>
      <c r="V25" s="263">
        <f>SUM(V22:V24)</f>
        <v>-7477481.4066016693</v>
      </c>
      <c r="W25" s="254"/>
      <c r="X25" s="113"/>
      <c r="Y25" s="113"/>
      <c r="Z25" s="122"/>
      <c r="AA25" s="122"/>
      <c r="AB25" s="122"/>
      <c r="AC25" s="122"/>
    </row>
    <row r="26" spans="1:29" ht="15.75" customHeight="1" thickBot="1">
      <c r="A26" s="221"/>
      <c r="B26" s="305"/>
      <c r="C26" s="249" t="s">
        <v>13</v>
      </c>
      <c r="D26" s="49">
        <f t="shared" si="3"/>
        <v>-12176099.198096525</v>
      </c>
      <c r="E26" s="50">
        <f t="shared" si="3"/>
        <v>-13635751.257618962</v>
      </c>
      <c r="F26" s="116"/>
      <c r="G26" s="113"/>
      <c r="H26" s="113"/>
      <c r="I26" s="122"/>
      <c r="J26" s="122"/>
      <c r="K26" s="122"/>
      <c r="L26" s="122"/>
      <c r="M26" s="122"/>
      <c r="N26" s="122"/>
      <c r="O26" s="122"/>
      <c r="P26" s="122"/>
      <c r="Q26" s="122"/>
      <c r="R26" s="122"/>
      <c r="S26" s="122"/>
      <c r="T26" s="122"/>
      <c r="U26" s="122"/>
      <c r="V26" s="122"/>
      <c r="W26" s="122"/>
      <c r="X26" s="122"/>
      <c r="Y26" s="122"/>
      <c r="Z26" s="122"/>
      <c r="AA26" s="122"/>
      <c r="AB26" s="122"/>
      <c r="AC26" s="122"/>
    </row>
    <row r="27" spans="1:29" ht="13.5" thickBot="1">
      <c r="A27" s="111"/>
      <c r="B27" s="235"/>
      <c r="C27" s="256" t="s">
        <v>122</v>
      </c>
      <c r="D27" s="246">
        <f>SUM(D24:D26)</f>
        <v>-6774055.7304647788</v>
      </c>
      <c r="E27" s="232">
        <f>SUM(E24:E26)</f>
        <v>-7477481.4066016693</v>
      </c>
      <c r="F27" s="122"/>
      <c r="G27" s="122"/>
      <c r="H27" s="122"/>
      <c r="I27" s="122"/>
      <c r="J27" s="113"/>
      <c r="K27" s="122"/>
      <c r="L27" s="122"/>
      <c r="M27" s="122"/>
      <c r="N27" s="122"/>
      <c r="O27" s="122"/>
      <c r="P27" s="122"/>
      <c r="Q27" s="122"/>
      <c r="R27" s="122"/>
      <c r="S27" s="122"/>
      <c r="T27" s="122"/>
      <c r="U27" s="122"/>
      <c r="V27" s="122"/>
      <c r="W27" s="122"/>
      <c r="X27" s="122"/>
      <c r="Y27" s="122"/>
      <c r="Z27" s="122"/>
      <c r="AA27" s="122"/>
      <c r="AB27" s="122"/>
      <c r="AC27" s="122"/>
    </row>
    <row r="28" spans="1:29">
      <c r="A28" s="111"/>
      <c r="B28" s="122"/>
      <c r="C28" s="122"/>
      <c r="D28" s="122"/>
      <c r="E28" s="111"/>
      <c r="F28" s="111"/>
      <c r="G28" s="113"/>
      <c r="H28" s="113"/>
      <c r="I28" s="113"/>
      <c r="J28" s="113"/>
      <c r="K28" s="122"/>
      <c r="L28" s="122"/>
      <c r="M28" s="122"/>
      <c r="N28" s="122"/>
      <c r="O28" s="122"/>
      <c r="P28" s="122"/>
      <c r="Q28" s="122"/>
      <c r="R28" s="122"/>
      <c r="S28" s="122"/>
      <c r="T28" s="122"/>
      <c r="U28" s="122"/>
      <c r="V28" s="122"/>
      <c r="W28" s="122"/>
      <c r="X28" s="122"/>
      <c r="Y28" s="122"/>
      <c r="Z28" s="122"/>
      <c r="AA28" s="122"/>
      <c r="AB28" s="122"/>
      <c r="AC28" s="126"/>
    </row>
    <row r="29" spans="1:29">
      <c r="A29" s="223"/>
      <c r="B29" s="226"/>
      <c r="C29" s="226"/>
      <c r="D29" s="226"/>
      <c r="E29" s="223"/>
      <c r="F29" s="223"/>
      <c r="G29" s="223"/>
      <c r="H29" s="223"/>
      <c r="I29" s="223"/>
      <c r="J29" s="223"/>
      <c r="K29" s="226"/>
      <c r="L29" s="226"/>
      <c r="M29" s="226"/>
      <c r="N29" s="226"/>
      <c r="O29" s="226"/>
      <c r="P29" s="226"/>
      <c r="Q29" s="226"/>
      <c r="R29" s="226"/>
      <c r="S29" s="226"/>
      <c r="T29" s="226"/>
      <c r="U29" s="226"/>
      <c r="V29" s="226"/>
      <c r="W29" s="226"/>
      <c r="X29" s="226"/>
      <c r="Y29" s="226"/>
      <c r="Z29" s="226"/>
      <c r="AA29" s="226"/>
      <c r="AB29" s="122"/>
      <c r="AC29" s="122"/>
    </row>
    <row r="30" spans="1:29">
      <c r="A30" s="111"/>
      <c r="B30" s="111"/>
      <c r="C30" s="111"/>
      <c r="D30" s="111"/>
      <c r="E30" s="111"/>
      <c r="F30" s="111"/>
      <c r="G30" s="113"/>
      <c r="H30" s="113"/>
      <c r="I30" s="113"/>
      <c r="J30" s="113"/>
      <c r="K30" s="122"/>
      <c r="L30" s="122"/>
      <c r="M30" s="122"/>
      <c r="N30" s="122"/>
      <c r="O30" s="122"/>
      <c r="P30" s="122"/>
      <c r="Q30" s="122"/>
      <c r="R30" s="122"/>
      <c r="S30" s="122"/>
      <c r="T30" s="122"/>
      <c r="U30" s="122"/>
      <c r="V30" s="122"/>
      <c r="W30" s="122"/>
      <c r="X30" s="122"/>
      <c r="Y30" s="122"/>
      <c r="Z30" s="122"/>
      <c r="AA30" s="122"/>
      <c r="AB30" s="122"/>
      <c r="AC30" s="122"/>
    </row>
    <row r="31" spans="1:29" ht="13.5" thickBot="1">
      <c r="A31" s="110" t="s">
        <v>89</v>
      </c>
      <c r="B31" s="111"/>
      <c r="C31" s="111"/>
      <c r="D31" s="112"/>
      <c r="E31" s="112"/>
      <c r="F31" s="111"/>
      <c r="G31" s="113"/>
      <c r="H31" s="113"/>
      <c r="I31" s="125" t="s">
        <v>111</v>
      </c>
      <c r="J31" s="125"/>
      <c r="K31" s="125"/>
      <c r="L31" s="125"/>
      <c r="M31" s="125"/>
      <c r="N31" s="122"/>
      <c r="O31" s="288" t="s">
        <v>113</v>
      </c>
      <c r="P31" s="288"/>
      <c r="Q31" s="125"/>
      <c r="R31" s="125"/>
      <c r="S31" s="125"/>
      <c r="T31" s="122"/>
      <c r="U31" s="125" t="s">
        <v>114</v>
      </c>
      <c r="V31" s="125"/>
      <c r="W31" s="125"/>
      <c r="X31" s="125"/>
      <c r="Y31" s="125"/>
      <c r="Z31" s="122"/>
      <c r="AA31" s="122"/>
      <c r="AB31" s="122"/>
      <c r="AC31" s="122"/>
    </row>
    <row r="32" spans="1:29" ht="13.5" thickBot="1">
      <c r="A32" s="112"/>
      <c r="B32" s="112"/>
      <c r="C32" s="112"/>
      <c r="D32" s="253" t="s">
        <v>72</v>
      </c>
      <c r="E32" s="101" t="s">
        <v>73</v>
      </c>
      <c r="F32" s="229" t="s">
        <v>26</v>
      </c>
      <c r="G32" s="230" t="s">
        <v>122</v>
      </c>
      <c r="H32" s="228"/>
      <c r="I32" s="243" t="s">
        <v>28</v>
      </c>
      <c r="J32" s="100">
        <f>D33-E33</f>
        <v>-16720000</v>
      </c>
      <c r="K32" s="260" t="s">
        <v>76</v>
      </c>
      <c r="L32" s="95"/>
      <c r="M32" s="218">
        <f>J32+(J33*2)+(J34*3)</f>
        <v>-97608500</v>
      </c>
      <c r="N32" s="222"/>
      <c r="O32" s="267" t="s">
        <v>28</v>
      </c>
      <c r="P32" s="104">
        <f>D33-E36</f>
        <v>-1630479610.8595543</v>
      </c>
      <c r="Q32" s="268" t="s">
        <v>76</v>
      </c>
      <c r="R32" s="266"/>
      <c r="S32" s="259">
        <f>P32+(P33*2)+(P34*3)</f>
        <v>-3995570413.6146078</v>
      </c>
      <c r="T32" s="122"/>
      <c r="U32" s="267" t="s">
        <v>28</v>
      </c>
      <c r="V32" s="104">
        <f>D33-D36</f>
        <v>-489642761.73411083</v>
      </c>
      <c r="W32" s="268" t="s">
        <v>76</v>
      </c>
      <c r="X32" s="266"/>
      <c r="Y32" s="259">
        <f>V32+(V33*2)+(V34*3)</f>
        <v>-1176582126.0804763</v>
      </c>
      <c r="Z32" s="122"/>
      <c r="AA32" s="122"/>
      <c r="AB32" s="122"/>
      <c r="AC32" s="122"/>
    </row>
    <row r="33" spans="1:29" ht="13.5" thickBot="1">
      <c r="A33" s="300" t="s">
        <v>2</v>
      </c>
      <c r="B33" s="303">
        <f>C2</f>
        <v>1</v>
      </c>
      <c r="C33" s="51" t="s">
        <v>28</v>
      </c>
      <c r="D33" s="238">
        <f>'Investissement cumulé A'!C45</f>
        <v>3880326578.0232735</v>
      </c>
      <c r="E33" s="102">
        <f>'Investissement cumulé B'!C46</f>
        <v>3897046578.0232735</v>
      </c>
      <c r="F33" s="104">
        <f t="shared" ref="F33:F38" si="4">E33-D33</f>
        <v>16720000</v>
      </c>
      <c r="G33" s="309">
        <f>SUM(F33:F35)</f>
        <v>53487500</v>
      </c>
      <c r="H33" s="276"/>
      <c r="I33" s="244" t="s">
        <v>12</v>
      </c>
      <c r="J33" s="100">
        <f t="shared" ref="J33:J34" si="5">D34-E34</f>
        <v>-29414000</v>
      </c>
      <c r="K33" s="261" t="s">
        <v>77</v>
      </c>
      <c r="L33" s="90"/>
      <c r="M33" s="219">
        <f>(J32)+(J33*2.5)+(J34*3)</f>
        <v>-112315500</v>
      </c>
      <c r="N33" s="222"/>
      <c r="O33" s="233" t="s">
        <v>12</v>
      </c>
      <c r="P33" s="104">
        <f>D34-E37</f>
        <v>-691879844.34382176</v>
      </c>
      <c r="Q33" s="261" t="s">
        <v>77</v>
      </c>
      <c r="R33" s="90"/>
      <c r="S33" s="219">
        <f>(P32)+(P33*2.5)+(P34*3)</f>
        <v>-4341510335.7865181</v>
      </c>
      <c r="T33" s="122"/>
      <c r="U33" s="233" t="s">
        <v>12</v>
      </c>
      <c r="V33" s="104">
        <f>D34-D37</f>
        <v>-196979104.69364429</v>
      </c>
      <c r="W33" s="261" t="s">
        <v>77</v>
      </c>
      <c r="X33" s="90"/>
      <c r="Y33" s="219">
        <f>(V32)+(V33*2.5)+(V34*3)</f>
        <v>-1275071678.4272985</v>
      </c>
      <c r="Z33" s="122"/>
      <c r="AA33" s="122"/>
      <c r="AB33" s="122"/>
      <c r="AC33" s="122"/>
    </row>
    <row r="34" spans="1:29" ht="15" customHeight="1" thickBot="1">
      <c r="A34" s="301"/>
      <c r="B34" s="304"/>
      <c r="C34" s="244" t="s">
        <v>12</v>
      </c>
      <c r="D34" s="238">
        <f>'Investissement cumulé A'!C46</f>
        <v>1389723892.5195425</v>
      </c>
      <c r="E34" s="102">
        <f>'Investissement cumulé B'!C47</f>
        <v>1419137892.5195425</v>
      </c>
      <c r="F34" s="52">
        <f t="shared" si="4"/>
        <v>29414000</v>
      </c>
      <c r="G34" s="310"/>
      <c r="H34" s="276"/>
      <c r="I34" s="245" t="s">
        <v>13</v>
      </c>
      <c r="J34" s="100">
        <f t="shared" si="5"/>
        <v>-7353500</v>
      </c>
      <c r="K34" s="262" t="s">
        <v>78</v>
      </c>
      <c r="L34" s="93"/>
      <c r="M34" s="220">
        <f>J32+(J33*3)+(J34*3)</f>
        <v>-127022500</v>
      </c>
      <c r="N34" s="222"/>
      <c r="O34" s="234" t="s">
        <v>13</v>
      </c>
      <c r="P34" s="104">
        <f>D35-E38</f>
        <v>-327110371.35580325</v>
      </c>
      <c r="Q34" s="262" t="s">
        <v>78</v>
      </c>
      <c r="R34" s="93"/>
      <c r="S34" s="220">
        <f>P32+(P33*3)+(P34*3)</f>
        <v>-4687450257.9584293</v>
      </c>
      <c r="T34" s="122"/>
      <c r="U34" s="234" t="s">
        <v>13</v>
      </c>
      <c r="V34" s="104">
        <f>D35-D38</f>
        <v>-97660384.986359</v>
      </c>
      <c r="W34" s="262" t="s">
        <v>78</v>
      </c>
      <c r="X34" s="93"/>
      <c r="Y34" s="220">
        <f>V32+(V33*3)+(V34*3)</f>
        <v>-1373561230.7741208</v>
      </c>
      <c r="Z34" s="122"/>
      <c r="AA34" s="122"/>
      <c r="AB34" s="122"/>
      <c r="AC34" s="122"/>
    </row>
    <row r="35" spans="1:29" ht="15.75" customHeight="1" thickBot="1">
      <c r="A35" s="302"/>
      <c r="B35" s="305"/>
      <c r="C35" s="245" t="s">
        <v>13</v>
      </c>
      <c r="D35" s="239">
        <f>'Investissement cumulé A'!C47</f>
        <v>1936000</v>
      </c>
      <c r="E35" s="103">
        <f>'Investissement cumulé B'!C48</f>
        <v>9289500</v>
      </c>
      <c r="F35" s="53">
        <f t="shared" si="4"/>
        <v>7353500</v>
      </c>
      <c r="G35" s="311"/>
      <c r="H35" s="276"/>
      <c r="I35" s="256" t="s">
        <v>122</v>
      </c>
      <c r="J35" s="99">
        <f>SUM(J32:J34)</f>
        <v>-53487500</v>
      </c>
      <c r="K35" s="122"/>
      <c r="L35" s="122"/>
      <c r="M35" s="126"/>
      <c r="N35" s="222"/>
      <c r="O35" s="256" t="s">
        <v>122</v>
      </c>
      <c r="P35" s="99">
        <f>SUM(P32:P34)</f>
        <v>-2649469826.5591793</v>
      </c>
      <c r="Q35" s="122"/>
      <c r="R35" s="122"/>
      <c r="S35" s="126"/>
      <c r="T35" s="122"/>
      <c r="U35" s="256" t="s">
        <v>122</v>
      </c>
      <c r="V35" s="99">
        <f>SUM(V32:V34)</f>
        <v>-784282251.41411412</v>
      </c>
      <c r="W35" s="122"/>
      <c r="X35" s="122"/>
      <c r="Y35" s="126"/>
      <c r="Z35" s="122"/>
      <c r="AA35" s="122"/>
      <c r="AB35" s="122"/>
      <c r="AC35" s="122"/>
    </row>
    <row r="36" spans="1:29">
      <c r="A36" s="297" t="s">
        <v>3</v>
      </c>
      <c r="B36" s="303">
        <f>C4</f>
        <v>15</v>
      </c>
      <c r="C36" s="243" t="s">
        <v>28</v>
      </c>
      <c r="D36" s="240">
        <f>'Investissement cumulé A'!L45</f>
        <v>4369969339.7573843</v>
      </c>
      <c r="E36" s="155">
        <f>'Investissement cumulé B'!L46</f>
        <v>5510806188.8828278</v>
      </c>
      <c r="F36" s="100">
        <f t="shared" si="4"/>
        <v>1140836849.1254435</v>
      </c>
      <c r="G36" s="309">
        <f>SUM(F36:F38)</f>
        <v>1865187575.1450653</v>
      </c>
      <c r="H36" s="116"/>
      <c r="I36" s="122"/>
      <c r="J36" s="122"/>
      <c r="K36" s="122"/>
      <c r="L36" s="122"/>
      <c r="M36" s="122"/>
      <c r="N36" s="122"/>
      <c r="O36" s="122"/>
      <c r="P36" s="122"/>
      <c r="Q36" s="122"/>
      <c r="R36" s="122"/>
      <c r="S36" s="122"/>
      <c r="T36" s="122"/>
      <c r="U36" s="122"/>
      <c r="V36" s="122"/>
      <c r="W36" s="122"/>
      <c r="X36" s="122"/>
      <c r="Y36" s="122"/>
      <c r="Z36" s="122"/>
      <c r="AA36" s="122"/>
      <c r="AB36" s="122"/>
      <c r="AC36" s="122"/>
    </row>
    <row r="37" spans="1:29" ht="15.75" customHeight="1" thickBot="1">
      <c r="A37" s="298"/>
      <c r="B37" s="304"/>
      <c r="C37" s="244" t="s">
        <v>12</v>
      </c>
      <c r="D37" s="241">
        <f>'Investissement cumulé A'!L46</f>
        <v>1586702997.2131867</v>
      </c>
      <c r="E37" s="156">
        <f>'Investissement cumulé B'!L47</f>
        <v>2081603736.8633642</v>
      </c>
      <c r="F37" s="52">
        <f t="shared" si="4"/>
        <v>494900739.65017748</v>
      </c>
      <c r="G37" s="310"/>
      <c r="H37" s="116"/>
      <c r="I37" s="125" t="s">
        <v>112</v>
      </c>
      <c r="J37" s="125"/>
      <c r="K37" s="112"/>
      <c r="L37" s="112"/>
      <c r="M37" s="112"/>
      <c r="N37" s="113"/>
      <c r="O37" s="286" t="s">
        <v>123</v>
      </c>
      <c r="P37" s="287"/>
      <c r="Q37" s="113"/>
      <c r="R37" s="113"/>
      <c r="S37" s="113"/>
      <c r="T37" s="122"/>
      <c r="U37" s="122" t="s">
        <v>115</v>
      </c>
      <c r="V37" s="113"/>
      <c r="W37" s="113"/>
      <c r="X37" s="113"/>
      <c r="Y37" s="113"/>
      <c r="Z37" s="122"/>
      <c r="AA37" s="122"/>
      <c r="AB37" s="122"/>
      <c r="AC37" s="122"/>
    </row>
    <row r="38" spans="1:29" ht="15.75" customHeight="1" thickBot="1">
      <c r="A38" s="299"/>
      <c r="B38" s="305"/>
      <c r="C38" s="245" t="s">
        <v>13</v>
      </c>
      <c r="D38" s="241">
        <f>'Investissement cumulé A'!L47</f>
        <v>99596384.986359</v>
      </c>
      <c r="E38" s="156">
        <f>'Investissement cumulé B'!L48</f>
        <v>329046371.35580325</v>
      </c>
      <c r="F38" s="53">
        <f t="shared" si="4"/>
        <v>229449986.36944425</v>
      </c>
      <c r="G38" s="311"/>
      <c r="H38" s="276"/>
      <c r="I38" s="243" t="s">
        <v>28</v>
      </c>
      <c r="J38" s="264">
        <f>D36-E36</f>
        <v>-1140836849.1254435</v>
      </c>
      <c r="K38" s="260" t="s">
        <v>76</v>
      </c>
      <c r="L38" s="95"/>
      <c r="M38" s="259">
        <f>(J38/3)+(J39/2)+J40</f>
        <v>-857179305.90301406</v>
      </c>
      <c r="N38" s="222"/>
      <c r="O38" s="267" t="s">
        <v>28</v>
      </c>
      <c r="P38" s="104">
        <f>E33-D36</f>
        <v>-472922761.73411083</v>
      </c>
      <c r="Q38" s="268" t="s">
        <v>76</v>
      </c>
      <c r="R38" s="266"/>
      <c r="S38" s="259">
        <f>(P38/3)+(P39/2)+P40</f>
        <v>-331730357.91121805</v>
      </c>
      <c r="T38" s="122"/>
      <c r="U38" s="267" t="s">
        <v>28</v>
      </c>
      <c r="V38" s="104">
        <f>E33-E36</f>
        <v>-1613759610.8595543</v>
      </c>
      <c r="W38" s="268" t="s">
        <v>76</v>
      </c>
      <c r="X38" s="266"/>
      <c r="Y38" s="259">
        <f>(V38/3)+(V39/2)+V40</f>
        <v>-1188909663.8142323</v>
      </c>
      <c r="Z38" s="122"/>
      <c r="AA38" s="122"/>
      <c r="AB38" s="122"/>
      <c r="AC38" s="122"/>
    </row>
    <row r="39" spans="1:29" ht="13.5" thickBot="1">
      <c r="A39" s="111"/>
      <c r="B39" s="115"/>
      <c r="C39" s="115"/>
      <c r="D39" s="115"/>
      <c r="E39" s="115"/>
      <c r="F39" s="113"/>
      <c r="G39" s="113"/>
      <c r="H39" s="221"/>
      <c r="I39" s="251" t="s">
        <v>12</v>
      </c>
      <c r="J39" s="264">
        <f t="shared" ref="J39:J40" si="6">D37-E37</f>
        <v>-494900739.65017748</v>
      </c>
      <c r="K39" s="261" t="s">
        <v>77</v>
      </c>
      <c r="L39" s="90"/>
      <c r="M39" s="219">
        <f>(J38/3)+(J39/1.5)+J40</f>
        <v>-939662762.51137698</v>
      </c>
      <c r="N39" s="222"/>
      <c r="O39" s="233" t="s">
        <v>12</v>
      </c>
      <c r="P39" s="104">
        <f>E34-D37</f>
        <v>-167565104.69364429</v>
      </c>
      <c r="Q39" s="261" t="s">
        <v>77</v>
      </c>
      <c r="R39" s="90"/>
      <c r="S39" s="219">
        <f>(P38/3)+(P39/1.5)+P40</f>
        <v>-359657875.3601588</v>
      </c>
      <c r="T39" s="122"/>
      <c r="U39" s="233" t="s">
        <v>12</v>
      </c>
      <c r="V39" s="104">
        <f>E34-E37</f>
        <v>-662465844.34382176</v>
      </c>
      <c r="W39" s="261" t="s">
        <v>77</v>
      </c>
      <c r="X39" s="90"/>
      <c r="Y39" s="219">
        <f>(V38/3)+(V39/1.5)+V40</f>
        <v>-1299320637.8715358</v>
      </c>
      <c r="Z39" s="122"/>
      <c r="AA39" s="122"/>
      <c r="AB39" s="122"/>
      <c r="AC39" s="122"/>
    </row>
    <row r="40" spans="1:29" ht="15" customHeight="1" thickBot="1">
      <c r="A40" s="111"/>
      <c r="B40" s="294" t="s">
        <v>26</v>
      </c>
      <c r="C40" s="247" t="s">
        <v>28</v>
      </c>
      <c r="D40" s="216">
        <f t="shared" ref="D40:E42" si="7">D33-D36</f>
        <v>-489642761.73411083</v>
      </c>
      <c r="E40" s="231">
        <f t="shared" si="7"/>
        <v>-1613759610.8595543</v>
      </c>
      <c r="F40" s="114"/>
      <c r="G40" s="126"/>
      <c r="H40" s="221"/>
      <c r="I40" s="252" t="s">
        <v>13</v>
      </c>
      <c r="J40" s="264">
        <f t="shared" si="6"/>
        <v>-229449986.36944425</v>
      </c>
      <c r="K40" s="262" t="s">
        <v>78</v>
      </c>
      <c r="L40" s="93"/>
      <c r="M40" s="220">
        <f>(J38/3)+J39+J40</f>
        <v>-1104629675.7281027</v>
      </c>
      <c r="N40" s="222"/>
      <c r="O40" s="234" t="s">
        <v>13</v>
      </c>
      <c r="P40" s="104">
        <f>E35-D38</f>
        <v>-90306884.986359</v>
      </c>
      <c r="Q40" s="262" t="s">
        <v>78</v>
      </c>
      <c r="R40" s="93"/>
      <c r="S40" s="220">
        <f>(P38/3)+P39+P40</f>
        <v>-415512910.25804019</v>
      </c>
      <c r="T40" s="122"/>
      <c r="U40" s="234" t="s">
        <v>13</v>
      </c>
      <c r="V40" s="104">
        <f>E35-E38</f>
        <v>-319756871.35580325</v>
      </c>
      <c r="W40" s="262" t="s">
        <v>78</v>
      </c>
      <c r="X40" s="93"/>
      <c r="Y40" s="220">
        <f>(V38/3)+V39+V40</f>
        <v>-1520142585.9861431</v>
      </c>
      <c r="Z40" s="122"/>
      <c r="AA40" s="122"/>
      <c r="AB40" s="122"/>
      <c r="AC40" s="122"/>
    </row>
    <row r="41" spans="1:29" ht="15.75" customHeight="1" thickBot="1">
      <c r="A41" s="111"/>
      <c r="B41" s="295"/>
      <c r="C41" s="248" t="s">
        <v>12</v>
      </c>
      <c r="D41" s="44">
        <f t="shared" si="7"/>
        <v>-196979104.69364429</v>
      </c>
      <c r="E41" s="45">
        <f t="shared" si="7"/>
        <v>-662465844.34382176</v>
      </c>
      <c r="F41" s="126"/>
      <c r="G41" s="126"/>
      <c r="H41" s="221"/>
      <c r="I41" s="256" t="s">
        <v>122</v>
      </c>
      <c r="J41" s="265">
        <f>SUM(J38:J40)</f>
        <v>-1865187575.1450653</v>
      </c>
      <c r="K41" s="254"/>
      <c r="L41" s="113"/>
      <c r="M41" s="113"/>
      <c r="N41" s="222"/>
      <c r="O41" s="256" t="s">
        <v>122</v>
      </c>
      <c r="P41" s="263">
        <f>SUM(P38:P40)</f>
        <v>-730794751.41411412</v>
      </c>
      <c r="Q41" s="254"/>
      <c r="R41" s="113"/>
      <c r="S41" s="113"/>
      <c r="T41" s="122"/>
      <c r="U41" s="256" t="s">
        <v>122</v>
      </c>
      <c r="V41" s="263">
        <f>SUM(V38:V40)</f>
        <v>-2595982326.5591793</v>
      </c>
      <c r="W41" s="254"/>
      <c r="X41" s="113"/>
      <c r="Y41" s="113"/>
      <c r="Z41" s="122"/>
      <c r="AA41" s="122"/>
      <c r="AB41" s="122"/>
      <c r="AC41" s="122"/>
    </row>
    <row r="42" spans="1:29" ht="13.5" thickBot="1">
      <c r="A42" s="111"/>
      <c r="B42" s="296"/>
      <c r="C42" s="249" t="s">
        <v>13</v>
      </c>
      <c r="D42" s="49">
        <f t="shared" si="7"/>
        <v>-97660384.986359</v>
      </c>
      <c r="E42" s="50">
        <f t="shared" si="7"/>
        <v>-319756871.35580325</v>
      </c>
      <c r="F42" s="116"/>
      <c r="G42" s="126"/>
      <c r="H42" s="113"/>
      <c r="I42" s="122"/>
      <c r="J42" s="122"/>
      <c r="K42" s="122"/>
      <c r="L42" s="122"/>
      <c r="M42" s="122"/>
      <c r="N42" s="122"/>
      <c r="O42" s="122"/>
      <c r="P42" s="122"/>
      <c r="Q42" s="122"/>
      <c r="R42" s="122"/>
      <c r="S42" s="122"/>
      <c r="T42" s="122"/>
      <c r="U42" s="122"/>
      <c r="V42" s="122"/>
      <c r="W42" s="122"/>
      <c r="X42" s="122"/>
      <c r="Y42" s="122"/>
      <c r="Z42" s="122"/>
      <c r="AA42" s="122"/>
      <c r="AB42" s="122"/>
      <c r="AC42" s="122"/>
    </row>
    <row r="43" spans="1:29" ht="13.5" thickBot="1">
      <c r="A43" s="122"/>
      <c r="B43" s="235"/>
      <c r="C43" s="256" t="s">
        <v>122</v>
      </c>
      <c r="D43" s="246">
        <f>SUM(D40:D42)</f>
        <v>-784282251.41411412</v>
      </c>
      <c r="E43" s="232">
        <f>SUM(E40:E42)</f>
        <v>-2595982326.5591793</v>
      </c>
      <c r="F43" s="122"/>
      <c r="G43" s="113"/>
      <c r="H43" s="126"/>
      <c r="I43" s="122"/>
      <c r="J43" s="122"/>
      <c r="K43" s="122"/>
      <c r="L43" s="122"/>
      <c r="M43" s="122"/>
      <c r="N43" s="122"/>
      <c r="O43" s="122"/>
      <c r="P43" s="122"/>
      <c r="Q43" s="122"/>
      <c r="R43" s="122"/>
      <c r="S43" s="122"/>
      <c r="T43" s="122"/>
      <c r="U43" s="122"/>
      <c r="V43" s="122"/>
      <c r="W43" s="122"/>
      <c r="X43" s="122"/>
      <c r="Y43" s="122"/>
      <c r="Z43" s="122"/>
      <c r="AA43" s="122"/>
      <c r="AB43" s="122"/>
      <c r="AC43" s="122"/>
    </row>
    <row r="44" spans="1:29">
      <c r="A44" s="122"/>
      <c r="B44" s="122"/>
      <c r="C44" s="122"/>
      <c r="D44" s="122"/>
      <c r="E44" s="122"/>
      <c r="F44" s="122"/>
      <c r="G44" s="113"/>
      <c r="H44" s="126"/>
      <c r="I44" s="122"/>
      <c r="J44" s="122"/>
      <c r="K44" s="122"/>
      <c r="L44" s="122"/>
      <c r="M44" s="122"/>
      <c r="N44" s="122"/>
      <c r="O44" s="122"/>
      <c r="P44" s="122"/>
      <c r="Q44" s="122"/>
      <c r="R44" s="122"/>
      <c r="S44" s="122"/>
      <c r="T44" s="122"/>
      <c r="U44" s="122"/>
      <c r="V44" s="122"/>
      <c r="W44" s="122"/>
      <c r="X44" s="122"/>
      <c r="Y44" s="122"/>
      <c r="Z44" s="122"/>
      <c r="AA44" s="122"/>
      <c r="AB44" s="122"/>
      <c r="AC44" s="122"/>
    </row>
    <row r="45" spans="1:29">
      <c r="A45" s="226"/>
      <c r="B45" s="226"/>
      <c r="C45" s="226"/>
      <c r="D45" s="226"/>
      <c r="E45" s="226"/>
      <c r="F45" s="226"/>
      <c r="G45" s="223"/>
      <c r="H45" s="226"/>
      <c r="I45" s="226"/>
      <c r="J45" s="226"/>
      <c r="K45" s="226"/>
      <c r="L45" s="226"/>
      <c r="M45" s="226"/>
      <c r="N45" s="122"/>
      <c r="O45" s="226"/>
      <c r="P45" s="226"/>
      <c r="Q45" s="226"/>
      <c r="R45" s="226"/>
      <c r="S45" s="226"/>
      <c r="T45" s="226"/>
      <c r="U45" s="226"/>
      <c r="V45" s="226"/>
      <c r="W45" s="226"/>
      <c r="X45" s="226"/>
      <c r="Y45" s="226"/>
      <c r="Z45" s="226"/>
      <c r="AA45" s="226"/>
      <c r="AB45" s="122"/>
      <c r="AC45" s="122"/>
    </row>
    <row r="46" spans="1:29">
      <c r="A46" s="122"/>
      <c r="B46" s="122"/>
      <c r="C46" s="122"/>
      <c r="D46" s="122"/>
      <c r="E46" s="122"/>
      <c r="F46" s="122"/>
      <c r="G46" s="113"/>
      <c r="H46" s="126"/>
      <c r="I46" s="122"/>
      <c r="J46" s="122"/>
      <c r="K46" s="122"/>
      <c r="L46" s="122"/>
      <c r="M46" s="122"/>
      <c r="N46" s="122"/>
      <c r="O46" s="122"/>
      <c r="P46" s="122"/>
      <c r="Q46" s="122"/>
      <c r="R46" s="122"/>
      <c r="S46" s="122"/>
      <c r="T46" s="122"/>
      <c r="U46" s="122"/>
      <c r="V46" s="122"/>
      <c r="W46" s="122"/>
      <c r="X46" s="122"/>
      <c r="Y46" s="122"/>
      <c r="Z46" s="122"/>
      <c r="AA46" s="122"/>
      <c r="AB46" s="122"/>
      <c r="AC46" s="122"/>
    </row>
    <row r="47" spans="1:29" ht="13.5" thickBot="1">
      <c r="A47" s="110" t="s">
        <v>90</v>
      </c>
      <c r="B47" s="111"/>
      <c r="C47" s="111"/>
      <c r="D47" s="112"/>
      <c r="E47" s="112"/>
      <c r="F47" s="122"/>
      <c r="G47" s="113"/>
      <c r="H47" s="126"/>
      <c r="I47" s="125" t="s">
        <v>111</v>
      </c>
      <c r="J47" s="125"/>
      <c r="K47" s="125"/>
      <c r="L47" s="125"/>
      <c r="M47" s="125"/>
      <c r="N47" s="122"/>
      <c r="O47" s="288" t="s">
        <v>113</v>
      </c>
      <c r="P47" s="288"/>
      <c r="Q47" s="125"/>
      <c r="R47" s="125"/>
      <c r="S47" s="125"/>
      <c r="T47" s="122"/>
      <c r="U47" s="125" t="s">
        <v>114</v>
      </c>
      <c r="V47" s="125"/>
      <c r="W47" s="125"/>
      <c r="X47" s="125"/>
      <c r="Y47" s="125"/>
      <c r="Z47" s="122"/>
      <c r="AA47" s="122"/>
      <c r="AB47" s="122"/>
      <c r="AC47" s="122"/>
    </row>
    <row r="48" spans="1:29" ht="13.5" thickBot="1">
      <c r="A48" s="112"/>
      <c r="B48" s="112"/>
      <c r="C48" s="112"/>
      <c r="D48" s="84" t="s">
        <v>72</v>
      </c>
      <c r="E48" s="101" t="s">
        <v>73</v>
      </c>
      <c r="F48" s="229" t="s">
        <v>26</v>
      </c>
      <c r="G48" s="230" t="s">
        <v>122</v>
      </c>
      <c r="H48" s="277"/>
      <c r="I48" s="267" t="s">
        <v>28</v>
      </c>
      <c r="J48" s="104">
        <f>D49-E49</f>
        <v>0</v>
      </c>
      <c r="K48" s="268" t="s">
        <v>76</v>
      </c>
      <c r="L48" s="266"/>
      <c r="M48" s="259">
        <f>(J48/3)+(J49/2)+J50</f>
        <v>0</v>
      </c>
      <c r="N48" s="122"/>
      <c r="O48" s="269" t="s">
        <v>28</v>
      </c>
      <c r="P48" s="104">
        <f>D49-E52</f>
        <v>0</v>
      </c>
      <c r="Q48" s="268" t="s">
        <v>76</v>
      </c>
      <c r="R48" s="266"/>
      <c r="S48" s="259">
        <f>(P48/3)+(P49/2)+P50</f>
        <v>-416153600</v>
      </c>
      <c r="T48" s="122"/>
      <c r="U48" s="269" t="s">
        <v>28</v>
      </c>
      <c r="V48" s="104">
        <f>D49-D52</f>
        <v>0</v>
      </c>
      <c r="W48" s="268" t="s">
        <v>76</v>
      </c>
      <c r="X48" s="266"/>
      <c r="Y48" s="259">
        <f>(V48/3)+(V49/2)+V50</f>
        <v>-101580800.00000003</v>
      </c>
      <c r="Z48" s="122"/>
      <c r="AA48" s="122"/>
      <c r="AB48" s="122"/>
      <c r="AC48" s="122"/>
    </row>
    <row r="49" spans="1:29" ht="13.5" thickBot="1">
      <c r="A49" s="300" t="s">
        <v>2</v>
      </c>
      <c r="B49" s="303">
        <f>C2</f>
        <v>1</v>
      </c>
      <c r="C49" s="51" t="s">
        <v>28</v>
      </c>
      <c r="D49" s="238">
        <f>'Investissement cumulé A'!C51</f>
        <v>111165860.53405087</v>
      </c>
      <c r="E49" s="102">
        <f>'Investissement cumulé B'!C52</f>
        <v>111165860.53405087</v>
      </c>
      <c r="F49" s="104">
        <f t="shared" ref="F49:F54" si="8">E49-D49</f>
        <v>0</v>
      </c>
      <c r="G49" s="309">
        <f>SUM(F49:F51)</f>
        <v>0</v>
      </c>
      <c r="H49" s="277"/>
      <c r="I49" s="233" t="s">
        <v>12</v>
      </c>
      <c r="J49" s="104">
        <f>D50-E50</f>
        <v>0</v>
      </c>
      <c r="K49" s="261" t="s">
        <v>77</v>
      </c>
      <c r="L49" s="90"/>
      <c r="M49" s="219">
        <f>(J48/3)+(J49/1.5)+J50</f>
        <v>0</v>
      </c>
      <c r="N49" s="122"/>
      <c r="O49" s="270" t="s">
        <v>12</v>
      </c>
      <c r="P49" s="104">
        <f>D50-E53</f>
        <v>-416153600</v>
      </c>
      <c r="Q49" s="261" t="s">
        <v>77</v>
      </c>
      <c r="R49" s="90"/>
      <c r="S49" s="219">
        <f>(P48/3)+(P49/1.5)+P50</f>
        <v>-485512533.33333331</v>
      </c>
      <c r="T49" s="122"/>
      <c r="U49" s="270" t="s">
        <v>12</v>
      </c>
      <c r="V49" s="104">
        <f>D50-D53</f>
        <v>-101580800.00000003</v>
      </c>
      <c r="W49" s="261" t="s">
        <v>77</v>
      </c>
      <c r="X49" s="90"/>
      <c r="Y49" s="219">
        <f>(V48/3)+(V49/1.5)+V50</f>
        <v>-118510933.33333337</v>
      </c>
      <c r="Z49" s="122"/>
      <c r="AA49" s="122"/>
      <c r="AB49" s="122"/>
      <c r="AC49" s="122"/>
    </row>
    <row r="50" spans="1:29" ht="15" customHeight="1" thickBot="1">
      <c r="A50" s="301"/>
      <c r="B50" s="304"/>
      <c r="C50" s="244" t="s">
        <v>12</v>
      </c>
      <c r="D50" s="238">
        <f>'Investissement cumulé A'!C52</f>
        <v>225607722.06810173</v>
      </c>
      <c r="E50" s="102">
        <f>'Investissement cumulé B'!C53</f>
        <v>225607722.06810173</v>
      </c>
      <c r="F50" s="52">
        <f t="shared" si="8"/>
        <v>0</v>
      </c>
      <c r="G50" s="310"/>
      <c r="H50" s="277"/>
      <c r="I50" s="234" t="s">
        <v>13</v>
      </c>
      <c r="J50" s="104">
        <f>D51-E51</f>
        <v>0</v>
      </c>
      <c r="K50" s="262" t="s">
        <v>78</v>
      </c>
      <c r="L50" s="93"/>
      <c r="M50" s="220">
        <f>(J48/3)+J49+J50</f>
        <v>0</v>
      </c>
      <c r="N50" s="122"/>
      <c r="O50" s="271" t="s">
        <v>13</v>
      </c>
      <c r="P50" s="104">
        <f>D51-E54</f>
        <v>-208076800</v>
      </c>
      <c r="Q50" s="262" t="s">
        <v>78</v>
      </c>
      <c r="R50" s="93"/>
      <c r="S50" s="220">
        <f>(P48/3)+P49+P50</f>
        <v>-624230400</v>
      </c>
      <c r="T50" s="122"/>
      <c r="U50" s="271" t="s">
        <v>13</v>
      </c>
      <c r="V50" s="104">
        <f>D51-D54</f>
        <v>-50790400.000000015</v>
      </c>
      <c r="W50" s="262" t="s">
        <v>78</v>
      </c>
      <c r="X50" s="93"/>
      <c r="Y50" s="220">
        <f>(V48/3)+V49+V50</f>
        <v>-152371200.00000006</v>
      </c>
      <c r="Z50" s="122"/>
      <c r="AA50" s="122"/>
      <c r="AB50" s="122"/>
      <c r="AC50" s="122"/>
    </row>
    <row r="51" spans="1:29" ht="15.75" customHeight="1" thickBot="1">
      <c r="A51" s="302"/>
      <c r="B51" s="305"/>
      <c r="C51" s="245" t="s">
        <v>13</v>
      </c>
      <c r="D51" s="239">
        <f>'Investissement cumulé A'!C53</f>
        <v>104612860.53405087</v>
      </c>
      <c r="E51" s="103">
        <f>'Investissement cumulé B'!C54</f>
        <v>104612860.53405087</v>
      </c>
      <c r="F51" s="53">
        <f t="shared" si="8"/>
        <v>0</v>
      </c>
      <c r="G51" s="311"/>
      <c r="H51" s="277"/>
      <c r="I51" s="256" t="s">
        <v>122</v>
      </c>
      <c r="J51" s="99">
        <f>SUM(J48:J50)</f>
        <v>0</v>
      </c>
      <c r="K51" s="124"/>
      <c r="L51" s="122"/>
      <c r="M51" s="126"/>
      <c r="N51" s="122"/>
      <c r="O51" s="256" t="s">
        <v>122</v>
      </c>
      <c r="P51" s="99">
        <f>SUM(P48:P50)</f>
        <v>-624230400</v>
      </c>
      <c r="Q51" s="124"/>
      <c r="R51" s="122"/>
      <c r="S51" s="126"/>
      <c r="T51" s="122"/>
      <c r="U51" s="256" t="s">
        <v>122</v>
      </c>
      <c r="V51" s="99">
        <f>SUM(V48:V50)</f>
        <v>-152371200.00000006</v>
      </c>
      <c r="W51" s="124"/>
      <c r="X51" s="122"/>
      <c r="Y51" s="126"/>
      <c r="Z51" s="122"/>
      <c r="AA51" s="122"/>
      <c r="AB51" s="122"/>
      <c r="AC51" s="122"/>
    </row>
    <row r="52" spans="1:29">
      <c r="A52" s="297" t="s">
        <v>3</v>
      </c>
      <c r="B52" s="303">
        <f>C4</f>
        <v>15</v>
      </c>
      <c r="C52" s="243" t="s">
        <v>28</v>
      </c>
      <c r="D52" s="240">
        <f>'Investissement cumulé A'!L51</f>
        <v>111165860.53405087</v>
      </c>
      <c r="E52" s="155">
        <f>'Investissement cumulé B'!L52</f>
        <v>111165860.53405087</v>
      </c>
      <c r="F52" s="100">
        <f t="shared" si="8"/>
        <v>0</v>
      </c>
      <c r="G52" s="309">
        <f>SUM(F52:F54)</f>
        <v>471859200</v>
      </c>
      <c r="H52" s="126"/>
      <c r="I52" s="122"/>
      <c r="J52" s="122"/>
      <c r="K52" s="122"/>
      <c r="L52" s="122"/>
      <c r="M52" s="122"/>
      <c r="N52" s="122"/>
      <c r="O52" s="122"/>
      <c r="P52" s="122"/>
      <c r="Q52" s="122"/>
      <c r="R52" s="122"/>
      <c r="S52" s="122"/>
      <c r="T52" s="122"/>
      <c r="U52" s="122"/>
      <c r="V52" s="122"/>
      <c r="W52" s="122"/>
      <c r="X52" s="122"/>
      <c r="Y52" s="122"/>
      <c r="Z52" s="122"/>
      <c r="AA52" s="122"/>
      <c r="AB52" s="122"/>
      <c r="AC52" s="122"/>
    </row>
    <row r="53" spans="1:29" ht="15.75" customHeight="1" thickBot="1">
      <c r="A53" s="298"/>
      <c r="B53" s="304"/>
      <c r="C53" s="244" t="s">
        <v>12</v>
      </c>
      <c r="D53" s="241">
        <f>'Investissement cumulé A'!L52</f>
        <v>327188522.06810176</v>
      </c>
      <c r="E53" s="156">
        <f>'Investissement cumulé B'!L53</f>
        <v>641761322.06810176</v>
      </c>
      <c r="F53" s="52">
        <f t="shared" si="8"/>
        <v>314572800</v>
      </c>
      <c r="G53" s="310"/>
      <c r="H53" s="126"/>
      <c r="I53" s="125" t="s">
        <v>112</v>
      </c>
      <c r="J53" s="125"/>
      <c r="K53" s="112"/>
      <c r="L53" s="112"/>
      <c r="M53" s="112"/>
      <c r="N53" s="113"/>
      <c r="O53" s="291" t="s">
        <v>123</v>
      </c>
      <c r="P53" s="292"/>
      <c r="Q53" s="112"/>
      <c r="R53" s="112"/>
      <c r="S53" s="112"/>
      <c r="T53" s="122"/>
      <c r="U53" s="122" t="s">
        <v>115</v>
      </c>
      <c r="V53" s="112"/>
      <c r="W53" s="112"/>
      <c r="X53" s="112"/>
      <c r="Y53" s="112"/>
      <c r="Z53" s="122"/>
      <c r="AA53" s="122"/>
      <c r="AB53" s="122"/>
      <c r="AC53" s="122"/>
    </row>
    <row r="54" spans="1:29" ht="15.75" customHeight="1" thickBot="1">
      <c r="A54" s="299"/>
      <c r="B54" s="305"/>
      <c r="C54" s="245" t="s">
        <v>13</v>
      </c>
      <c r="D54" s="241">
        <f>'Investissement cumulé A'!L53</f>
        <v>155403260.53405088</v>
      </c>
      <c r="E54" s="156">
        <f>'Investissement cumulé B'!L54</f>
        <v>312689660.53405088</v>
      </c>
      <c r="F54" s="53">
        <f t="shared" si="8"/>
        <v>157286400</v>
      </c>
      <c r="G54" s="311"/>
      <c r="H54" s="126"/>
      <c r="I54" s="269" t="s">
        <v>28</v>
      </c>
      <c r="J54" s="104">
        <f>D52-E52</f>
        <v>0</v>
      </c>
      <c r="K54" s="268" t="s">
        <v>76</v>
      </c>
      <c r="L54" s="266"/>
      <c r="M54" s="259">
        <f>(J54/3)+(J55/2)+J56</f>
        <v>-314572800</v>
      </c>
      <c r="N54" s="122"/>
      <c r="O54" s="290" t="s">
        <v>28</v>
      </c>
      <c r="P54" s="100">
        <f>E49-D52</f>
        <v>0</v>
      </c>
      <c r="Q54" s="260" t="s">
        <v>76</v>
      </c>
      <c r="R54" s="95"/>
      <c r="S54" s="92">
        <f>(P54/3)+(P55/2)+P56</f>
        <v>-101580800.00000003</v>
      </c>
      <c r="T54" s="122"/>
      <c r="U54" s="269" t="s">
        <v>28</v>
      </c>
      <c r="V54" s="100">
        <f>E49-E52</f>
        <v>0</v>
      </c>
      <c r="W54" s="260" t="s">
        <v>76</v>
      </c>
      <c r="X54" s="95"/>
      <c r="Y54" s="92">
        <f>(V54/3)+(V55/2)+V56</f>
        <v>-416153600</v>
      </c>
      <c r="Z54" s="122"/>
      <c r="AA54" s="122"/>
      <c r="AB54" s="122"/>
      <c r="AC54" s="122"/>
    </row>
    <row r="55" spans="1:29" ht="13.5" thickBot="1">
      <c r="A55" s="111"/>
      <c r="B55" s="115"/>
      <c r="C55" s="115"/>
      <c r="D55" s="115"/>
      <c r="E55" s="115"/>
      <c r="F55" s="126"/>
      <c r="G55" s="113"/>
      <c r="H55" s="113"/>
      <c r="I55" s="270" t="s">
        <v>12</v>
      </c>
      <c r="J55" s="104">
        <f>D53-E53</f>
        <v>-314572800</v>
      </c>
      <c r="K55" s="261" t="s">
        <v>77</v>
      </c>
      <c r="L55" s="90"/>
      <c r="M55" s="219">
        <f>(J54/3)+(J55/1.5)+J56</f>
        <v>-367001600</v>
      </c>
      <c r="N55" s="122"/>
      <c r="O55" s="270" t="s">
        <v>12</v>
      </c>
      <c r="P55" s="100">
        <f>E50-D53</f>
        <v>-101580800.00000003</v>
      </c>
      <c r="Q55" s="261" t="s">
        <v>77</v>
      </c>
      <c r="R55" s="90"/>
      <c r="S55" s="89">
        <f>(P54/3)+(P55/1.5)+P56</f>
        <v>-118510933.33333337</v>
      </c>
      <c r="T55" s="122"/>
      <c r="U55" s="270" t="s">
        <v>12</v>
      </c>
      <c r="V55" s="100">
        <f>E50-E53</f>
        <v>-416153600</v>
      </c>
      <c r="W55" s="261" t="s">
        <v>77</v>
      </c>
      <c r="X55" s="90"/>
      <c r="Y55" s="89">
        <f>(V54/3)+(V55/1.5)+V56</f>
        <v>-485512533.33333331</v>
      </c>
      <c r="Z55" s="122"/>
      <c r="AA55" s="122"/>
      <c r="AB55" s="122"/>
      <c r="AC55" s="122"/>
    </row>
    <row r="56" spans="1:29" ht="15" customHeight="1" thickBot="1">
      <c r="A56" s="221"/>
      <c r="B56" s="303" t="s">
        <v>26</v>
      </c>
      <c r="C56" s="51" t="s">
        <v>28</v>
      </c>
      <c r="D56" s="216">
        <f t="shared" ref="D56:E58" si="9">D49-D52</f>
        <v>0</v>
      </c>
      <c r="E56" s="231">
        <f t="shared" si="9"/>
        <v>0</v>
      </c>
      <c r="F56" s="114"/>
      <c r="G56" s="113"/>
      <c r="H56" s="113"/>
      <c r="I56" s="271" t="s">
        <v>13</v>
      </c>
      <c r="J56" s="104">
        <f>D54-E54</f>
        <v>-157286400</v>
      </c>
      <c r="K56" s="262" t="s">
        <v>78</v>
      </c>
      <c r="L56" s="93"/>
      <c r="M56" s="220">
        <f>(J54/3)+J55+J56</f>
        <v>-471859200</v>
      </c>
      <c r="N56" s="122"/>
      <c r="O56" s="271" t="s">
        <v>13</v>
      </c>
      <c r="P56" s="100">
        <f>E51-D54</f>
        <v>-50790400.000000015</v>
      </c>
      <c r="Q56" s="262" t="s">
        <v>78</v>
      </c>
      <c r="R56" s="93"/>
      <c r="S56" s="91">
        <f>(P54/3)+P55+P56</f>
        <v>-152371200.00000006</v>
      </c>
      <c r="T56" s="122"/>
      <c r="U56" s="271" t="s">
        <v>13</v>
      </c>
      <c r="V56" s="100">
        <f>E51-E54</f>
        <v>-208076800</v>
      </c>
      <c r="W56" s="262" t="s">
        <v>78</v>
      </c>
      <c r="X56" s="93"/>
      <c r="Y56" s="91">
        <f>(V54/3)+V55+V56</f>
        <v>-624230400</v>
      </c>
      <c r="Z56" s="122"/>
      <c r="AA56" s="122"/>
      <c r="AB56" s="122"/>
      <c r="AC56" s="122"/>
    </row>
    <row r="57" spans="1:29" ht="15.75" customHeight="1" thickBot="1">
      <c r="A57" s="221"/>
      <c r="B57" s="304"/>
      <c r="C57" s="244" t="s">
        <v>12</v>
      </c>
      <c r="D57" s="44">
        <f t="shared" si="9"/>
        <v>-101580800.00000003</v>
      </c>
      <c r="E57" s="45">
        <f t="shared" si="9"/>
        <v>-416153600</v>
      </c>
      <c r="F57" s="126"/>
      <c r="G57" s="113"/>
      <c r="H57" s="113"/>
      <c r="I57" s="256" t="s">
        <v>122</v>
      </c>
      <c r="J57" s="263">
        <f>SUM(J54:J56)</f>
        <v>-471859200</v>
      </c>
      <c r="K57" s="254"/>
      <c r="L57" s="113"/>
      <c r="M57" s="113"/>
      <c r="N57" s="122"/>
      <c r="O57" s="256" t="s">
        <v>122</v>
      </c>
      <c r="P57" s="94">
        <f>SUM(P54:P56)</f>
        <v>-152371200.00000006</v>
      </c>
      <c r="Q57" s="272"/>
      <c r="R57" s="113"/>
      <c r="S57" s="113"/>
      <c r="T57" s="122"/>
      <c r="U57" s="256" t="s">
        <v>122</v>
      </c>
      <c r="V57" s="94">
        <f>SUM(V54:V56)</f>
        <v>-624230400</v>
      </c>
      <c r="W57" s="272"/>
      <c r="X57" s="113"/>
      <c r="Y57" s="113"/>
      <c r="Z57" s="122"/>
      <c r="AA57" s="122"/>
      <c r="AB57" s="122"/>
      <c r="AC57" s="122"/>
    </row>
    <row r="58" spans="1:29" ht="13.5" thickBot="1">
      <c r="A58" s="221"/>
      <c r="B58" s="305"/>
      <c r="C58" s="245" t="s">
        <v>13</v>
      </c>
      <c r="D58" s="49">
        <f t="shared" si="9"/>
        <v>-50790400.000000015</v>
      </c>
      <c r="E58" s="50">
        <f t="shared" si="9"/>
        <v>-208076800</v>
      </c>
      <c r="F58" s="116"/>
      <c r="G58" s="113"/>
      <c r="H58" s="113"/>
      <c r="I58" s="122"/>
      <c r="J58" s="122"/>
      <c r="K58" s="122"/>
      <c r="L58" s="122"/>
      <c r="M58" s="122"/>
      <c r="N58" s="122"/>
      <c r="O58" s="122"/>
      <c r="P58" s="122"/>
      <c r="Q58" s="122"/>
      <c r="R58" s="122"/>
      <c r="S58" s="122"/>
      <c r="T58" s="122"/>
      <c r="U58" s="122"/>
      <c r="V58" s="122"/>
      <c r="W58" s="122"/>
      <c r="X58" s="122"/>
      <c r="Y58" s="122"/>
      <c r="Z58" s="122"/>
      <c r="AA58" s="122"/>
      <c r="AB58" s="122"/>
      <c r="AC58" s="122"/>
    </row>
    <row r="59" spans="1:29" ht="13.5" thickBot="1">
      <c r="A59" s="122"/>
      <c r="B59" s="235"/>
      <c r="C59" s="256" t="s">
        <v>122</v>
      </c>
      <c r="D59" s="246">
        <f>SUM(D56:D58)</f>
        <v>-152371200.00000006</v>
      </c>
      <c r="E59" s="232">
        <f>SUM(E56:E58)</f>
        <v>-624230400</v>
      </c>
      <c r="F59" s="122"/>
      <c r="G59" s="113"/>
      <c r="H59" s="126"/>
      <c r="I59" s="122"/>
      <c r="J59" s="122"/>
      <c r="K59" s="122"/>
      <c r="L59" s="122"/>
      <c r="M59" s="122"/>
      <c r="N59" s="122"/>
      <c r="O59" s="122"/>
      <c r="P59" s="122"/>
      <c r="Q59" s="122"/>
      <c r="R59" s="122"/>
      <c r="S59" s="122"/>
      <c r="T59" s="122"/>
      <c r="U59" s="122"/>
      <c r="V59" s="122"/>
      <c r="W59" s="122"/>
      <c r="X59" s="122"/>
      <c r="Y59" s="122"/>
      <c r="Z59" s="122"/>
      <c r="AA59" s="122"/>
      <c r="AB59" s="122"/>
      <c r="AC59" s="122"/>
    </row>
    <row r="60" spans="1:29">
      <c r="A60" s="122"/>
      <c r="B60" s="122"/>
      <c r="C60" s="122"/>
      <c r="D60" s="122"/>
      <c r="E60" s="122"/>
      <c r="F60" s="122"/>
      <c r="G60" s="113"/>
      <c r="H60" s="126"/>
      <c r="I60" s="122"/>
      <c r="J60" s="122"/>
      <c r="K60" s="122"/>
      <c r="L60" s="122"/>
      <c r="M60" s="122"/>
      <c r="N60" s="122"/>
      <c r="O60" s="122"/>
      <c r="P60" s="122"/>
      <c r="Q60" s="122"/>
      <c r="R60" s="122"/>
      <c r="S60" s="122"/>
      <c r="T60" s="122"/>
      <c r="U60" s="122"/>
      <c r="V60" s="122"/>
      <c r="W60" s="122"/>
      <c r="X60" s="122"/>
      <c r="Y60" s="122"/>
      <c r="Z60" s="122"/>
      <c r="AA60" s="122"/>
      <c r="AB60" s="122"/>
      <c r="AC60" s="122"/>
    </row>
    <row r="61" spans="1:29">
      <c r="A61" s="226"/>
      <c r="B61" s="226"/>
      <c r="C61" s="226"/>
      <c r="D61" s="226"/>
      <c r="E61" s="226"/>
      <c r="F61" s="226"/>
      <c r="G61" s="223"/>
      <c r="H61" s="226"/>
      <c r="I61" s="226"/>
      <c r="J61" s="226"/>
      <c r="K61" s="226"/>
      <c r="L61" s="226"/>
      <c r="M61" s="226"/>
      <c r="N61" s="226"/>
      <c r="O61" s="226"/>
      <c r="P61" s="226"/>
      <c r="Q61" s="226"/>
      <c r="R61" s="226"/>
      <c r="S61" s="226"/>
      <c r="T61" s="226"/>
      <c r="U61" s="226"/>
      <c r="V61" s="226"/>
      <c r="W61" s="226"/>
      <c r="X61" s="226"/>
      <c r="Y61" s="226"/>
      <c r="Z61" s="226"/>
      <c r="AA61" s="226"/>
      <c r="AB61" s="122"/>
      <c r="AC61" s="122"/>
    </row>
    <row r="62" spans="1:29">
      <c r="A62" s="122"/>
      <c r="B62" s="122"/>
      <c r="C62" s="122"/>
      <c r="D62" s="122"/>
      <c r="E62" s="122"/>
      <c r="F62" s="122"/>
      <c r="G62" s="113"/>
      <c r="H62" s="126"/>
      <c r="I62" s="122"/>
      <c r="J62" s="122"/>
      <c r="K62" s="122"/>
      <c r="L62" s="122"/>
      <c r="M62" s="122"/>
      <c r="N62" s="122"/>
      <c r="O62" s="122"/>
      <c r="P62" s="122"/>
      <c r="Q62" s="122"/>
      <c r="R62" s="122"/>
      <c r="S62" s="122"/>
      <c r="T62" s="122"/>
      <c r="U62" s="122"/>
      <c r="V62" s="122"/>
      <c r="W62" s="122"/>
      <c r="X62" s="122"/>
      <c r="Y62" s="122"/>
      <c r="Z62" s="122"/>
      <c r="AA62" s="122"/>
      <c r="AB62" s="122"/>
      <c r="AC62" s="122"/>
    </row>
    <row r="63" spans="1:29" ht="13.5" thickBot="1">
      <c r="A63" s="110" t="s">
        <v>91</v>
      </c>
      <c r="B63" s="111"/>
      <c r="C63" s="111"/>
      <c r="D63" s="112"/>
      <c r="E63" s="112"/>
      <c r="F63" s="122"/>
      <c r="G63" s="113"/>
      <c r="H63" s="126"/>
      <c r="I63" s="125" t="s">
        <v>111</v>
      </c>
      <c r="J63" s="125"/>
      <c r="K63" s="125"/>
      <c r="L63" s="125"/>
      <c r="M63" s="125"/>
      <c r="N63" s="122"/>
      <c r="O63" s="288" t="s">
        <v>113</v>
      </c>
      <c r="P63" s="288"/>
      <c r="Q63" s="125"/>
      <c r="R63" s="125"/>
      <c r="S63" s="125"/>
      <c r="T63" s="122"/>
      <c r="U63" s="125" t="s">
        <v>114</v>
      </c>
      <c r="V63" s="125"/>
      <c r="W63" s="125"/>
      <c r="X63" s="125"/>
      <c r="Y63" s="125"/>
      <c r="Z63" s="122"/>
      <c r="AA63" s="122"/>
      <c r="AB63" s="122"/>
      <c r="AC63" s="122"/>
    </row>
    <row r="64" spans="1:29" ht="13.5" thickBot="1">
      <c r="A64" s="112"/>
      <c r="B64" s="112"/>
      <c r="C64" s="217"/>
      <c r="D64" s="257" t="s">
        <v>72</v>
      </c>
      <c r="E64" s="101" t="s">
        <v>73</v>
      </c>
      <c r="F64" s="229" t="s">
        <v>26</v>
      </c>
      <c r="G64" s="230" t="s">
        <v>122</v>
      </c>
      <c r="H64" s="126"/>
      <c r="I64" s="269" t="s">
        <v>28</v>
      </c>
      <c r="J64" s="104">
        <f>D65-E65</f>
        <v>-16720000</v>
      </c>
      <c r="K64" s="268" t="s">
        <v>76</v>
      </c>
      <c r="L64" s="266"/>
      <c r="M64" s="259">
        <f>(J64/3)+(J65/2)+J66</f>
        <v>-27633833.333333332</v>
      </c>
      <c r="N64" s="122"/>
      <c r="O64" s="269" t="s">
        <v>28</v>
      </c>
      <c r="P64" s="104">
        <f>D65-E68</f>
        <v>-1630479610.8595543</v>
      </c>
      <c r="Q64" s="268" t="s">
        <v>76</v>
      </c>
      <c r="R64" s="266"/>
      <c r="S64" s="259">
        <f>(P64/3)+(P65/2)+P66</f>
        <v>-1632697097.1475656</v>
      </c>
      <c r="T64" s="122"/>
      <c r="U64" s="269" t="s">
        <v>28</v>
      </c>
      <c r="V64" s="104">
        <f>D65-D68</f>
        <v>-489642761.73411083</v>
      </c>
      <c r="W64" s="268" t="s">
        <v>76</v>
      </c>
      <c r="X64" s="266"/>
      <c r="Y64" s="259">
        <f>(V64/3)+(V65/2)+V66</f>
        <v>-460944991.24455154</v>
      </c>
      <c r="Z64" s="122"/>
      <c r="AA64" s="122"/>
      <c r="AB64" s="122"/>
      <c r="AC64" s="122"/>
    </row>
    <row r="65" spans="1:29" ht="13.5" thickBot="1">
      <c r="A65" s="300" t="s">
        <v>2</v>
      </c>
      <c r="B65" s="294">
        <f>C2</f>
        <v>1</v>
      </c>
      <c r="C65" s="243" t="s">
        <v>28</v>
      </c>
      <c r="D65" s="238">
        <f t="shared" ref="D65:E70" si="10">D33+D49</f>
        <v>3991492438.5573244</v>
      </c>
      <c r="E65" s="102">
        <f t="shared" si="10"/>
        <v>4008212438.5573244</v>
      </c>
      <c r="F65" s="104">
        <f t="shared" ref="F65:F70" si="11">E65-D65</f>
        <v>16720000</v>
      </c>
      <c r="G65" s="309">
        <f>SUM(F65:F67)</f>
        <v>53487500</v>
      </c>
      <c r="H65" s="126"/>
      <c r="I65" s="270" t="s">
        <v>12</v>
      </c>
      <c r="J65" s="104">
        <f>D66-E66</f>
        <v>-29414000</v>
      </c>
      <c r="K65" s="261" t="s">
        <v>77</v>
      </c>
      <c r="L65" s="90"/>
      <c r="M65" s="219">
        <f>(J64/3)+(J65/1.5)+J66</f>
        <v>-32536166.666666664</v>
      </c>
      <c r="N65" s="122"/>
      <c r="O65" s="270" t="s">
        <v>12</v>
      </c>
      <c r="P65" s="104">
        <f>D66-E69</f>
        <v>-1108033444.343822</v>
      </c>
      <c r="Q65" s="261" t="s">
        <v>77</v>
      </c>
      <c r="R65" s="90"/>
      <c r="S65" s="219">
        <f>(P64/3)+(P65/1.5)+P66</f>
        <v>-1817369337.871536</v>
      </c>
      <c r="T65" s="122"/>
      <c r="U65" s="270" t="s">
        <v>12</v>
      </c>
      <c r="V65" s="104">
        <f>D66-D69</f>
        <v>-298559904.69364452</v>
      </c>
      <c r="W65" s="261" t="s">
        <v>77</v>
      </c>
      <c r="X65" s="90"/>
      <c r="Y65" s="219">
        <f>(V64/3)+(V65/1.5)+V66</f>
        <v>-510704975.36015892</v>
      </c>
      <c r="Z65" s="122"/>
      <c r="AA65" s="122"/>
      <c r="AB65" s="122"/>
      <c r="AC65" s="122"/>
    </row>
    <row r="66" spans="1:29" ht="15" customHeight="1" thickBot="1">
      <c r="A66" s="301"/>
      <c r="B66" s="295"/>
      <c r="C66" s="244" t="s">
        <v>12</v>
      </c>
      <c r="D66" s="238">
        <f t="shared" si="10"/>
        <v>1615331614.5876441</v>
      </c>
      <c r="E66" s="102">
        <f t="shared" si="10"/>
        <v>1644745614.5876441</v>
      </c>
      <c r="F66" s="52">
        <f t="shared" si="11"/>
        <v>29414000</v>
      </c>
      <c r="G66" s="310"/>
      <c r="H66" s="126"/>
      <c r="I66" s="271" t="s">
        <v>13</v>
      </c>
      <c r="J66" s="104">
        <f>D67-E67</f>
        <v>-7353500</v>
      </c>
      <c r="K66" s="262" t="s">
        <v>78</v>
      </c>
      <c r="L66" s="93"/>
      <c r="M66" s="220">
        <f>(J64/3)+J65+J66</f>
        <v>-42340833.333333336</v>
      </c>
      <c r="N66" s="122"/>
      <c r="O66" s="271" t="s">
        <v>13</v>
      </c>
      <c r="P66" s="104">
        <f>D67-E70</f>
        <v>-535187171.35580331</v>
      </c>
      <c r="Q66" s="262" t="s">
        <v>78</v>
      </c>
      <c r="R66" s="93"/>
      <c r="S66" s="220">
        <f>(P64/3)+P65+P66</f>
        <v>-2186713819.3194771</v>
      </c>
      <c r="T66" s="122"/>
      <c r="U66" s="271" t="s">
        <v>13</v>
      </c>
      <c r="V66" s="104">
        <f t="shared" ref="V66" si="12">D67-D70</f>
        <v>-148450784.986359</v>
      </c>
      <c r="W66" s="262" t="s">
        <v>78</v>
      </c>
      <c r="X66" s="93"/>
      <c r="Y66" s="220">
        <f>(V64/3)+V65+V66</f>
        <v>-610224943.5913738</v>
      </c>
      <c r="Z66" s="122"/>
      <c r="AA66" s="122"/>
      <c r="AB66" s="122"/>
      <c r="AC66" s="122"/>
    </row>
    <row r="67" spans="1:29" ht="15.75" customHeight="1" thickBot="1">
      <c r="A67" s="302"/>
      <c r="B67" s="296"/>
      <c r="C67" s="245" t="s">
        <v>13</v>
      </c>
      <c r="D67" s="239">
        <f t="shared" si="10"/>
        <v>106548860.53405087</v>
      </c>
      <c r="E67" s="103">
        <f t="shared" si="10"/>
        <v>113902360.53405087</v>
      </c>
      <c r="F67" s="53">
        <f t="shared" si="11"/>
        <v>7353500</v>
      </c>
      <c r="G67" s="311"/>
      <c r="H67" s="126"/>
      <c r="I67" s="250" t="s">
        <v>79</v>
      </c>
      <c r="J67" s="99">
        <f>SUM(J64:J66)</f>
        <v>-53487500</v>
      </c>
      <c r="K67" s="122"/>
      <c r="L67" s="122"/>
      <c r="M67" s="122"/>
      <c r="N67" s="122"/>
      <c r="O67" s="256" t="s">
        <v>122</v>
      </c>
      <c r="P67" s="99">
        <f>SUM(P64:P66)</f>
        <v>-3273700226.5591798</v>
      </c>
      <c r="Q67" s="122"/>
      <c r="R67" s="122"/>
      <c r="S67" s="122"/>
      <c r="T67" s="122"/>
      <c r="U67" s="256" t="s">
        <v>122</v>
      </c>
      <c r="V67" s="99">
        <f>SUM(V64:V66)</f>
        <v>-936653451.41411436</v>
      </c>
      <c r="W67" s="122"/>
      <c r="X67" s="122"/>
      <c r="Y67" s="122"/>
      <c r="Z67" s="122"/>
      <c r="AA67" s="122"/>
      <c r="AB67" s="122"/>
      <c r="AC67" s="122"/>
    </row>
    <row r="68" spans="1:29">
      <c r="A68" s="297" t="s">
        <v>3</v>
      </c>
      <c r="B68" s="294">
        <f>C4</f>
        <v>15</v>
      </c>
      <c r="C68" s="243" t="s">
        <v>28</v>
      </c>
      <c r="D68" s="240">
        <f t="shared" si="10"/>
        <v>4481135200.2914352</v>
      </c>
      <c r="E68" s="155">
        <f t="shared" si="10"/>
        <v>5621972049.4168787</v>
      </c>
      <c r="F68" s="100">
        <f t="shared" si="11"/>
        <v>1140836849.1254435</v>
      </c>
      <c r="G68" s="309">
        <f>SUM(F68:F70)</f>
        <v>2337046775.1450653</v>
      </c>
      <c r="H68" s="126"/>
      <c r="I68" s="122"/>
      <c r="J68" s="122"/>
      <c r="K68" s="122"/>
      <c r="L68" s="122"/>
      <c r="M68" s="122"/>
      <c r="N68" s="122"/>
      <c r="O68" s="122"/>
      <c r="P68" s="122"/>
      <c r="Q68" s="122"/>
      <c r="R68" s="122"/>
      <c r="S68" s="122"/>
      <c r="T68" s="122"/>
      <c r="U68" s="122"/>
      <c r="V68" s="122"/>
      <c r="W68" s="122"/>
      <c r="X68" s="122"/>
      <c r="Y68" s="122"/>
      <c r="Z68" s="122"/>
      <c r="AA68" s="122"/>
      <c r="AB68" s="122"/>
      <c r="AC68" s="122"/>
    </row>
    <row r="69" spans="1:29" ht="15.75" customHeight="1" thickBot="1">
      <c r="A69" s="298"/>
      <c r="B69" s="295"/>
      <c r="C69" s="244" t="s">
        <v>12</v>
      </c>
      <c r="D69" s="241">
        <f t="shared" si="10"/>
        <v>1913891519.2812886</v>
      </c>
      <c r="E69" s="156">
        <f t="shared" si="10"/>
        <v>2723365058.9314661</v>
      </c>
      <c r="F69" s="52">
        <f t="shared" si="11"/>
        <v>809473539.65017748</v>
      </c>
      <c r="G69" s="310"/>
      <c r="H69" s="126"/>
      <c r="I69" s="125" t="s">
        <v>112</v>
      </c>
      <c r="J69" s="125"/>
      <c r="K69" s="112"/>
      <c r="L69" s="112"/>
      <c r="M69" s="112"/>
      <c r="N69" s="113"/>
      <c r="O69" s="286" t="s">
        <v>123</v>
      </c>
      <c r="P69" s="287"/>
      <c r="Q69" s="113"/>
      <c r="R69" s="113"/>
      <c r="S69" s="113"/>
      <c r="T69" s="122"/>
      <c r="U69" s="122" t="s">
        <v>115</v>
      </c>
      <c r="V69" s="113"/>
      <c r="W69" s="113"/>
      <c r="X69" s="113"/>
      <c r="Y69" s="113"/>
      <c r="Z69" s="122"/>
      <c r="AA69" s="122"/>
      <c r="AB69" s="122"/>
      <c r="AC69" s="122"/>
    </row>
    <row r="70" spans="1:29" ht="15.75" customHeight="1" thickBot="1">
      <c r="A70" s="299"/>
      <c r="B70" s="296"/>
      <c r="C70" s="245" t="s">
        <v>13</v>
      </c>
      <c r="D70" s="241">
        <f t="shared" si="10"/>
        <v>254999645.52040988</v>
      </c>
      <c r="E70" s="156">
        <f t="shared" si="10"/>
        <v>641736031.88985419</v>
      </c>
      <c r="F70" s="53">
        <f t="shared" si="11"/>
        <v>386736386.36944431</v>
      </c>
      <c r="G70" s="311"/>
      <c r="H70" s="126"/>
      <c r="I70" s="247" t="s">
        <v>28</v>
      </c>
      <c r="J70" s="100">
        <f>D68-E68</f>
        <v>-1140836849.1254435</v>
      </c>
      <c r="K70" s="260" t="s">
        <v>76</v>
      </c>
      <c r="L70" s="95"/>
      <c r="M70" s="92">
        <f>(J70/3)+(J71/2)+J72</f>
        <v>-1171752105.9030142</v>
      </c>
      <c r="N70" s="122"/>
      <c r="O70" s="247" t="s">
        <v>28</v>
      </c>
      <c r="P70" s="104">
        <f>E65-D68</f>
        <v>-472922761.73411083</v>
      </c>
      <c r="Q70" s="268" t="s">
        <v>76</v>
      </c>
      <c r="R70" s="266"/>
      <c r="S70" s="259">
        <f>(P70/3)+(P71/2)+P72</f>
        <v>-433311157.91121817</v>
      </c>
      <c r="T70" s="122"/>
      <c r="U70" s="247" t="s">
        <v>28</v>
      </c>
      <c r="V70" s="104">
        <f>E65-E68</f>
        <v>-1613759610.8595543</v>
      </c>
      <c r="W70" s="268" t="s">
        <v>76</v>
      </c>
      <c r="X70" s="266"/>
      <c r="Y70" s="259">
        <f>(V70/3)+(V71/2)+V72</f>
        <v>-1605063263.8142323</v>
      </c>
      <c r="Z70" s="122"/>
      <c r="AA70" s="122"/>
      <c r="AB70" s="122"/>
      <c r="AC70" s="122"/>
    </row>
    <row r="71" spans="1:29" ht="13.5" thickBot="1">
      <c r="A71" s="111"/>
      <c r="B71" s="83"/>
      <c r="C71" s="83"/>
      <c r="D71" s="83"/>
      <c r="E71" s="83"/>
      <c r="F71" s="126"/>
      <c r="G71" s="113"/>
      <c r="H71" s="113"/>
      <c r="I71" s="248" t="s">
        <v>12</v>
      </c>
      <c r="J71" s="100">
        <f t="shared" ref="J71:J72" si="13">D69-E69</f>
        <v>-809473539.65017748</v>
      </c>
      <c r="K71" s="261" t="s">
        <v>77</v>
      </c>
      <c r="L71" s="90"/>
      <c r="M71" s="89">
        <f>(J70/3)+(J71/1.5)+J72</f>
        <v>-1306664362.5113771</v>
      </c>
      <c r="N71" s="122"/>
      <c r="O71" s="248" t="s">
        <v>12</v>
      </c>
      <c r="P71" s="104">
        <f>E66-D69</f>
        <v>-269145904.69364452</v>
      </c>
      <c r="Q71" s="261" t="s">
        <v>77</v>
      </c>
      <c r="R71" s="90"/>
      <c r="S71" s="219">
        <f>(P70/3)+(P71/1.5)+P72</f>
        <v>-478168808.69349229</v>
      </c>
      <c r="T71" s="122"/>
      <c r="U71" s="248" t="s">
        <v>12</v>
      </c>
      <c r="V71" s="104">
        <f>E66-E69</f>
        <v>-1078619444.343822</v>
      </c>
      <c r="W71" s="261" t="s">
        <v>77</v>
      </c>
      <c r="X71" s="90"/>
      <c r="Y71" s="219">
        <f>(V70/3)+(V71/1.5)+V72</f>
        <v>-1784833171.2048695</v>
      </c>
      <c r="Z71" s="122"/>
      <c r="AA71" s="122"/>
      <c r="AB71" s="122"/>
      <c r="AC71" s="122"/>
    </row>
    <row r="72" spans="1:29" ht="15" customHeight="1" thickBot="1">
      <c r="A72" s="221"/>
      <c r="B72" s="294" t="s">
        <v>26</v>
      </c>
      <c r="C72" s="51" t="s">
        <v>28</v>
      </c>
      <c r="D72" s="216">
        <f t="shared" ref="D72:E74" si="14">D65-D68</f>
        <v>-489642761.73411083</v>
      </c>
      <c r="E72" s="231">
        <f t="shared" si="14"/>
        <v>-1613759610.8595543</v>
      </c>
      <c r="F72" s="114"/>
      <c r="G72" s="113"/>
      <c r="H72" s="113"/>
      <c r="I72" s="249" t="s">
        <v>13</v>
      </c>
      <c r="J72" s="100">
        <f t="shared" si="13"/>
        <v>-386736386.36944431</v>
      </c>
      <c r="K72" s="262" t="s">
        <v>78</v>
      </c>
      <c r="L72" s="93"/>
      <c r="M72" s="91">
        <f>(J70/3)+J71+J72</f>
        <v>-1576488875.7281029</v>
      </c>
      <c r="N72" s="122"/>
      <c r="O72" s="249" t="s">
        <v>13</v>
      </c>
      <c r="P72" s="104">
        <f>E67-D70</f>
        <v>-141097284.986359</v>
      </c>
      <c r="Q72" s="262" t="s">
        <v>78</v>
      </c>
      <c r="R72" s="93"/>
      <c r="S72" s="220">
        <f>(P70/3)+P71+P72</f>
        <v>-567884110.25804043</v>
      </c>
      <c r="T72" s="122"/>
      <c r="U72" s="249" t="s">
        <v>13</v>
      </c>
      <c r="V72" s="104">
        <f>E67-E70</f>
        <v>-527833671.35580331</v>
      </c>
      <c r="W72" s="262" t="s">
        <v>78</v>
      </c>
      <c r="X72" s="93"/>
      <c r="Y72" s="220">
        <f>(V70/3)+V71+V72</f>
        <v>-2144372985.9861434</v>
      </c>
      <c r="Z72" s="122"/>
      <c r="AA72" s="122"/>
      <c r="AB72" s="122"/>
      <c r="AC72" s="122"/>
    </row>
    <row r="73" spans="1:29" ht="15.75" customHeight="1" thickBot="1">
      <c r="A73" s="221"/>
      <c r="B73" s="295"/>
      <c r="C73" s="244" t="s">
        <v>12</v>
      </c>
      <c r="D73" s="44">
        <f t="shared" si="14"/>
        <v>-298559904.69364452</v>
      </c>
      <c r="E73" s="45">
        <f t="shared" si="14"/>
        <v>-1078619444.343822</v>
      </c>
      <c r="F73" s="126"/>
      <c r="G73" s="113"/>
      <c r="H73" s="113"/>
      <c r="I73" s="256" t="s">
        <v>122</v>
      </c>
      <c r="J73" s="263">
        <f>SUM(J70:J72)</f>
        <v>-2337046775.1450653</v>
      </c>
      <c r="K73" s="254"/>
      <c r="L73" s="113"/>
      <c r="M73" s="113"/>
      <c r="N73" s="122"/>
      <c r="O73" s="256" t="s">
        <v>122</v>
      </c>
      <c r="P73" s="263">
        <f>SUM(P70:P72)</f>
        <v>-883165951.41411436</v>
      </c>
      <c r="Q73" s="254"/>
      <c r="R73" s="113"/>
      <c r="S73" s="113"/>
      <c r="T73" s="122"/>
      <c r="U73" s="256" t="s">
        <v>122</v>
      </c>
      <c r="V73" s="263">
        <f>SUM(V70:V72)</f>
        <v>-3220212726.5591798</v>
      </c>
      <c r="W73" s="254"/>
      <c r="X73" s="113"/>
      <c r="Y73" s="113"/>
      <c r="Z73" s="122"/>
      <c r="AA73" s="122"/>
      <c r="AB73" s="122"/>
      <c r="AC73" s="122"/>
    </row>
    <row r="74" spans="1:29" ht="13.5" thickBot="1">
      <c r="A74" s="221"/>
      <c r="B74" s="296"/>
      <c r="C74" s="245" t="s">
        <v>13</v>
      </c>
      <c r="D74" s="49">
        <f t="shared" si="14"/>
        <v>-148450784.986359</v>
      </c>
      <c r="E74" s="50">
        <f t="shared" si="14"/>
        <v>-527833671.35580331</v>
      </c>
      <c r="F74" s="116"/>
      <c r="G74" s="113"/>
      <c r="H74" s="113"/>
      <c r="I74" s="122"/>
      <c r="J74" s="122"/>
      <c r="K74" s="122"/>
      <c r="L74" s="122"/>
      <c r="M74" s="122"/>
      <c r="N74" s="122"/>
      <c r="O74" s="122"/>
      <c r="P74" s="122"/>
      <c r="Q74" s="122"/>
      <c r="R74" s="122"/>
      <c r="S74" s="122"/>
      <c r="T74" s="122"/>
      <c r="U74" s="122"/>
      <c r="V74" s="122"/>
      <c r="W74" s="122"/>
      <c r="X74" s="122"/>
      <c r="Y74" s="122"/>
      <c r="Z74" s="122"/>
      <c r="AA74" s="122"/>
      <c r="AB74" s="122"/>
      <c r="AC74" s="122"/>
    </row>
    <row r="75" spans="1:29" ht="13.5" thickBot="1">
      <c r="A75" s="122"/>
      <c r="B75" s="122"/>
      <c r="C75" s="256" t="s">
        <v>122</v>
      </c>
      <c r="D75" s="255">
        <f>SUM(D72:D74)</f>
        <v>-936653451.41411436</v>
      </c>
      <c r="E75" s="258">
        <f>SUM(E72:E74)</f>
        <v>-3220212726.5591798</v>
      </c>
      <c r="F75" s="122"/>
      <c r="G75" s="111"/>
      <c r="H75" s="122"/>
      <c r="I75" s="122"/>
      <c r="J75" s="122"/>
      <c r="K75" s="122"/>
      <c r="L75" s="122"/>
      <c r="M75" s="122"/>
      <c r="N75" s="122"/>
      <c r="O75" s="122"/>
      <c r="P75" s="122"/>
      <c r="Q75" s="122"/>
      <c r="R75" s="122"/>
      <c r="S75" s="122"/>
      <c r="T75" s="122"/>
      <c r="U75" s="122"/>
      <c r="V75" s="122"/>
      <c r="W75" s="122"/>
      <c r="X75" s="122"/>
      <c r="Y75" s="122"/>
      <c r="Z75" s="122"/>
      <c r="AA75" s="122"/>
      <c r="AB75" s="122"/>
      <c r="AC75" s="122"/>
    </row>
    <row r="76" spans="1:29">
      <c r="A76" s="122"/>
      <c r="B76" s="122"/>
      <c r="C76" s="122"/>
      <c r="D76" s="122"/>
      <c r="E76" s="122"/>
      <c r="F76" s="122"/>
      <c r="G76" s="111"/>
      <c r="H76" s="122"/>
      <c r="I76" s="122"/>
      <c r="J76" s="122"/>
      <c r="K76" s="122"/>
      <c r="L76" s="122"/>
      <c r="M76" s="122"/>
      <c r="N76" s="122"/>
      <c r="O76" s="122"/>
      <c r="P76" s="122"/>
      <c r="Q76" s="122"/>
      <c r="R76" s="122"/>
      <c r="S76" s="122"/>
      <c r="T76" s="122"/>
      <c r="U76" s="122"/>
      <c r="V76" s="122"/>
      <c r="W76" s="122"/>
      <c r="X76" s="122"/>
      <c r="Y76" s="122"/>
      <c r="Z76" s="122"/>
      <c r="AA76" s="122"/>
      <c r="AB76" s="122"/>
      <c r="AC76" s="122"/>
    </row>
    <row r="77" spans="1:29">
      <c r="A77" s="122"/>
      <c r="B77" s="122"/>
      <c r="C77" s="122"/>
      <c r="D77" s="122"/>
      <c r="E77" s="122"/>
      <c r="F77" s="122"/>
      <c r="G77" s="111"/>
      <c r="H77" s="122"/>
      <c r="I77" s="122"/>
      <c r="J77" s="122"/>
      <c r="K77" s="122"/>
      <c r="L77" s="122"/>
      <c r="M77" s="122"/>
      <c r="N77" s="122"/>
      <c r="O77" s="122"/>
      <c r="P77" s="122"/>
      <c r="Q77" s="122"/>
      <c r="R77" s="122"/>
      <c r="S77" s="122"/>
      <c r="T77" s="122"/>
      <c r="U77" s="122"/>
      <c r="V77" s="122"/>
      <c r="W77" s="122"/>
      <c r="X77" s="122"/>
      <c r="Y77" s="122"/>
      <c r="Z77" s="122"/>
      <c r="AA77" s="122"/>
      <c r="AB77" s="122"/>
      <c r="AC77" s="122"/>
    </row>
    <row r="78" spans="1:29">
      <c r="A78" s="122"/>
      <c r="B78" s="122"/>
      <c r="C78" s="122"/>
      <c r="D78" s="122"/>
      <c r="E78" s="122"/>
      <c r="F78" s="122"/>
      <c r="G78" s="111"/>
      <c r="H78" s="122"/>
      <c r="I78" s="122"/>
      <c r="J78" s="122"/>
      <c r="K78" s="122"/>
      <c r="L78" s="122"/>
      <c r="M78" s="122"/>
      <c r="N78" s="122"/>
      <c r="O78" s="122"/>
      <c r="P78" s="122"/>
      <c r="Q78" s="122"/>
      <c r="R78" s="122"/>
      <c r="S78" s="122"/>
      <c r="T78" s="122"/>
      <c r="U78" s="122"/>
      <c r="V78" s="122"/>
      <c r="W78" s="122"/>
      <c r="X78" s="122"/>
      <c r="Y78" s="122"/>
      <c r="Z78" s="122"/>
      <c r="AA78" s="122"/>
      <c r="AB78" s="122"/>
      <c r="AC78" s="122"/>
    </row>
    <row r="79" spans="1:29">
      <c r="A79" s="122"/>
      <c r="B79" s="122"/>
      <c r="C79" s="122"/>
      <c r="D79" s="122"/>
      <c r="E79" s="122"/>
      <c r="F79" s="122"/>
      <c r="G79" s="111"/>
      <c r="H79" s="122"/>
      <c r="I79" s="122"/>
      <c r="J79" s="122"/>
      <c r="K79" s="122"/>
      <c r="L79" s="122"/>
      <c r="M79" s="122"/>
      <c r="N79" s="122"/>
      <c r="O79" s="122"/>
      <c r="P79" s="122"/>
      <c r="Q79" s="122"/>
      <c r="R79" s="122"/>
      <c r="S79" s="122"/>
      <c r="T79" s="122"/>
      <c r="U79" s="122"/>
      <c r="V79" s="122"/>
      <c r="W79" s="122"/>
      <c r="X79" s="122"/>
      <c r="Y79" s="122"/>
      <c r="Z79" s="122"/>
      <c r="AA79" s="122"/>
      <c r="AB79" s="122"/>
      <c r="AC79" s="122"/>
    </row>
    <row r="80" spans="1:29">
      <c r="A80" s="122"/>
      <c r="B80" s="122"/>
      <c r="C80" s="122"/>
      <c r="D80" s="122"/>
      <c r="E80" s="122"/>
      <c r="F80" s="122"/>
      <c r="G80" s="111"/>
      <c r="H80" s="122"/>
      <c r="I80" s="122"/>
      <c r="J80" s="122"/>
      <c r="K80" s="122"/>
      <c r="L80" s="122"/>
      <c r="M80" s="122"/>
      <c r="N80" s="122"/>
      <c r="O80" s="122"/>
      <c r="P80" s="122"/>
      <c r="Q80" s="122"/>
      <c r="R80" s="122"/>
      <c r="S80" s="122"/>
      <c r="T80" s="122"/>
      <c r="U80" s="122"/>
      <c r="V80" s="122"/>
      <c r="W80" s="122"/>
      <c r="X80" s="122"/>
      <c r="Y80" s="122"/>
      <c r="Z80" s="122"/>
      <c r="AA80" s="122"/>
      <c r="AB80" s="122"/>
      <c r="AC80" s="122"/>
    </row>
    <row r="81" spans="16:29">
      <c r="V81" s="122"/>
      <c r="W81" s="122"/>
      <c r="X81" s="122"/>
      <c r="Y81" s="122"/>
      <c r="Z81" s="122"/>
      <c r="AA81" s="122"/>
      <c r="AB81" s="122"/>
      <c r="AC81" s="122"/>
    </row>
    <row r="84" spans="16:29">
      <c r="P84" s="227"/>
    </row>
  </sheetData>
  <mergeCells count="32">
    <mergeCell ref="G52:G54"/>
    <mergeCell ref="G65:G67"/>
    <mergeCell ref="G68:G70"/>
    <mergeCell ref="G17:G19"/>
    <mergeCell ref="G20:G22"/>
    <mergeCell ref="G33:G35"/>
    <mergeCell ref="G36:G38"/>
    <mergeCell ref="G49:G51"/>
    <mergeCell ref="B72:B74"/>
    <mergeCell ref="A2:A3"/>
    <mergeCell ref="A4:A5"/>
    <mergeCell ref="A17:A19"/>
    <mergeCell ref="A20:A22"/>
    <mergeCell ref="B24:B26"/>
    <mergeCell ref="A9:A10"/>
    <mergeCell ref="A11:A12"/>
    <mergeCell ref="B33:B35"/>
    <mergeCell ref="B36:B38"/>
    <mergeCell ref="B17:B19"/>
    <mergeCell ref="B20:B22"/>
    <mergeCell ref="A33:A35"/>
    <mergeCell ref="A36:A38"/>
    <mergeCell ref="B56:B58"/>
    <mergeCell ref="A65:A67"/>
    <mergeCell ref="B65:B67"/>
    <mergeCell ref="A68:A70"/>
    <mergeCell ref="B68:B70"/>
    <mergeCell ref="B40:B42"/>
    <mergeCell ref="A49:A51"/>
    <mergeCell ref="B49:B51"/>
    <mergeCell ref="A52:A54"/>
    <mergeCell ref="B52:B54"/>
  </mergeCells>
  <conditionalFormatting sqref="Q2:Q6 U2:U6 W7:W13 S7:S12">
    <cfRule type="containsText" dxfId="3" priority="3" operator="containsText" text="NON">
      <formula>NOT(ISERROR(SEARCH("NON",Q2)))</formula>
    </cfRule>
    <cfRule type="containsText" dxfId="2" priority="4" operator="containsText" text="OUI">
      <formula>NOT(ISERROR(SEARCH("OUI",Q2)))</formula>
    </cfRule>
  </conditionalFormatting>
  <conditionalFormatting sqref="U7:U12 S2:S6">
    <cfRule type="containsText" dxfId="1" priority="1" operator="containsText" text="Non">
      <formula>NOT(ISERROR(SEARCH("Non",S2)))</formula>
    </cfRule>
    <cfRule type="containsText" dxfId="0" priority="2" operator="containsText" text="Oui">
      <formula>NOT(ISERROR(SEARCH("Oui",S2)))</formula>
    </cfRule>
  </conditionalFormatting>
  <dataValidations count="5">
    <dataValidation type="list" allowBlank="1" showInputMessage="1" showErrorMessage="1" sqref="H9:J12">
      <formula1>"0,10,20,30,40"</formula1>
    </dataValidation>
    <dataValidation type="list" allowBlank="1" showInputMessage="1" showErrorMessage="1" sqref="K9:K12">
      <formula1>"0,20,40,60,80"</formula1>
    </dataValidation>
    <dataValidation type="list" allowBlank="1" showInputMessage="1" showErrorMessage="1" sqref="D9:D12 O7 O11:O12">
      <formula1>"1,2,3,4,5,6,7"</formula1>
    </dataValidation>
    <dataValidation type="list" allowBlank="1" showInputMessage="1" showErrorMessage="1" sqref="C9:C12 N7 N11:N13">
      <formula1>"Collecteur,Autre"</formula1>
    </dataValidation>
    <dataValidation type="list" allowBlank="1" showInputMessage="1" showErrorMessage="1" sqref="E9:G12">
      <formula1>"Oui,Non"</formula1>
    </dataValidation>
  </dataValidation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dimension ref="A1:Z54"/>
  <sheetViews>
    <sheetView topLeftCell="D1" zoomScale="80" zoomScaleNormal="80" workbookViewId="0">
      <selection activeCell="V38" sqref="V37:V38"/>
    </sheetView>
  </sheetViews>
  <sheetFormatPr baseColWidth="10" defaultRowHeight="15"/>
  <cols>
    <col min="1" max="1" width="14.28515625" style="2" customWidth="1"/>
    <col min="2" max="2" width="16.7109375" style="2" customWidth="1"/>
    <col min="3" max="3" width="16.28515625" style="2" bestFit="1" customWidth="1"/>
    <col min="4" max="4" width="16" style="2" customWidth="1"/>
    <col min="5" max="5" width="17" style="2" customWidth="1"/>
    <col min="6" max="6" width="15" style="2" customWidth="1"/>
    <col min="7" max="7" width="15.28515625" style="2" customWidth="1"/>
    <col min="8" max="8" width="15" style="2" customWidth="1"/>
    <col min="9" max="9" width="11.42578125" style="2"/>
    <col min="10" max="10" width="15.85546875" style="2" customWidth="1"/>
    <col min="11" max="11" width="16.140625" style="2" customWidth="1"/>
    <col min="12" max="12" width="19.85546875" style="2" customWidth="1"/>
    <col min="13" max="13" width="16.28515625" style="2" customWidth="1"/>
    <col min="14" max="14" width="16.42578125" style="2" customWidth="1"/>
    <col min="15" max="15" width="17" style="2" customWidth="1"/>
    <col min="16" max="16" width="16.85546875" style="2" customWidth="1"/>
    <col min="17" max="17" width="14.140625" style="2" customWidth="1"/>
    <col min="18" max="16384" width="11.42578125" style="2"/>
  </cols>
  <sheetData>
    <row r="1" spans="1:26" ht="15.75" thickBot="1"/>
    <row r="2" spans="1:26" ht="15.75" thickBot="1">
      <c r="D2" s="30" t="s">
        <v>74</v>
      </c>
      <c r="M2" s="30" t="s">
        <v>74</v>
      </c>
    </row>
    <row r="3" spans="1:26" ht="30.75" thickBot="1">
      <c r="A3" s="321" t="s">
        <v>2</v>
      </c>
      <c r="B3" s="27" t="s">
        <v>19</v>
      </c>
      <c r="C3" s="36" t="s">
        <v>14</v>
      </c>
      <c r="D3" s="36">
        <f>'Options calculs'!C2</f>
        <v>1</v>
      </c>
      <c r="E3" s="10"/>
      <c r="J3" s="318" t="s">
        <v>3</v>
      </c>
      <c r="K3" s="27" t="s">
        <v>19</v>
      </c>
      <c r="L3" s="18" t="s">
        <v>14</v>
      </c>
      <c r="M3" s="18">
        <f>'Options calculs'!C4</f>
        <v>15</v>
      </c>
      <c r="N3" s="11"/>
    </row>
    <row r="4" spans="1:26" ht="15.75" thickBot="1">
      <c r="A4" s="322"/>
      <c r="B4" s="16" t="s">
        <v>20</v>
      </c>
      <c r="C4" s="35"/>
      <c r="D4" s="40">
        <f>LOOKUP(D3,S10:S25,W10:W25)</f>
        <v>65.833333333333329</v>
      </c>
      <c r="E4" s="10"/>
      <c r="J4" s="319"/>
      <c r="K4" s="16" t="s">
        <v>20</v>
      </c>
      <c r="L4" s="19"/>
      <c r="M4" s="16">
        <f>LOOKUP(M3,S10:S25,W10:W25)</f>
        <v>8.3333333333333339</v>
      </c>
      <c r="N4" s="11"/>
    </row>
    <row r="5" spans="1:26" ht="15.75" thickBot="1">
      <c r="A5" s="322"/>
      <c r="B5" s="16" t="s">
        <v>21</v>
      </c>
      <c r="C5" s="40">
        <f>C20</f>
        <v>0</v>
      </c>
      <c r="D5" s="40">
        <f>(30*C5*(1.05+'Options calculs'!I2*0.01)^C5)</f>
        <v>0</v>
      </c>
      <c r="E5" s="10"/>
      <c r="J5" s="319"/>
      <c r="K5" s="16" t="s">
        <v>21</v>
      </c>
      <c r="L5" s="16">
        <f>L20</f>
        <v>18</v>
      </c>
      <c r="M5" s="16">
        <f>(30*L5*(1.05+'Options calculs'!I4*0.01)^L5)</f>
        <v>19358.455833269596</v>
      </c>
      <c r="N5" s="11"/>
    </row>
    <row r="6" spans="1:26" ht="16.5" customHeight="1" thickBot="1">
      <c r="A6" s="323"/>
      <c r="B6" s="16" t="s">
        <v>22</v>
      </c>
      <c r="C6" s="40">
        <f>C21</f>
        <v>20</v>
      </c>
      <c r="D6" s="40">
        <f>(20*C6*1.1^C6)</f>
        <v>2690.9999797302435</v>
      </c>
      <c r="E6" s="10"/>
      <c r="J6" s="320"/>
      <c r="K6" s="16" t="s">
        <v>22</v>
      </c>
      <c r="L6" s="16">
        <f>L21</f>
        <v>21</v>
      </c>
      <c r="M6" s="16">
        <f>(20*L6*1.1^L6)</f>
        <v>3108.1049765884318</v>
      </c>
      <c r="N6" s="11"/>
    </row>
    <row r="7" spans="1:26" ht="16.5" customHeight="1">
      <c r="A7" s="11"/>
      <c r="B7" s="25"/>
      <c r="C7" s="25"/>
      <c r="D7" s="25"/>
      <c r="E7" s="25"/>
      <c r="J7" s="11"/>
      <c r="K7" s="25"/>
      <c r="L7" s="25"/>
      <c r="M7" s="25"/>
      <c r="N7" s="25"/>
    </row>
    <row r="8" spans="1:26" ht="15.75" thickBot="1"/>
    <row r="9" spans="1:26" ht="45.75" thickBot="1">
      <c r="A9" s="321" t="s">
        <v>2</v>
      </c>
      <c r="B9" s="27" t="s">
        <v>11</v>
      </c>
      <c r="C9" s="17" t="s">
        <v>14</v>
      </c>
      <c r="D9" s="17" t="s">
        <v>15</v>
      </c>
      <c r="E9" s="17" t="s">
        <v>16</v>
      </c>
      <c r="F9" s="17" t="s">
        <v>17</v>
      </c>
      <c r="G9" s="18" t="s">
        <v>24</v>
      </c>
      <c r="H9" s="17" t="s">
        <v>35</v>
      </c>
      <c r="J9" s="318" t="s">
        <v>3</v>
      </c>
      <c r="K9" s="27" t="s">
        <v>11</v>
      </c>
      <c r="L9" s="17" t="s">
        <v>14</v>
      </c>
      <c r="M9" s="17" t="s">
        <v>15</v>
      </c>
      <c r="N9" s="17" t="s">
        <v>16</v>
      </c>
      <c r="O9" s="17" t="s">
        <v>17</v>
      </c>
      <c r="P9" s="18" t="s">
        <v>24</v>
      </c>
      <c r="Q9" s="17" t="s">
        <v>57</v>
      </c>
      <c r="R9" s="145"/>
      <c r="S9" s="141" t="s">
        <v>4</v>
      </c>
      <c r="T9" s="128" t="s">
        <v>7</v>
      </c>
      <c r="U9" s="127" t="s">
        <v>5</v>
      </c>
      <c r="V9" s="129" t="s">
        <v>6</v>
      </c>
      <c r="W9" s="15" t="s">
        <v>50</v>
      </c>
      <c r="Y9" s="79" t="s">
        <v>63</v>
      </c>
      <c r="Z9" s="79" t="s">
        <v>64</v>
      </c>
    </row>
    <row r="10" spans="1:26" ht="15.75" thickBot="1">
      <c r="A10" s="322"/>
      <c r="B10" s="34" t="s">
        <v>10</v>
      </c>
      <c r="C10" s="62">
        <f>'Options calculs'!E2</f>
        <v>34</v>
      </c>
      <c r="D10" s="34">
        <f>'Options calculs'!D2</f>
        <v>11</v>
      </c>
      <c r="E10" s="34">
        <f>60*(1-1.5^C10)/(-0.5)</f>
        <v>116488648.48397708</v>
      </c>
      <c r="F10" s="34">
        <f>15*(1-1.5^C10)/(-0.5)</f>
        <v>29122162.12099427</v>
      </c>
      <c r="G10" s="35">
        <v>0</v>
      </c>
      <c r="H10" s="33">
        <f>(10*C10*1.1^C10)</f>
        <v>8686.2077530380611</v>
      </c>
      <c r="J10" s="319"/>
      <c r="K10" s="15" t="s">
        <v>10</v>
      </c>
      <c r="L10" s="62">
        <f>'Options calculs'!E4</f>
        <v>34</v>
      </c>
      <c r="M10" s="15">
        <f>'Options calculs'!D4</f>
        <v>11</v>
      </c>
      <c r="N10" s="15">
        <f>60*(1-1.5^L10)/(-0.5)</f>
        <v>116488648.48397708</v>
      </c>
      <c r="O10" s="15">
        <f>15*(1-1.5^L10)/(-0.5)</f>
        <v>29122162.12099427</v>
      </c>
      <c r="P10" s="19">
        <v>0</v>
      </c>
      <c r="Q10" s="20">
        <f>(10*L10*1.1^L10)</f>
        <v>8686.2077530380611</v>
      </c>
      <c r="R10" s="145"/>
      <c r="S10" s="142">
        <v>0</v>
      </c>
      <c r="T10" s="3">
        <v>0</v>
      </c>
      <c r="U10" s="3">
        <v>0</v>
      </c>
      <c r="V10" s="131">
        <v>0</v>
      </c>
      <c r="W10" s="16"/>
      <c r="Y10" s="15">
        <v>0</v>
      </c>
      <c r="Z10" s="15">
        <v>0</v>
      </c>
    </row>
    <row r="11" spans="1:26" ht="15.75" thickBot="1">
      <c r="A11" s="322"/>
      <c r="B11" s="34" t="s">
        <v>0</v>
      </c>
      <c r="C11" s="62">
        <f>'Options calculs'!F2</f>
        <v>30</v>
      </c>
      <c r="D11" s="34">
        <f>'Options calculs'!D2</f>
        <v>11</v>
      </c>
      <c r="E11" s="34">
        <f>48*(1-1.6^C11)/(-0.6)</f>
        <v>106338159.66279361</v>
      </c>
      <c r="F11" s="34">
        <f>24*(1-1.6^C11)/(-0.6)</f>
        <v>53169079.831396803</v>
      </c>
      <c r="G11" s="35">
        <v>0</v>
      </c>
      <c r="H11" s="33">
        <f>10*C11*1.1^C11</f>
        <v>5234.8206806659337</v>
      </c>
      <c r="J11" s="319"/>
      <c r="K11" s="15" t="s">
        <v>0</v>
      </c>
      <c r="L11" s="62">
        <f>'Options calculs'!F4</f>
        <v>30</v>
      </c>
      <c r="M11" s="15">
        <f>'Options calculs'!D4</f>
        <v>11</v>
      </c>
      <c r="N11" s="15">
        <f>48*(1-1.6^L11)/(-0.6)</f>
        <v>106338159.66279361</v>
      </c>
      <c r="O11" s="15">
        <f>24*(1-1.6^L11)/(-0.6)</f>
        <v>53169079.831396803</v>
      </c>
      <c r="P11" s="19">
        <v>0</v>
      </c>
      <c r="Q11" s="20">
        <f>10*L11*1.1^L11</f>
        <v>5234.8206806659337</v>
      </c>
      <c r="R11" s="145"/>
      <c r="S11" s="143">
        <v>1</v>
      </c>
      <c r="T11" s="1">
        <v>240</v>
      </c>
      <c r="U11" s="5">
        <v>220</v>
      </c>
      <c r="V11" s="133">
        <v>250</v>
      </c>
      <c r="W11" s="16">
        <f>(((V11+U11)/2)+160)/6</f>
        <v>65.833333333333329</v>
      </c>
      <c r="Y11" s="15">
        <v>1</v>
      </c>
      <c r="Z11" s="15">
        <v>0</v>
      </c>
    </row>
    <row r="12" spans="1:26" ht="15.75" thickBot="1">
      <c r="A12" s="322"/>
      <c r="B12" s="34" t="s">
        <v>1</v>
      </c>
      <c r="C12" s="62">
        <f>'Options calculs'!G2</f>
        <v>31</v>
      </c>
      <c r="D12" s="34">
        <f>'Options calculs'!D2</f>
        <v>11</v>
      </c>
      <c r="E12" s="34">
        <f>225*(1-1.5^C12)/(-0.5)</f>
        <v>129431514.98219676</v>
      </c>
      <c r="F12" s="34">
        <f>75*(1-1.5^C12)/(-0.5)</f>
        <v>43143838.327398919</v>
      </c>
      <c r="G12" s="35">
        <v>0</v>
      </c>
      <c r="H12" s="33">
        <f>20*C12*1.1^C12</f>
        <v>11900.492347380556</v>
      </c>
      <c r="J12" s="319"/>
      <c r="K12" s="15" t="s">
        <v>1</v>
      </c>
      <c r="L12" s="62">
        <f>'Options calculs'!G4</f>
        <v>31</v>
      </c>
      <c r="M12" s="15">
        <f>'Options calculs'!D4</f>
        <v>11</v>
      </c>
      <c r="N12" s="15">
        <f>225*(1-1.5^L12)/(-0.5)</f>
        <v>129431514.98219676</v>
      </c>
      <c r="O12" s="15">
        <f>75*(1-1.5^L12)/(-0.5)</f>
        <v>43143838.327398919</v>
      </c>
      <c r="P12" s="19">
        <v>0</v>
      </c>
      <c r="Q12" s="20">
        <f>20*L12*1.1^L12</f>
        <v>11900.492347380556</v>
      </c>
      <c r="R12" s="145"/>
      <c r="S12" s="143">
        <v>2</v>
      </c>
      <c r="T12" s="1">
        <v>190</v>
      </c>
      <c r="U12" s="5">
        <v>170</v>
      </c>
      <c r="V12" s="133">
        <v>210</v>
      </c>
      <c r="W12" s="16">
        <f t="shared" ref="W12:W17" si="0">(((V12+U12)/2)+160)/6</f>
        <v>58.333333333333336</v>
      </c>
      <c r="Y12" s="15">
        <v>2</v>
      </c>
      <c r="Z12" s="15">
        <v>1</v>
      </c>
    </row>
    <row r="13" spans="1:26" ht="15.75" thickBot="1">
      <c r="A13" s="323"/>
      <c r="B13" s="316" t="s">
        <v>18</v>
      </c>
      <c r="C13" s="324"/>
      <c r="D13" s="317"/>
      <c r="E13" s="36">
        <f>SUM(E10:E12)*'Options calculs'!D2</f>
        <v>3874841554.418642</v>
      </c>
      <c r="F13" s="36">
        <f>SUM(F10:F12)*'Options calculs'!D2</f>
        <v>1379785883.0776899</v>
      </c>
      <c r="G13" s="36">
        <f>SUM(G10:G12)</f>
        <v>0</v>
      </c>
      <c r="H13" s="36">
        <f>SUM(H10:H12)</f>
        <v>25821.520781084553</v>
      </c>
      <c r="J13" s="320"/>
      <c r="K13" s="316" t="s">
        <v>18</v>
      </c>
      <c r="L13" s="324"/>
      <c r="M13" s="317"/>
      <c r="N13" s="18">
        <f>SUM(N10:N12)*'Options calculs'!D4</f>
        <v>3874841554.418642</v>
      </c>
      <c r="O13" s="18">
        <f>SUM(O10:O12)*'Options calculs'!D4</f>
        <v>1379785883.0776899</v>
      </c>
      <c r="P13" s="18">
        <f>SUM(P10:P12)</f>
        <v>0</v>
      </c>
      <c r="Q13" s="18">
        <f>SUM(Q10:Q12)</f>
        <v>25821.520781084553</v>
      </c>
      <c r="R13" s="145"/>
      <c r="S13" s="143">
        <v>3</v>
      </c>
      <c r="T13" s="1">
        <v>140</v>
      </c>
      <c r="U13" s="5">
        <v>120</v>
      </c>
      <c r="V13" s="133">
        <v>160</v>
      </c>
      <c r="W13" s="16">
        <f t="shared" si="0"/>
        <v>50</v>
      </c>
      <c r="Y13" s="15">
        <v>3</v>
      </c>
      <c r="Z13" s="15">
        <v>3</v>
      </c>
    </row>
    <row r="14" spans="1:26" ht="15.75" thickBot="1">
      <c r="A14" s="11"/>
      <c r="B14" s="8"/>
      <c r="C14" s="8"/>
      <c r="D14" s="8"/>
      <c r="E14" s="10"/>
      <c r="F14" s="10"/>
      <c r="G14" s="36" t="s">
        <v>9</v>
      </c>
      <c r="H14" s="37">
        <f>G39</f>
        <v>0</v>
      </c>
      <c r="J14" s="11"/>
      <c r="K14" s="8"/>
      <c r="L14" s="8"/>
      <c r="M14" s="8"/>
      <c r="N14" s="11"/>
      <c r="O14" s="11"/>
      <c r="P14" s="36" t="s">
        <v>9</v>
      </c>
      <c r="Q14" s="37">
        <f>P39</f>
        <v>0</v>
      </c>
      <c r="R14" s="145"/>
      <c r="S14" s="143">
        <v>4</v>
      </c>
      <c r="T14" s="1">
        <v>90</v>
      </c>
      <c r="U14" s="5">
        <v>70</v>
      </c>
      <c r="V14" s="133">
        <v>110</v>
      </c>
      <c r="W14" s="16">
        <f t="shared" si="0"/>
        <v>41.666666666666664</v>
      </c>
      <c r="Y14" s="15">
        <v>4</v>
      </c>
      <c r="Z14" s="15">
        <v>5</v>
      </c>
    </row>
    <row r="15" spans="1:26" ht="15.75" thickBot="1">
      <c r="B15" s="38"/>
      <c r="C15" s="38"/>
      <c r="D15" s="38"/>
      <c r="E15" s="38"/>
      <c r="F15" s="38"/>
      <c r="G15" s="39" t="s">
        <v>18</v>
      </c>
      <c r="H15" s="40">
        <f>H13+H14</f>
        <v>25821.520781084553</v>
      </c>
      <c r="P15" s="39" t="s">
        <v>18</v>
      </c>
      <c r="Q15" s="40">
        <f>Q13+Q14</f>
        <v>25821.520781084553</v>
      </c>
      <c r="R15" s="145"/>
      <c r="S15" s="143">
        <v>5</v>
      </c>
      <c r="T15" s="1">
        <v>80</v>
      </c>
      <c r="U15" s="5">
        <v>60</v>
      </c>
      <c r="V15" s="133">
        <v>100</v>
      </c>
      <c r="W15" s="16">
        <f t="shared" si="0"/>
        <v>40</v>
      </c>
      <c r="Y15" s="15">
        <v>5</v>
      </c>
      <c r="Z15" s="15">
        <v>7</v>
      </c>
    </row>
    <row r="16" spans="1:26" ht="15.75" thickBot="1">
      <c r="R16" s="145"/>
      <c r="S16" s="143">
        <v>6</v>
      </c>
      <c r="T16" s="1">
        <v>70</v>
      </c>
      <c r="U16" s="5">
        <v>50</v>
      </c>
      <c r="V16" s="133">
        <v>90</v>
      </c>
      <c r="W16" s="16">
        <f t="shared" si="0"/>
        <v>38.333333333333336</v>
      </c>
      <c r="Y16" s="15">
        <v>6</v>
      </c>
      <c r="Z16" s="15">
        <v>9</v>
      </c>
    </row>
    <row r="17" spans="1:26" ht="15.75" thickBot="1">
      <c r="R17" s="145"/>
      <c r="S17" s="143">
        <v>7</v>
      </c>
      <c r="T17" s="1">
        <v>60</v>
      </c>
      <c r="U17" s="5">
        <v>40</v>
      </c>
      <c r="V17" s="133">
        <v>80</v>
      </c>
      <c r="W17" s="16">
        <f t="shared" si="0"/>
        <v>36.666666666666664</v>
      </c>
      <c r="Y17" s="15">
        <v>7</v>
      </c>
      <c r="Z17" s="15">
        <v>11</v>
      </c>
    </row>
    <row r="18" spans="1:26" ht="45.75" thickBot="1">
      <c r="A18" s="321" t="s">
        <v>2</v>
      </c>
      <c r="B18" s="27" t="s">
        <v>87</v>
      </c>
      <c r="C18" s="17" t="s">
        <v>14</v>
      </c>
      <c r="D18" s="17" t="s">
        <v>15</v>
      </c>
      <c r="E18" s="17" t="s">
        <v>16</v>
      </c>
      <c r="F18" s="17" t="s">
        <v>17</v>
      </c>
      <c r="G18" s="18" t="s">
        <v>24</v>
      </c>
      <c r="H18" s="17" t="s">
        <v>56</v>
      </c>
      <c r="J18" s="318" t="s">
        <v>3</v>
      </c>
      <c r="K18" s="27" t="s">
        <v>87</v>
      </c>
      <c r="L18" s="17" t="s">
        <v>14</v>
      </c>
      <c r="M18" s="17" t="s">
        <v>15</v>
      </c>
      <c r="N18" s="17" t="s">
        <v>16</v>
      </c>
      <c r="O18" s="17" t="s">
        <v>17</v>
      </c>
      <c r="P18" s="18" t="s">
        <v>24</v>
      </c>
      <c r="Q18" s="17" t="s">
        <v>25</v>
      </c>
      <c r="R18" s="145"/>
      <c r="S18" s="143">
        <v>8</v>
      </c>
      <c r="T18" s="1">
        <v>50</v>
      </c>
      <c r="U18" s="5">
        <v>30</v>
      </c>
      <c r="V18" s="133">
        <v>70</v>
      </c>
      <c r="W18" s="16">
        <f t="shared" ref="W18:W25" si="1">(((V18+U18)/2)+160)/6</f>
        <v>35</v>
      </c>
      <c r="Y18" s="15">
        <v>8</v>
      </c>
      <c r="Z18" s="15">
        <v>13</v>
      </c>
    </row>
    <row r="19" spans="1:26" ht="15.75" thickBot="1">
      <c r="A19" s="322"/>
      <c r="B19" s="16" t="s">
        <v>20</v>
      </c>
      <c r="C19" s="63"/>
      <c r="D19" s="64">
        <f>'Options calculs'!L2</f>
        <v>352</v>
      </c>
      <c r="E19" s="32"/>
      <c r="F19" s="40">
        <f>D19*2000</f>
        <v>704000</v>
      </c>
      <c r="G19" s="40">
        <f>D19*500</f>
        <v>176000</v>
      </c>
      <c r="H19" s="175">
        <f>D19*D4</f>
        <v>23173.333333333332</v>
      </c>
      <c r="J19" s="319"/>
      <c r="K19" s="16" t="s">
        <v>20</v>
      </c>
      <c r="L19" s="63"/>
      <c r="M19" s="64">
        <f>'Options calculs'!L4</f>
        <v>403</v>
      </c>
      <c r="N19" s="19"/>
      <c r="O19" s="16">
        <f>M19*2000</f>
        <v>806000</v>
      </c>
      <c r="P19" s="16">
        <f>M19*500</f>
        <v>201500</v>
      </c>
      <c r="Q19" s="174">
        <f>M19*M4</f>
        <v>3358.3333333333335</v>
      </c>
      <c r="R19" s="145"/>
      <c r="S19" s="143">
        <v>9</v>
      </c>
      <c r="T19" s="1">
        <v>40</v>
      </c>
      <c r="U19" s="5">
        <v>20</v>
      </c>
      <c r="V19" s="133">
        <v>60</v>
      </c>
      <c r="W19" s="16">
        <f t="shared" si="1"/>
        <v>33.333333333333336</v>
      </c>
      <c r="Y19" s="15">
        <v>9</v>
      </c>
      <c r="Z19" s="15">
        <v>15</v>
      </c>
    </row>
    <row r="20" spans="1:26" ht="15.75" thickBot="1">
      <c r="A20" s="322"/>
      <c r="B20" s="16" t="s">
        <v>21</v>
      </c>
      <c r="C20" s="64">
        <f>'Options calculs'!J2</f>
        <v>0</v>
      </c>
      <c r="D20" s="65">
        <f>'Options calculs'!D2</f>
        <v>11</v>
      </c>
      <c r="E20" s="40">
        <f>900*(1-1.8^C20)/(-0.8)</f>
        <v>0</v>
      </c>
      <c r="F20" s="40">
        <f>360*(1-1.8^C20)/(-0.8)</f>
        <v>0</v>
      </c>
      <c r="G20" s="40">
        <f>180*(1-1.8^C20)/(-0.8)</f>
        <v>0</v>
      </c>
      <c r="H20" s="175">
        <f>D5</f>
        <v>0</v>
      </c>
      <c r="J20" s="319"/>
      <c r="K20" s="16" t="s">
        <v>21</v>
      </c>
      <c r="L20" s="64">
        <f>'Options calculs'!J4</f>
        <v>18</v>
      </c>
      <c r="M20" s="65">
        <f>'Options calculs'!D4</f>
        <v>11</v>
      </c>
      <c r="N20" s="16">
        <f>900*(1-1.8^L20)/(-0.8)</f>
        <v>44263584.084708631</v>
      </c>
      <c r="O20" s="16">
        <f>360*(1-1.8^L20)/(-0.8)</f>
        <v>17705433.633883454</v>
      </c>
      <c r="P20" s="16">
        <f>180*(1-1.8^L20)/(-0.8)</f>
        <v>8852716.816941727</v>
      </c>
      <c r="Q20" s="174">
        <f>M5</f>
        <v>19358.455833269596</v>
      </c>
      <c r="R20" s="145"/>
      <c r="S20" s="143">
        <v>10</v>
      </c>
      <c r="T20" s="1">
        <v>30</v>
      </c>
      <c r="U20" s="5">
        <v>10</v>
      </c>
      <c r="V20" s="133">
        <v>50</v>
      </c>
      <c r="W20" s="16">
        <f t="shared" si="1"/>
        <v>31.666666666666668</v>
      </c>
      <c r="Y20" s="15">
        <v>10</v>
      </c>
      <c r="Z20" s="15">
        <v>17</v>
      </c>
    </row>
    <row r="21" spans="1:26" ht="15.75" thickBot="1">
      <c r="A21" s="322"/>
      <c r="B21" s="16" t="s">
        <v>22</v>
      </c>
      <c r="C21" s="64">
        <f>'Options calculs'!K2</f>
        <v>20</v>
      </c>
      <c r="D21" s="65">
        <f>'Options calculs'!D2</f>
        <v>11</v>
      </c>
      <c r="E21" s="40">
        <f>75*(1-1.5^C21)/(-0.5)</f>
        <v>498638.50951194763</v>
      </c>
      <c r="F21" s="40">
        <f>30*(1-1.5^C21)/(-0.5)</f>
        <v>199455.40380477905</v>
      </c>
      <c r="G21" s="35"/>
      <c r="H21" s="175">
        <f>D6</f>
        <v>2690.9999797302435</v>
      </c>
      <c r="J21" s="319"/>
      <c r="K21" s="16" t="s">
        <v>22</v>
      </c>
      <c r="L21" s="64">
        <f>'Options calculs'!K4</f>
        <v>21</v>
      </c>
      <c r="M21" s="65">
        <f>'Options calculs'!D4</f>
        <v>11</v>
      </c>
      <c r="N21" s="16">
        <f>75*(1-1.5^L21)/(-0.5)</f>
        <v>748032.76426792145</v>
      </c>
      <c r="O21" s="16">
        <f>30*(1-1.5^L21)/(-0.5)</f>
        <v>299213.10570716858</v>
      </c>
      <c r="P21" s="19"/>
      <c r="Q21" s="174">
        <f>M6</f>
        <v>3108.1049765884318</v>
      </c>
      <c r="R21" s="145"/>
      <c r="S21" s="143">
        <v>11</v>
      </c>
      <c r="T21" s="1">
        <v>20</v>
      </c>
      <c r="U21" s="5">
        <v>0</v>
      </c>
      <c r="V21" s="133">
        <v>40</v>
      </c>
      <c r="W21" s="16">
        <f t="shared" si="1"/>
        <v>30</v>
      </c>
      <c r="Y21" s="15">
        <v>11</v>
      </c>
      <c r="Z21" s="15">
        <v>19</v>
      </c>
    </row>
    <row r="22" spans="1:26" ht="15.75" thickBot="1">
      <c r="A22" s="323"/>
      <c r="B22" s="316" t="s">
        <v>18</v>
      </c>
      <c r="C22" s="324"/>
      <c r="D22" s="317"/>
      <c r="E22" s="36">
        <f>SUM(E20:E21)*'Options calculs'!D2</f>
        <v>5485023.604631424</v>
      </c>
      <c r="F22" s="36">
        <f>SUM(F19:F21)*'Options calculs'!D2</f>
        <v>9938009.4418525696</v>
      </c>
      <c r="G22" s="36">
        <f>SUM(G19:G20)*'Options calculs'!D2</f>
        <v>1936000</v>
      </c>
      <c r="H22" s="175">
        <f>SUM(H19:H21)</f>
        <v>25864.333313063576</v>
      </c>
      <c r="J22" s="320"/>
      <c r="K22" s="316" t="s">
        <v>18</v>
      </c>
      <c r="L22" s="324"/>
      <c r="M22" s="317"/>
      <c r="N22" s="18">
        <f>SUM(N20:N21)*'Options calculs'!D4</f>
        <v>495127785.33874208</v>
      </c>
      <c r="O22" s="18">
        <f>SUM(O19:O21)*'Options calculs'!D4</f>
        <v>206917114.13549685</v>
      </c>
      <c r="P22" s="18">
        <f>SUM(P19:P20)*'Options calculs'!D4</f>
        <v>99596384.986359</v>
      </c>
      <c r="Q22" s="174">
        <f>SUM(Q19:Q21)</f>
        <v>25824.894143191359</v>
      </c>
      <c r="R22" s="145"/>
      <c r="S22" s="143">
        <v>12</v>
      </c>
      <c r="T22" s="1">
        <v>10</v>
      </c>
      <c r="U22" s="5">
        <v>-10</v>
      </c>
      <c r="V22" s="133">
        <v>30</v>
      </c>
      <c r="W22" s="16">
        <f t="shared" si="1"/>
        <v>28.333333333333332</v>
      </c>
      <c r="Y22" s="15">
        <v>12</v>
      </c>
      <c r="Z22" s="15">
        <v>21</v>
      </c>
    </row>
    <row r="23" spans="1:26" ht="30.75" thickBot="1">
      <c r="F23" s="38"/>
      <c r="G23" s="172" t="s">
        <v>83</v>
      </c>
      <c r="H23" s="174">
        <f>IF('Options calculs'!C9="Collecteur",H22*1.1,H22)</f>
        <v>25864.333313063576</v>
      </c>
      <c r="P23" s="106" t="s">
        <v>83</v>
      </c>
      <c r="Q23" s="174">
        <f>IF('Options calculs'!C11="Collecteur",Q22*1.1,Q22)</f>
        <v>25824.894143191359</v>
      </c>
      <c r="R23" s="145"/>
      <c r="S23" s="143">
        <v>13</v>
      </c>
      <c r="T23" s="1">
        <v>-30</v>
      </c>
      <c r="U23" s="5">
        <v>-50</v>
      </c>
      <c r="V23" s="133">
        <v>-10</v>
      </c>
      <c r="W23" s="16">
        <f t="shared" si="1"/>
        <v>21.666666666666668</v>
      </c>
      <c r="Y23" s="139">
        <v>13</v>
      </c>
      <c r="Z23" s="15">
        <v>23</v>
      </c>
    </row>
    <row r="24" spans="1:26" ht="15.75" thickBot="1">
      <c r="F24" s="38"/>
      <c r="G24" s="31" t="s">
        <v>107</v>
      </c>
      <c r="H24" s="174">
        <f>IF('Options calculs'!E9="oui",H22*0.002,0)</f>
        <v>0</v>
      </c>
      <c r="P24" s="31" t="s">
        <v>107</v>
      </c>
      <c r="Q24" s="174">
        <f>IF('Options calculs'!E9="oui",Q22*0.002,0)</f>
        <v>0</v>
      </c>
      <c r="R24" s="145"/>
      <c r="S24" s="143">
        <v>14</v>
      </c>
      <c r="T24" s="1">
        <v>-70</v>
      </c>
      <c r="U24" s="5">
        <v>-90</v>
      </c>
      <c r="V24" s="133">
        <v>-50</v>
      </c>
      <c r="W24" s="16">
        <f t="shared" si="1"/>
        <v>15</v>
      </c>
      <c r="Y24" s="15">
        <v>14</v>
      </c>
      <c r="Z24" s="136">
        <v>25</v>
      </c>
    </row>
    <row r="25" spans="1:26" ht="15.75" thickBot="1">
      <c r="G25" s="31" t="s">
        <v>102</v>
      </c>
      <c r="H25" s="174">
        <f>IF('Options calculs'!G9="Oui",H22*0.1,0)</f>
        <v>0</v>
      </c>
      <c r="P25" s="31" t="s">
        <v>102</v>
      </c>
      <c r="Q25" s="174">
        <f>IF('Options calculs'!G11="Oui",Q22*0.1,0)</f>
        <v>0</v>
      </c>
      <c r="R25" s="145"/>
      <c r="S25" s="144">
        <v>15</v>
      </c>
      <c r="T25" s="4">
        <v>-110</v>
      </c>
      <c r="U25" s="6">
        <v>-130</v>
      </c>
      <c r="V25" s="135">
        <v>-90</v>
      </c>
      <c r="W25" s="16">
        <f t="shared" si="1"/>
        <v>8.3333333333333339</v>
      </c>
      <c r="X25" s="138"/>
      <c r="Y25" s="15">
        <v>15</v>
      </c>
      <c r="Z25" s="136">
        <v>27</v>
      </c>
    </row>
    <row r="26" spans="1:26" ht="15.75" thickBot="1">
      <c r="G26" s="31" t="s">
        <v>108</v>
      </c>
      <c r="H26" s="174">
        <f>IF('Options calculs'!K9=20,H22*0.2,IF('Options calculs'!K9=40,H22*0.4,IF('Options calculs'!K9=60,H22*0.6,IF('Options calculs'!K9=80,H22*0.8,0))))</f>
        <v>0</v>
      </c>
      <c r="P26" s="31" t="s">
        <v>108</v>
      </c>
      <c r="Q26" s="174">
        <f>IF('Options calculs'!K11=20,Q22*0.2,IF('Options calculs'!K11=40,Q22*0.4,IF('Options calculs'!K11=60,Q22*0.6,IF('Options calculs'!K11=80,Q22*0.8,0))))</f>
        <v>0</v>
      </c>
      <c r="S26" s="144"/>
      <c r="T26" s="4"/>
      <c r="U26" s="6"/>
      <c r="V26" s="135"/>
      <c r="W26" s="16"/>
      <c r="X26" s="11"/>
      <c r="Y26" s="15">
        <v>16</v>
      </c>
      <c r="Z26" s="136">
        <v>29</v>
      </c>
    </row>
    <row r="27" spans="1:26" ht="15.75" thickBot="1">
      <c r="G27" s="16" t="s">
        <v>109</v>
      </c>
      <c r="H27" s="16">
        <f>H23+H24+H25+H26</f>
        <v>25864.333313063576</v>
      </c>
      <c r="P27" s="16" t="s">
        <v>110</v>
      </c>
      <c r="Q27" s="16">
        <f>Q23+Q24+Q25+Q26</f>
        <v>25824.894143191359</v>
      </c>
      <c r="S27" s="11"/>
      <c r="T27" s="11"/>
      <c r="U27" s="11"/>
      <c r="V27" s="11"/>
      <c r="W27" s="11"/>
      <c r="X27" s="11"/>
      <c r="Y27" s="15">
        <v>17</v>
      </c>
      <c r="Z27" s="136">
        <v>31</v>
      </c>
    </row>
    <row r="28" spans="1:26" ht="15.75" thickBot="1">
      <c r="G28" s="173" t="s">
        <v>26</v>
      </c>
      <c r="H28" s="41">
        <f>H27-H15</f>
        <v>42.812531979023333</v>
      </c>
      <c r="P28" s="184" t="s">
        <v>26</v>
      </c>
      <c r="Q28" s="22">
        <f>Q27-Q15</f>
        <v>3.373362106805871</v>
      </c>
      <c r="S28" s="137"/>
      <c r="T28" s="11"/>
      <c r="U28" s="137"/>
      <c r="V28" s="11"/>
      <c r="W28" s="11"/>
      <c r="X28" s="11"/>
      <c r="Y28" s="15">
        <v>18</v>
      </c>
      <c r="Z28" s="136">
        <v>33</v>
      </c>
    </row>
    <row r="29" spans="1:26" ht="15.75" thickBot="1">
      <c r="S29" s="137"/>
      <c r="T29" s="11"/>
      <c r="U29" s="137"/>
      <c r="V29" s="11"/>
      <c r="W29" s="11"/>
      <c r="X29" s="11"/>
      <c r="Y29" s="15">
        <v>19</v>
      </c>
      <c r="Z29" s="136">
        <v>35</v>
      </c>
    </row>
    <row r="30" spans="1:26" ht="15.75" thickBot="1">
      <c r="X30" s="138"/>
    </row>
    <row r="31" spans="1:26" ht="15.75" thickBot="1">
      <c r="A31" s="169" t="s">
        <v>2</v>
      </c>
      <c r="B31" s="27" t="s">
        <v>29</v>
      </c>
      <c r="C31" s="17" t="s">
        <v>14</v>
      </c>
      <c r="D31" s="17" t="s">
        <v>16</v>
      </c>
      <c r="E31" s="17" t="s">
        <v>17</v>
      </c>
      <c r="F31" s="18" t="s">
        <v>24</v>
      </c>
      <c r="J31" s="166" t="s">
        <v>3</v>
      </c>
      <c r="K31" s="27" t="s">
        <v>29</v>
      </c>
      <c r="L31" s="17" t="s">
        <v>14</v>
      </c>
      <c r="M31" s="17" t="s">
        <v>16</v>
      </c>
      <c r="N31" s="17" t="s">
        <v>17</v>
      </c>
      <c r="O31" s="18" t="s">
        <v>24</v>
      </c>
    </row>
    <row r="32" spans="1:26" ht="15.75" thickBot="1">
      <c r="A32" s="170"/>
      <c r="B32" s="21" t="s">
        <v>31</v>
      </c>
      <c r="C32" s="66">
        <f>'Options calculs'!I2</f>
        <v>12</v>
      </c>
      <c r="D32" s="19"/>
      <c r="E32" s="21">
        <f>(800*2^C32)-800</f>
        <v>3276000</v>
      </c>
      <c r="F32" s="21">
        <f>(400*2^C32)-400</f>
        <v>1638000</v>
      </c>
      <c r="J32" s="167"/>
      <c r="K32" s="21" t="s">
        <v>31</v>
      </c>
      <c r="L32" s="24">
        <f>'Options calculs'!I4</f>
        <v>17</v>
      </c>
      <c r="M32" s="19"/>
      <c r="N32" s="21">
        <f>(800*2^L32)-800</f>
        <v>104856800</v>
      </c>
      <c r="O32" s="21">
        <f>(400*2^L32)-400</f>
        <v>52428400</v>
      </c>
    </row>
    <row r="33" spans="1:16" ht="15.75" thickBot="1">
      <c r="A33" s="170"/>
      <c r="B33" s="21" t="s">
        <v>8</v>
      </c>
      <c r="C33" s="24">
        <f>'Options calculs'!H2</f>
        <v>13</v>
      </c>
      <c r="D33" s="21">
        <f>(2000*2^C33)-2000</f>
        <v>16382000</v>
      </c>
      <c r="E33" s="21">
        <f>(4000*2^C33)-4000</f>
        <v>32764000</v>
      </c>
      <c r="F33" s="21">
        <f>(1000*2^C33)-1000</f>
        <v>8191000</v>
      </c>
      <c r="J33" s="167"/>
      <c r="K33" s="21" t="s">
        <v>8</v>
      </c>
      <c r="L33" s="24">
        <f>'Options calculs'!H4</f>
        <v>13</v>
      </c>
      <c r="M33" s="21">
        <f>(2000*2^L33)-2000</f>
        <v>16382000</v>
      </c>
      <c r="N33" s="21">
        <f>(4000*2^L33)-4000</f>
        <v>32764000</v>
      </c>
      <c r="O33" s="21">
        <f>(1000*2^L33)-1000</f>
        <v>8191000</v>
      </c>
    </row>
    <row r="34" spans="1:16" ht="15.75" thickBot="1">
      <c r="A34" s="170"/>
      <c r="B34" s="21" t="s">
        <v>62</v>
      </c>
      <c r="C34" s="24">
        <f>'Options calculs'!O2</f>
        <v>19</v>
      </c>
      <c r="D34" s="21">
        <f>4000*1.75^(C34-1)-2286</f>
        <v>94783860.534050867</v>
      </c>
      <c r="E34" s="21">
        <f>8000*1.75^(C34-1)-4571</f>
        <v>189567722.06810173</v>
      </c>
      <c r="F34" s="21">
        <f>4000*1.75^(C34-1)-2286</f>
        <v>94783860.534050867</v>
      </c>
      <c r="J34" s="167"/>
      <c r="K34" s="21" t="s">
        <v>62</v>
      </c>
      <c r="L34" s="24">
        <f>'Options calculs'!O4</f>
        <v>19</v>
      </c>
      <c r="M34" s="21">
        <f>4000*1.75^(L34-1)-2286</f>
        <v>94783860.534050867</v>
      </c>
      <c r="N34" s="21">
        <f>8000*1.75^(L34-1)-4571</f>
        <v>189567722.06810173</v>
      </c>
      <c r="O34" s="21">
        <f>4000*1.75^(L34-1)-2286</f>
        <v>94783860.534050867</v>
      </c>
    </row>
    <row r="35" spans="1:16" ht="15.75" thickBot="1">
      <c r="A35" s="171"/>
      <c r="B35" s="316" t="s">
        <v>18</v>
      </c>
      <c r="C35" s="317"/>
      <c r="D35" s="18">
        <f>SUM(D33:D34)</f>
        <v>111165860.53405087</v>
      </c>
      <c r="E35" s="18">
        <f>SUM(E32:E34)</f>
        <v>225607722.06810173</v>
      </c>
      <c r="F35" s="18">
        <f>SUM(F32:F34)</f>
        <v>104612860.53405087</v>
      </c>
      <c r="J35" s="168"/>
      <c r="K35" s="316" t="s">
        <v>18</v>
      </c>
      <c r="L35" s="317"/>
      <c r="M35" s="18">
        <f>SUM(M33:M34)</f>
        <v>111165860.53405087</v>
      </c>
      <c r="N35" s="18">
        <f>SUM(N32:N34)</f>
        <v>327188522.06810176</v>
      </c>
      <c r="O35" s="18">
        <f>SUM(O32:O34)</f>
        <v>155403260.53405088</v>
      </c>
      <c r="P35" s="11"/>
    </row>
    <row r="37" spans="1:16" ht="15.75" thickBot="1"/>
    <row r="38" spans="1:16" ht="15.75" thickBot="1">
      <c r="A38" s="169" t="s">
        <v>2</v>
      </c>
      <c r="B38" s="28" t="s">
        <v>32</v>
      </c>
      <c r="C38" s="23" t="s">
        <v>15</v>
      </c>
      <c r="D38" s="23" t="s">
        <v>10</v>
      </c>
      <c r="E38" s="23" t="s">
        <v>0</v>
      </c>
      <c r="F38" s="23" t="s">
        <v>33</v>
      </c>
      <c r="G38" s="23" t="s">
        <v>30</v>
      </c>
      <c r="J38" s="166" t="s">
        <v>3</v>
      </c>
      <c r="K38" s="28" t="s">
        <v>32</v>
      </c>
      <c r="L38" s="23" t="s">
        <v>15</v>
      </c>
      <c r="M38" s="23" t="s">
        <v>10</v>
      </c>
      <c r="N38" s="23" t="s">
        <v>0</v>
      </c>
      <c r="O38" s="23" t="s">
        <v>33</v>
      </c>
      <c r="P38" s="23" t="s">
        <v>30</v>
      </c>
    </row>
    <row r="39" spans="1:16" ht="15.75" thickBot="1">
      <c r="A39" s="170"/>
      <c r="B39" s="16" t="s">
        <v>34</v>
      </c>
      <c r="C39" s="16">
        <f>'Options calculs'!M2</f>
        <v>0</v>
      </c>
      <c r="D39" s="16">
        <f>C39*2000</f>
        <v>0</v>
      </c>
      <c r="E39" s="16">
        <f>C39*2000</f>
        <v>0</v>
      </c>
      <c r="F39" s="16">
        <f>C39*500</f>
        <v>0</v>
      </c>
      <c r="G39" s="30">
        <f>C39*50</f>
        <v>0</v>
      </c>
      <c r="J39" s="167"/>
      <c r="K39" s="16" t="s">
        <v>34</v>
      </c>
      <c r="L39" s="16">
        <f>'Options calculs'!M4</f>
        <v>0</v>
      </c>
      <c r="M39" s="16">
        <f>L39*2000</f>
        <v>0</v>
      </c>
      <c r="N39" s="16">
        <f>L39*2000</f>
        <v>0</v>
      </c>
      <c r="O39" s="16">
        <f>L39*500</f>
        <v>0</v>
      </c>
      <c r="P39" s="30">
        <f>L39*50</f>
        <v>0</v>
      </c>
    </row>
    <row r="40" spans="1:16" ht="15.75" thickBot="1">
      <c r="A40" s="171"/>
      <c r="B40" s="29" t="s">
        <v>18</v>
      </c>
      <c r="C40" s="18">
        <f>C39*'Options calculs'!D2</f>
        <v>0</v>
      </c>
      <c r="D40" s="18">
        <f>D39*'Options calculs'!D2</f>
        <v>0</v>
      </c>
      <c r="E40" s="18">
        <f>E39*'Options calculs'!D2</f>
        <v>0</v>
      </c>
      <c r="F40" s="18">
        <f>F39*'Options calculs'!D2</f>
        <v>0</v>
      </c>
      <c r="G40" s="30">
        <f>G39*'Options calculs'!D2</f>
        <v>0</v>
      </c>
      <c r="J40" s="168"/>
      <c r="K40" s="29" t="s">
        <v>18</v>
      </c>
      <c r="L40" s="18">
        <f>L39*'Options calculs'!D4</f>
        <v>0</v>
      </c>
      <c r="M40" s="18">
        <f>M39*'Options calculs'!D4</f>
        <v>0</v>
      </c>
      <c r="N40" s="18">
        <f>N39*'Options calculs'!D4</f>
        <v>0</v>
      </c>
      <c r="O40" s="18">
        <f>O39*'Options calculs'!D4</f>
        <v>0</v>
      </c>
      <c r="P40" s="30">
        <f>P39*'Options calculs'!D4</f>
        <v>0</v>
      </c>
    </row>
    <row r="41" spans="1:16">
      <c r="A41" s="9"/>
      <c r="C41" s="14"/>
      <c r="D41" s="26"/>
      <c r="E41" s="26"/>
      <c r="F41" s="26"/>
      <c r="G41" s="26"/>
    </row>
    <row r="43" spans="1:16">
      <c r="D43" s="25"/>
    </row>
    <row r="44" spans="1:16">
      <c r="B44" s="43" t="s">
        <v>66</v>
      </c>
      <c r="C44" s="43" t="s">
        <v>27</v>
      </c>
      <c r="K44" s="43" t="s">
        <v>66</v>
      </c>
      <c r="L44" s="43" t="s">
        <v>27</v>
      </c>
      <c r="N44" s="11"/>
    </row>
    <row r="45" spans="1:16">
      <c r="B45" s="1" t="s">
        <v>28</v>
      </c>
      <c r="C45" s="1">
        <f>E13+D40+E22</f>
        <v>3880326578.0232735</v>
      </c>
      <c r="K45" s="1" t="s">
        <v>28</v>
      </c>
      <c r="L45" s="1">
        <f>N13+N22+M40</f>
        <v>4369969339.7573843</v>
      </c>
      <c r="N45" s="11"/>
    </row>
    <row r="46" spans="1:16">
      <c r="B46" s="1" t="s">
        <v>12</v>
      </c>
      <c r="C46" s="1">
        <f>F13+F22+E40</f>
        <v>1389723892.5195425</v>
      </c>
      <c r="K46" s="1" t="s">
        <v>12</v>
      </c>
      <c r="L46" s="1">
        <f>O13+O22+N40</f>
        <v>1586702997.2131867</v>
      </c>
      <c r="N46" s="11"/>
    </row>
    <row r="47" spans="1:16">
      <c r="B47" s="1" t="s">
        <v>13</v>
      </c>
      <c r="C47" s="1">
        <f>G13+G22+F40</f>
        <v>1936000</v>
      </c>
      <c r="K47" s="1" t="s">
        <v>13</v>
      </c>
      <c r="L47" s="1">
        <f>P13+P22+O40</f>
        <v>99596384.986359</v>
      </c>
      <c r="N47" s="11"/>
    </row>
    <row r="48" spans="1:16">
      <c r="B48" s="1" t="s">
        <v>36</v>
      </c>
      <c r="C48" s="1">
        <f>SUM(C45:C47)</f>
        <v>5271986470.5428162</v>
      </c>
      <c r="K48" s="1" t="s">
        <v>36</v>
      </c>
      <c r="L48" s="1">
        <f>SUM(L45:L47)</f>
        <v>6056268721.9569302</v>
      </c>
    </row>
    <row r="50" spans="2:12">
      <c r="B50" s="43" t="s">
        <v>61</v>
      </c>
      <c r="C50" s="43" t="s">
        <v>27</v>
      </c>
      <c r="K50" s="43" t="s">
        <v>61</v>
      </c>
      <c r="L50" s="43" t="s">
        <v>27</v>
      </c>
    </row>
    <row r="51" spans="2:12">
      <c r="B51" s="1" t="s">
        <v>28</v>
      </c>
      <c r="C51" s="1">
        <f>D35</f>
        <v>111165860.53405087</v>
      </c>
      <c r="K51" s="1" t="s">
        <v>28</v>
      </c>
      <c r="L51" s="1">
        <f>M35</f>
        <v>111165860.53405087</v>
      </c>
    </row>
    <row r="52" spans="2:12">
      <c r="B52" s="1" t="s">
        <v>12</v>
      </c>
      <c r="C52" s="1">
        <f>E35</f>
        <v>225607722.06810173</v>
      </c>
      <c r="K52" s="1" t="s">
        <v>12</v>
      </c>
      <c r="L52" s="1">
        <f>N35</f>
        <v>327188522.06810176</v>
      </c>
    </row>
    <row r="53" spans="2:12">
      <c r="B53" s="1" t="s">
        <v>13</v>
      </c>
      <c r="C53" s="1">
        <f>F35</f>
        <v>104612860.53405087</v>
      </c>
      <c r="K53" s="1" t="s">
        <v>13</v>
      </c>
      <c r="L53" s="1">
        <f>O35</f>
        <v>155403260.53405088</v>
      </c>
    </row>
    <row r="54" spans="2:12">
      <c r="B54" s="1" t="s">
        <v>36</v>
      </c>
      <c r="C54" s="1">
        <f>SUM(C51:C53)</f>
        <v>441386443.13620347</v>
      </c>
      <c r="K54" s="1" t="s">
        <v>36</v>
      </c>
      <c r="L54" s="1">
        <f>SUM(L51:L53)</f>
        <v>593757643.13620353</v>
      </c>
    </row>
  </sheetData>
  <mergeCells count="12">
    <mergeCell ref="K35:L35"/>
    <mergeCell ref="B35:C35"/>
    <mergeCell ref="J3:J6"/>
    <mergeCell ref="A3:A6"/>
    <mergeCell ref="A9:A13"/>
    <mergeCell ref="A18:A22"/>
    <mergeCell ref="B13:D13"/>
    <mergeCell ref="K13:M13"/>
    <mergeCell ref="K22:M22"/>
    <mergeCell ref="J9:J13"/>
    <mergeCell ref="B22:D22"/>
    <mergeCell ref="J18:J22"/>
  </mergeCells>
  <conditionalFormatting sqref="H28">
    <cfRule type="colorScale" priority="1">
      <colorScale>
        <cfvo type="num" val="&quot;&gt;0&quot;"/>
        <cfvo type="num" val="&quot;&lt;0&quot;"/>
        <color rgb="FFFF0000"/>
        <color rgb="FF00B050"/>
      </colorScale>
    </cfRule>
  </conditionalFormatting>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dimension ref="A1:Z55"/>
  <sheetViews>
    <sheetView zoomScale="80" zoomScaleNormal="80" workbookViewId="0">
      <selection activeCell="D44" sqref="D44"/>
    </sheetView>
  </sheetViews>
  <sheetFormatPr baseColWidth="10" defaultRowHeight="15"/>
  <cols>
    <col min="1" max="1" width="11.42578125" style="2"/>
    <col min="2" max="2" width="16.7109375" style="2" customWidth="1"/>
    <col min="3" max="3" width="16.28515625" style="2" bestFit="1" customWidth="1"/>
    <col min="4" max="4" width="16" style="2" customWidth="1"/>
    <col min="5" max="5" width="17" style="2" customWidth="1"/>
    <col min="6" max="6" width="15" style="2" customWidth="1"/>
    <col min="7" max="7" width="14.140625" style="2" customWidth="1"/>
    <col min="8" max="8" width="15" style="2" customWidth="1"/>
    <col min="9" max="10" width="11.42578125" style="2"/>
    <col min="11" max="11" width="16.140625" style="2" customWidth="1"/>
    <col min="12" max="12" width="19.85546875" style="2" customWidth="1"/>
    <col min="13" max="13" width="16.28515625" style="2" customWidth="1"/>
    <col min="14" max="14" width="16.42578125" style="2" customWidth="1"/>
    <col min="15" max="15" width="17" style="2" customWidth="1"/>
    <col min="16" max="16" width="16.85546875" style="2" customWidth="1"/>
    <col min="17" max="17" width="14.140625" style="2" customWidth="1"/>
    <col min="18" max="16384" width="11.42578125" style="2"/>
  </cols>
  <sheetData>
    <row r="1" spans="1:26" ht="14.25" customHeight="1" thickBot="1"/>
    <row r="2" spans="1:26" ht="16.5" customHeight="1" thickBot="1">
      <c r="D2" s="88" t="s">
        <v>75</v>
      </c>
      <c r="M2" s="88" t="s">
        <v>75</v>
      </c>
    </row>
    <row r="3" spans="1:26" ht="30.75" thickBot="1">
      <c r="A3" s="321" t="s">
        <v>67</v>
      </c>
      <c r="B3" s="67" t="s">
        <v>19</v>
      </c>
      <c r="C3" s="68" t="s">
        <v>14</v>
      </c>
      <c r="D3" s="68">
        <f>'Options calculs'!C3</f>
        <v>1</v>
      </c>
      <c r="E3" s="7"/>
      <c r="F3" s="69"/>
      <c r="G3" s="69"/>
      <c r="H3" s="69"/>
      <c r="I3" s="69"/>
      <c r="J3" s="325" t="s">
        <v>68</v>
      </c>
      <c r="K3" s="67" t="s">
        <v>19</v>
      </c>
      <c r="L3" s="68" t="s">
        <v>14</v>
      </c>
      <c r="M3" s="68">
        <f>'Options calculs'!C5</f>
        <v>15</v>
      </c>
      <c r="N3" s="11"/>
    </row>
    <row r="4" spans="1:26" ht="45.75" customHeight="1" thickBot="1">
      <c r="A4" s="322"/>
      <c r="B4" s="65" t="s">
        <v>20</v>
      </c>
      <c r="C4" s="63"/>
      <c r="D4" s="65">
        <f>LOOKUP(D3,S10:S25,W10:W25)</f>
        <v>65.833333333333329</v>
      </c>
      <c r="E4" s="7"/>
      <c r="F4" s="69"/>
      <c r="G4" s="69"/>
      <c r="H4" s="69"/>
      <c r="I4" s="69"/>
      <c r="J4" s="326"/>
      <c r="K4" s="65" t="s">
        <v>20</v>
      </c>
      <c r="L4" s="63"/>
      <c r="M4" s="65">
        <f>LOOKUP(M3,S10:S25,W10:W25)</f>
        <v>8.3333333333333339</v>
      </c>
      <c r="N4" s="11"/>
    </row>
    <row r="5" spans="1:26" ht="15.75" thickBot="1">
      <c r="A5" s="322"/>
      <c r="B5" s="65" t="s">
        <v>21</v>
      </c>
      <c r="C5" s="65">
        <f>C20</f>
        <v>0</v>
      </c>
      <c r="D5" s="65">
        <f>(30*C5*(1.05+'Options calculs'!I3*0.01)^C5)</f>
        <v>0</v>
      </c>
      <c r="E5" s="7"/>
      <c r="F5" s="69"/>
      <c r="G5" s="69"/>
      <c r="H5" s="69"/>
      <c r="I5" s="69"/>
      <c r="J5" s="326"/>
      <c r="K5" s="65" t="s">
        <v>21</v>
      </c>
      <c r="L5" s="65">
        <f>L20</f>
        <v>20</v>
      </c>
      <c r="M5" s="65">
        <f>(30*L5*(1.05+'Options calculs'!I5*0.01)^L5)</f>
        <v>44318.48987198215</v>
      </c>
      <c r="N5" s="11"/>
    </row>
    <row r="6" spans="1:26" ht="15.75" thickBot="1">
      <c r="A6" s="323"/>
      <c r="B6" s="65" t="s">
        <v>22</v>
      </c>
      <c r="C6" s="65">
        <f>C21</f>
        <v>20</v>
      </c>
      <c r="D6" s="65">
        <f>(20*C6*1.1^C6)</f>
        <v>2690.9999797302435</v>
      </c>
      <c r="E6" s="7"/>
      <c r="F6" s="69"/>
      <c r="G6" s="69"/>
      <c r="H6" s="69"/>
      <c r="I6" s="69"/>
      <c r="J6" s="327"/>
      <c r="K6" s="65" t="s">
        <v>22</v>
      </c>
      <c r="L6" s="65">
        <f>L21</f>
        <v>25</v>
      </c>
      <c r="M6" s="65">
        <f>(20*L6*1.1^L6)</f>
        <v>5417.3529716941957</v>
      </c>
      <c r="N6" s="11"/>
    </row>
    <row r="7" spans="1:26">
      <c r="A7" s="11"/>
      <c r="B7" s="70"/>
      <c r="C7" s="70"/>
      <c r="D7" s="70"/>
      <c r="E7" s="70"/>
      <c r="F7" s="69"/>
      <c r="G7" s="69"/>
      <c r="H7" s="69"/>
      <c r="I7" s="69"/>
      <c r="J7" s="7"/>
      <c r="K7" s="70"/>
      <c r="L7" s="70"/>
      <c r="M7" s="70"/>
      <c r="N7" s="25"/>
    </row>
    <row r="8" spans="1:26" ht="15.75" thickBot="1">
      <c r="B8" s="69"/>
      <c r="C8" s="69"/>
      <c r="D8" s="69"/>
      <c r="E8" s="69"/>
      <c r="F8" s="69"/>
      <c r="G8" s="69"/>
      <c r="H8" s="69"/>
      <c r="I8" s="69"/>
      <c r="J8" s="69"/>
      <c r="K8" s="69"/>
      <c r="L8" s="69"/>
      <c r="M8" s="69"/>
    </row>
    <row r="9" spans="1:26" ht="45.75" thickBot="1">
      <c r="A9" s="321" t="s">
        <v>67</v>
      </c>
      <c r="B9" s="67" t="s">
        <v>11</v>
      </c>
      <c r="C9" s="71" t="s">
        <v>14</v>
      </c>
      <c r="D9" s="71" t="s">
        <v>15</v>
      </c>
      <c r="E9" s="71" t="s">
        <v>16</v>
      </c>
      <c r="F9" s="71" t="s">
        <v>17</v>
      </c>
      <c r="G9" s="68" t="s">
        <v>24</v>
      </c>
      <c r="H9" s="71" t="s">
        <v>35</v>
      </c>
      <c r="I9" s="69"/>
      <c r="J9" s="325" t="s">
        <v>68</v>
      </c>
      <c r="K9" s="67" t="s">
        <v>11</v>
      </c>
      <c r="L9" s="71" t="s">
        <v>14</v>
      </c>
      <c r="M9" s="71" t="s">
        <v>15</v>
      </c>
      <c r="N9" s="17" t="s">
        <v>16</v>
      </c>
      <c r="O9" s="17" t="s">
        <v>17</v>
      </c>
      <c r="P9" s="18" t="s">
        <v>24</v>
      </c>
      <c r="Q9" s="17" t="s">
        <v>57</v>
      </c>
      <c r="S9" s="127" t="s">
        <v>4</v>
      </c>
      <c r="T9" s="128" t="s">
        <v>7</v>
      </c>
      <c r="U9" s="127" t="s">
        <v>5</v>
      </c>
      <c r="V9" s="129" t="s">
        <v>6</v>
      </c>
      <c r="W9" s="15" t="s">
        <v>50</v>
      </c>
      <c r="Y9" s="79" t="s">
        <v>63</v>
      </c>
      <c r="Z9" s="79" t="s">
        <v>64</v>
      </c>
    </row>
    <row r="10" spans="1:26" ht="16.5" customHeight="1" thickBot="1">
      <c r="A10" s="322"/>
      <c r="B10" s="72" t="s">
        <v>10</v>
      </c>
      <c r="C10" s="62">
        <f>'Options calculs'!E3</f>
        <v>34</v>
      </c>
      <c r="D10" s="72">
        <f>'Options calculs'!D3</f>
        <v>11</v>
      </c>
      <c r="E10" s="72">
        <f>60*(1-1.5^C10)/(-0.5)</f>
        <v>116488648.48397708</v>
      </c>
      <c r="F10" s="72">
        <f>15*(1-1.5^C10)/(-0.5)</f>
        <v>29122162.12099427</v>
      </c>
      <c r="G10" s="63">
        <v>0</v>
      </c>
      <c r="H10" s="73">
        <f>(10*C10*1.1^C10)</f>
        <v>8686.2077530380611</v>
      </c>
      <c r="I10" s="69"/>
      <c r="J10" s="326"/>
      <c r="K10" s="72" t="s">
        <v>10</v>
      </c>
      <c r="L10" s="62">
        <f>'Options calculs'!E5</f>
        <v>34</v>
      </c>
      <c r="M10" s="72">
        <f>'Options calculs'!D5</f>
        <v>11</v>
      </c>
      <c r="N10" s="15">
        <f>60*(1-1.5^L10)/(-0.5)</f>
        <v>116488648.48397708</v>
      </c>
      <c r="O10" s="15">
        <f>15*(1-1.5^L10)/(-0.5)</f>
        <v>29122162.12099427</v>
      </c>
      <c r="P10" s="19">
        <v>0</v>
      </c>
      <c r="Q10" s="20">
        <f>(10*L10*1.1^L10)</f>
        <v>8686.2077530380611</v>
      </c>
      <c r="S10" s="130">
        <v>0</v>
      </c>
      <c r="T10" s="3">
        <v>0</v>
      </c>
      <c r="U10" s="3">
        <v>0</v>
      </c>
      <c r="V10" s="131">
        <v>0</v>
      </c>
      <c r="W10" s="16"/>
      <c r="Y10" s="15">
        <v>0</v>
      </c>
      <c r="Z10" s="15">
        <v>0</v>
      </c>
    </row>
    <row r="11" spans="1:26" ht="16.5" customHeight="1" thickBot="1">
      <c r="A11" s="322"/>
      <c r="B11" s="72" t="s">
        <v>0</v>
      </c>
      <c r="C11" s="62">
        <f>'Options calculs'!F3</f>
        <v>30</v>
      </c>
      <c r="D11" s="72">
        <f>'Options calculs'!D3</f>
        <v>11</v>
      </c>
      <c r="E11" s="72">
        <f>48*(1-1.6^C11)/(-0.6)</f>
        <v>106338159.66279361</v>
      </c>
      <c r="F11" s="72">
        <f>24*(1-1.6^C11)/(-0.6)</f>
        <v>53169079.831396803</v>
      </c>
      <c r="G11" s="63">
        <v>0</v>
      </c>
      <c r="H11" s="73">
        <f>10*C11*1.1^C11</f>
        <v>5234.8206806659337</v>
      </c>
      <c r="I11" s="69"/>
      <c r="J11" s="326"/>
      <c r="K11" s="72" t="s">
        <v>0</v>
      </c>
      <c r="L11" s="62">
        <f>'Options calculs'!F5</f>
        <v>30</v>
      </c>
      <c r="M11" s="72">
        <f>'Options calculs'!D5</f>
        <v>11</v>
      </c>
      <c r="N11" s="15">
        <f>48*(1-1.6^L11)/(-0.6)</f>
        <v>106338159.66279361</v>
      </c>
      <c r="O11" s="15">
        <f>24*(1-1.6^L11)/(-0.6)</f>
        <v>53169079.831396803</v>
      </c>
      <c r="P11" s="19">
        <v>0</v>
      </c>
      <c r="Q11" s="20">
        <f>10*L11*1.1^L11</f>
        <v>5234.8206806659337</v>
      </c>
      <c r="S11" s="132">
        <v>1</v>
      </c>
      <c r="T11" s="1">
        <v>240</v>
      </c>
      <c r="U11" s="5">
        <v>220</v>
      </c>
      <c r="V11" s="133">
        <v>250</v>
      </c>
      <c r="W11" s="16">
        <f>(((V11+U11)/2)+160)/6</f>
        <v>65.833333333333329</v>
      </c>
      <c r="Y11" s="15">
        <v>1</v>
      </c>
      <c r="Z11" s="15">
        <v>0</v>
      </c>
    </row>
    <row r="12" spans="1:26" ht="15.75" thickBot="1">
      <c r="A12" s="322"/>
      <c r="B12" s="72" t="s">
        <v>1</v>
      </c>
      <c r="C12" s="62">
        <f>'Options calculs'!G3</f>
        <v>31</v>
      </c>
      <c r="D12" s="72">
        <f>'Options calculs'!D3</f>
        <v>11</v>
      </c>
      <c r="E12" s="72">
        <f>225*(1-1.5^C12)/(-0.5)</f>
        <v>129431514.98219676</v>
      </c>
      <c r="F12" s="72">
        <f>75*(1-1.5^C12)/(-0.5)</f>
        <v>43143838.327398919</v>
      </c>
      <c r="G12" s="63">
        <v>0</v>
      </c>
      <c r="H12" s="73">
        <f>20*C12*1.1^C12</f>
        <v>11900.492347380556</v>
      </c>
      <c r="I12" s="69"/>
      <c r="J12" s="326"/>
      <c r="K12" s="72" t="s">
        <v>1</v>
      </c>
      <c r="L12" s="62">
        <f>'Options calculs'!G5</f>
        <v>31</v>
      </c>
      <c r="M12" s="72">
        <f>'Options calculs'!D5</f>
        <v>11</v>
      </c>
      <c r="N12" s="15">
        <f>225*(1-1.5^L12)/(-0.5)</f>
        <v>129431514.98219676</v>
      </c>
      <c r="O12" s="15">
        <f>75*(1-1.5^L12)/(-0.5)</f>
        <v>43143838.327398919</v>
      </c>
      <c r="P12" s="19">
        <v>0</v>
      </c>
      <c r="Q12" s="20">
        <f>20*L12*1.1^L12</f>
        <v>11900.492347380556</v>
      </c>
      <c r="S12" s="132">
        <v>2</v>
      </c>
      <c r="T12" s="1">
        <v>190</v>
      </c>
      <c r="U12" s="5">
        <v>170</v>
      </c>
      <c r="V12" s="133">
        <v>210</v>
      </c>
      <c r="W12" s="16">
        <f t="shared" ref="W12:W17" si="0">(((V12+U12)/2)+160)/6</f>
        <v>58.333333333333336</v>
      </c>
      <c r="Y12" s="15">
        <v>2</v>
      </c>
      <c r="Z12" s="15">
        <v>1</v>
      </c>
    </row>
    <row r="13" spans="1:26" ht="15.75" thickBot="1">
      <c r="A13" s="323"/>
      <c r="B13" s="328" t="s">
        <v>18</v>
      </c>
      <c r="C13" s="329"/>
      <c r="D13" s="330"/>
      <c r="E13" s="68">
        <f>SUM(E10:E12)*'Options calculs'!D3</f>
        <v>3874841554.418642</v>
      </c>
      <c r="F13" s="68">
        <f>SUM(F10:F12)*'Options calculs'!D3</f>
        <v>1379785883.0776899</v>
      </c>
      <c r="G13" s="68">
        <f>SUM(G10:G12)</f>
        <v>0</v>
      </c>
      <c r="H13" s="68">
        <f>SUM(H10:H12)</f>
        <v>25821.520781084553</v>
      </c>
      <c r="I13" s="69"/>
      <c r="J13" s="327"/>
      <c r="K13" s="328" t="s">
        <v>18</v>
      </c>
      <c r="L13" s="329"/>
      <c r="M13" s="330"/>
      <c r="N13" s="18">
        <f>SUM(N10:N12)*'Options calculs'!D5</f>
        <v>3874841554.418642</v>
      </c>
      <c r="O13" s="18">
        <f>SUM(O10:O12)*'Options calculs'!D5</f>
        <v>1379785883.0776899</v>
      </c>
      <c r="P13" s="18">
        <f>SUM(P10:P12)</f>
        <v>0</v>
      </c>
      <c r="Q13" s="18">
        <f>SUM(Q10:Q12)</f>
        <v>25821.520781084553</v>
      </c>
      <c r="S13" s="132">
        <v>3</v>
      </c>
      <c r="T13" s="1">
        <v>140</v>
      </c>
      <c r="U13" s="5">
        <v>120</v>
      </c>
      <c r="V13" s="133">
        <v>160</v>
      </c>
      <c r="W13" s="16">
        <f t="shared" si="0"/>
        <v>50</v>
      </c>
      <c r="Y13" s="15">
        <v>3</v>
      </c>
      <c r="Z13" s="15">
        <v>3</v>
      </c>
    </row>
    <row r="14" spans="1:26" ht="15.75" thickBot="1">
      <c r="A14" s="11"/>
      <c r="B14" s="74"/>
      <c r="C14" s="74"/>
      <c r="D14" s="74"/>
      <c r="E14" s="7"/>
      <c r="F14" s="7"/>
      <c r="G14" s="68" t="s">
        <v>9</v>
      </c>
      <c r="H14" s="75">
        <f>G40</f>
        <v>38000</v>
      </c>
      <c r="I14" s="69"/>
      <c r="J14" s="7"/>
      <c r="K14" s="74"/>
      <c r="L14" s="74"/>
      <c r="M14" s="74"/>
      <c r="N14" s="11"/>
      <c r="O14" s="11"/>
      <c r="P14" s="36" t="s">
        <v>9</v>
      </c>
      <c r="Q14" s="37">
        <f>P40</f>
        <v>38000</v>
      </c>
      <c r="S14" s="132">
        <v>4</v>
      </c>
      <c r="T14" s="1">
        <v>90</v>
      </c>
      <c r="U14" s="5">
        <v>70</v>
      </c>
      <c r="V14" s="133">
        <v>110</v>
      </c>
      <c r="W14" s="16">
        <f t="shared" si="0"/>
        <v>41.666666666666664</v>
      </c>
      <c r="Y14" s="15">
        <v>4</v>
      </c>
      <c r="Z14" s="15">
        <v>5</v>
      </c>
    </row>
    <row r="15" spans="1:26" ht="15.75" thickBot="1">
      <c r="B15" s="69"/>
      <c r="C15" s="69"/>
      <c r="D15" s="69"/>
      <c r="E15" s="69"/>
      <c r="F15" s="69"/>
      <c r="G15" s="76" t="s">
        <v>18</v>
      </c>
      <c r="H15" s="65">
        <f>H13+H14</f>
        <v>63821.520781084553</v>
      </c>
      <c r="I15" s="69"/>
      <c r="J15" s="69"/>
      <c r="K15" s="69"/>
      <c r="L15" s="69"/>
      <c r="M15" s="69"/>
      <c r="P15" s="39" t="s">
        <v>18</v>
      </c>
      <c r="Q15" s="40">
        <f>Q13+Q14</f>
        <v>63821.520781084553</v>
      </c>
      <c r="S15" s="132">
        <v>5</v>
      </c>
      <c r="T15" s="1">
        <v>80</v>
      </c>
      <c r="U15" s="5">
        <v>60</v>
      </c>
      <c r="V15" s="133">
        <v>100</v>
      </c>
      <c r="W15" s="16">
        <f t="shared" si="0"/>
        <v>40</v>
      </c>
      <c r="Y15" s="15">
        <v>5</v>
      </c>
      <c r="Z15" s="15">
        <v>7</v>
      </c>
    </row>
    <row r="16" spans="1:26" ht="15.75" thickBot="1">
      <c r="B16" s="69"/>
      <c r="C16" s="69"/>
      <c r="D16" s="69"/>
      <c r="E16" s="69"/>
      <c r="F16" s="69"/>
      <c r="G16" s="69"/>
      <c r="H16" s="69"/>
      <c r="I16" s="69"/>
      <c r="J16" s="69"/>
      <c r="K16" s="69"/>
      <c r="L16" s="69"/>
      <c r="M16" s="69"/>
      <c r="S16" s="132">
        <v>6</v>
      </c>
      <c r="T16" s="1">
        <v>70</v>
      </c>
      <c r="U16" s="5">
        <v>50</v>
      </c>
      <c r="V16" s="133">
        <v>90</v>
      </c>
      <c r="W16" s="16">
        <f t="shared" si="0"/>
        <v>38.333333333333336</v>
      </c>
      <c r="Y16" s="15">
        <v>6</v>
      </c>
      <c r="Z16" s="15">
        <v>9</v>
      </c>
    </row>
    <row r="17" spans="1:26" ht="15.75" thickBot="1">
      <c r="B17" s="69"/>
      <c r="C17" s="69"/>
      <c r="D17" s="69"/>
      <c r="E17" s="69"/>
      <c r="F17" s="69"/>
      <c r="G17" s="69"/>
      <c r="H17" s="69"/>
      <c r="I17" s="69"/>
      <c r="J17" s="69"/>
      <c r="K17" s="69"/>
      <c r="L17" s="69"/>
      <c r="M17" s="69"/>
      <c r="S17" s="132">
        <v>7</v>
      </c>
      <c r="T17" s="1">
        <v>60</v>
      </c>
      <c r="U17" s="5">
        <v>40</v>
      </c>
      <c r="V17" s="133">
        <v>80</v>
      </c>
      <c r="W17" s="16">
        <f t="shared" si="0"/>
        <v>36.666666666666664</v>
      </c>
      <c r="Y17" s="15">
        <v>7</v>
      </c>
      <c r="Z17" s="15">
        <v>11</v>
      </c>
    </row>
    <row r="18" spans="1:26" ht="45.75" thickBot="1">
      <c r="A18" s="321" t="s">
        <v>67</v>
      </c>
      <c r="B18" s="67" t="s">
        <v>87</v>
      </c>
      <c r="C18" s="71" t="s">
        <v>14</v>
      </c>
      <c r="D18" s="71" t="s">
        <v>15</v>
      </c>
      <c r="E18" s="71" t="s">
        <v>16</v>
      </c>
      <c r="F18" s="71" t="s">
        <v>17</v>
      </c>
      <c r="G18" s="68" t="s">
        <v>24</v>
      </c>
      <c r="H18" s="71" t="s">
        <v>56</v>
      </c>
      <c r="I18" s="69"/>
      <c r="J18" s="325" t="s">
        <v>68</v>
      </c>
      <c r="K18" s="67" t="s">
        <v>87</v>
      </c>
      <c r="L18" s="71" t="s">
        <v>14</v>
      </c>
      <c r="M18" s="71" t="s">
        <v>15</v>
      </c>
      <c r="N18" s="17" t="s">
        <v>16</v>
      </c>
      <c r="O18" s="17" t="s">
        <v>17</v>
      </c>
      <c r="P18" s="18" t="s">
        <v>24</v>
      </c>
      <c r="Q18" s="17" t="s">
        <v>25</v>
      </c>
      <c r="S18" s="132">
        <v>8</v>
      </c>
      <c r="T18" s="1">
        <v>50</v>
      </c>
      <c r="U18" s="5">
        <v>30</v>
      </c>
      <c r="V18" s="133">
        <v>70</v>
      </c>
      <c r="W18" s="16">
        <f t="shared" ref="W18:W25" si="1">(((V18+U18)/2)+160)/6</f>
        <v>35</v>
      </c>
      <c r="Y18" s="15">
        <v>8</v>
      </c>
      <c r="Z18" s="15">
        <v>13</v>
      </c>
    </row>
    <row r="19" spans="1:26" ht="15.75" thickBot="1">
      <c r="A19" s="322"/>
      <c r="B19" s="65" t="s">
        <v>20</v>
      </c>
      <c r="C19" s="63"/>
      <c r="D19" s="64">
        <f>'Options calculs'!L3</f>
        <v>929</v>
      </c>
      <c r="E19" s="63"/>
      <c r="F19" s="65">
        <f>D19*2000</f>
        <v>1858000</v>
      </c>
      <c r="G19" s="65">
        <f>D19*500</f>
        <v>464500</v>
      </c>
      <c r="H19" s="183">
        <f>D19*D4</f>
        <v>61159.166666666664</v>
      </c>
      <c r="I19" s="69"/>
      <c r="J19" s="326"/>
      <c r="K19" s="65" t="s">
        <v>20</v>
      </c>
      <c r="L19" s="63"/>
      <c r="M19" s="64">
        <f>'Options calculs'!L5</f>
        <v>1700</v>
      </c>
      <c r="N19" s="19"/>
      <c r="O19" s="16">
        <f>M19*2000</f>
        <v>3400000</v>
      </c>
      <c r="P19" s="16">
        <f>M19*500</f>
        <v>850000</v>
      </c>
      <c r="Q19" s="174">
        <f>M19*M4</f>
        <v>14166.666666666668</v>
      </c>
      <c r="S19" s="132">
        <v>9</v>
      </c>
      <c r="T19" s="1">
        <v>40</v>
      </c>
      <c r="U19" s="5">
        <v>20</v>
      </c>
      <c r="V19" s="133">
        <v>60</v>
      </c>
      <c r="W19" s="16">
        <f t="shared" si="1"/>
        <v>33.333333333333336</v>
      </c>
      <c r="Y19" s="15">
        <v>9</v>
      </c>
      <c r="Z19" s="15">
        <v>15</v>
      </c>
    </row>
    <row r="20" spans="1:26" ht="15.75" thickBot="1">
      <c r="A20" s="322"/>
      <c r="B20" s="65" t="s">
        <v>21</v>
      </c>
      <c r="C20" s="64">
        <f>'Options calculs'!J3</f>
        <v>0</v>
      </c>
      <c r="D20" s="65">
        <f>'Options calculs'!D3</f>
        <v>11</v>
      </c>
      <c r="E20" s="65">
        <f>900*(1-1.8^C20)/(-0.8)</f>
        <v>0</v>
      </c>
      <c r="F20" s="65">
        <f>360*(1-1.8^C20)/(-0.8)</f>
        <v>0</v>
      </c>
      <c r="G20" s="65">
        <f>180*(1-1.8^C20)/(-0.8)</f>
        <v>0</v>
      </c>
      <c r="H20" s="183">
        <f>D5</f>
        <v>0</v>
      </c>
      <c r="I20" s="69"/>
      <c r="J20" s="326"/>
      <c r="K20" s="65" t="s">
        <v>21</v>
      </c>
      <c r="L20" s="64">
        <f>'Options calculs'!J5</f>
        <v>20</v>
      </c>
      <c r="M20" s="65">
        <f>'Options calculs'!D5</f>
        <v>11</v>
      </c>
      <c r="N20" s="16">
        <f>900*(1-1.8^L20)/(-0.8)</f>
        <v>143416532.43445599</v>
      </c>
      <c r="O20" s="16">
        <f>360*(1-1.8^L20)/(-0.8)</f>
        <v>57366612.973782405</v>
      </c>
      <c r="P20" s="16">
        <f>180*(1-1.8^L20)/(-0.8)</f>
        <v>28683306.486891203</v>
      </c>
      <c r="Q20" s="174">
        <f>M5</f>
        <v>44318.48987198215</v>
      </c>
      <c r="S20" s="132">
        <v>10</v>
      </c>
      <c r="T20" s="1">
        <v>30</v>
      </c>
      <c r="U20" s="5">
        <v>10</v>
      </c>
      <c r="V20" s="133">
        <v>50</v>
      </c>
      <c r="W20" s="16">
        <f t="shared" si="1"/>
        <v>31.666666666666668</v>
      </c>
      <c r="Y20" s="15">
        <v>10</v>
      </c>
      <c r="Z20" s="15">
        <v>17</v>
      </c>
    </row>
    <row r="21" spans="1:26" ht="15.75" thickBot="1">
      <c r="A21" s="322"/>
      <c r="B21" s="65" t="s">
        <v>22</v>
      </c>
      <c r="C21" s="64">
        <f>'Options calculs'!K3</f>
        <v>20</v>
      </c>
      <c r="D21" s="65">
        <f>'Options calculs'!D3</f>
        <v>11</v>
      </c>
      <c r="E21" s="65">
        <f>75*(1-1.5^C21)/(-0.5)</f>
        <v>498638.50951194763</v>
      </c>
      <c r="F21" s="65">
        <f>30*(1-1.5^C21)/(-0.5)</f>
        <v>199455.40380477905</v>
      </c>
      <c r="G21" s="63"/>
      <c r="H21" s="183">
        <f>D6</f>
        <v>2690.9999797302435</v>
      </c>
      <c r="I21" s="69"/>
      <c r="J21" s="326"/>
      <c r="K21" s="65" t="s">
        <v>22</v>
      </c>
      <c r="L21" s="64">
        <f>'Options calculs'!K5</f>
        <v>25</v>
      </c>
      <c r="M21" s="65">
        <f>'Options calculs'!D5</f>
        <v>11</v>
      </c>
      <c r="N21" s="16">
        <f>75*(1-1.5^L21)/(-0.5)</f>
        <v>3787525.2441063523</v>
      </c>
      <c r="O21" s="16">
        <f>30*(1-1.5^L21)/(-0.5)</f>
        <v>1515010.0976425409</v>
      </c>
      <c r="P21" s="19"/>
      <c r="Q21" s="174">
        <f>M6</f>
        <v>5417.3529716941957</v>
      </c>
      <c r="S21" s="132">
        <v>11</v>
      </c>
      <c r="T21" s="1">
        <v>20</v>
      </c>
      <c r="U21" s="5">
        <v>0</v>
      </c>
      <c r="V21" s="133">
        <v>40</v>
      </c>
      <c r="W21" s="16">
        <f t="shared" si="1"/>
        <v>30</v>
      </c>
      <c r="Y21" s="15">
        <v>11</v>
      </c>
      <c r="Z21" s="15">
        <v>19</v>
      </c>
    </row>
    <row r="22" spans="1:26" ht="15.75" thickBot="1">
      <c r="A22" s="323"/>
      <c r="B22" s="328" t="s">
        <v>18</v>
      </c>
      <c r="C22" s="329"/>
      <c r="D22" s="330"/>
      <c r="E22" s="68">
        <f>SUM(E20:E21)*'Options calculs'!D3</f>
        <v>5485023.604631424</v>
      </c>
      <c r="F22" s="68">
        <f>SUM(F19:F21)*'Options calculs'!D3</f>
        <v>22632009.44185257</v>
      </c>
      <c r="G22" s="68">
        <f>SUM(G19:G20)*'Options calculs'!D3</f>
        <v>5109500</v>
      </c>
      <c r="H22" s="183">
        <f>SUM(H19:H21)</f>
        <v>63850.166646396909</v>
      </c>
      <c r="I22" s="69"/>
      <c r="J22" s="327"/>
      <c r="K22" s="328" t="s">
        <v>18</v>
      </c>
      <c r="L22" s="329"/>
      <c r="M22" s="330"/>
      <c r="N22" s="18">
        <f>SUM(N20:N21)*'Options calculs'!D5</f>
        <v>1619244634.4641857</v>
      </c>
      <c r="O22" s="18">
        <f>SUM(O19:O21)*'Options calculs'!D5</f>
        <v>685097853.78567445</v>
      </c>
      <c r="P22" s="18">
        <f>SUM(P19:P20)*'Options calculs'!D5</f>
        <v>324866371.35580325</v>
      </c>
      <c r="Q22" s="174">
        <f>SUM(Q19:Q21)</f>
        <v>63902.509510343021</v>
      </c>
      <c r="S22" s="132">
        <v>12</v>
      </c>
      <c r="T22" s="1">
        <v>10</v>
      </c>
      <c r="U22" s="5">
        <v>-10</v>
      </c>
      <c r="V22" s="133">
        <v>30</v>
      </c>
      <c r="W22" s="16">
        <f t="shared" si="1"/>
        <v>28.333333333333332</v>
      </c>
      <c r="Y22" s="15">
        <v>12</v>
      </c>
      <c r="Z22" s="15">
        <v>21</v>
      </c>
    </row>
    <row r="23" spans="1:26" ht="30.75" thickBot="1">
      <c r="B23" s="69"/>
      <c r="C23" s="69"/>
      <c r="D23" s="69"/>
      <c r="E23" s="69"/>
      <c r="F23" s="69"/>
      <c r="G23" s="106" t="s">
        <v>83</v>
      </c>
      <c r="H23" s="174">
        <f>IF('Options calculs'!C10="Collecteur",H22*1.1,H22)</f>
        <v>63850.166646396909</v>
      </c>
      <c r="I23" s="69"/>
      <c r="J23" s="69"/>
      <c r="K23" s="69"/>
      <c r="L23" s="69"/>
      <c r="M23" s="69"/>
      <c r="P23" s="106" t="s">
        <v>83</v>
      </c>
      <c r="Q23" s="174">
        <f>IF('Options calculs'!C12="Collecteur",Q22*1.1,Q22)</f>
        <v>63902.509510343021</v>
      </c>
      <c r="S23" s="132">
        <v>13</v>
      </c>
      <c r="T23" s="1">
        <v>-30</v>
      </c>
      <c r="U23" s="5">
        <v>-50</v>
      </c>
      <c r="V23" s="133">
        <v>-10</v>
      </c>
      <c r="W23" s="16">
        <f t="shared" si="1"/>
        <v>21.666666666666668</v>
      </c>
      <c r="Y23" s="15">
        <v>13</v>
      </c>
      <c r="Z23" s="15">
        <v>23</v>
      </c>
    </row>
    <row r="24" spans="1:26" ht="15.75" thickBot="1">
      <c r="G24" s="31" t="s">
        <v>107</v>
      </c>
      <c r="H24" s="174">
        <f>IF('Options calculs'!E9="oui",H22*0.002,0)</f>
        <v>0</v>
      </c>
      <c r="P24" s="31" t="s">
        <v>107</v>
      </c>
      <c r="Q24" s="174">
        <f>IF('Options calculs'!E9="oui",Q22*0.002,0)</f>
        <v>0</v>
      </c>
      <c r="S24" s="132">
        <v>14</v>
      </c>
      <c r="T24" s="1">
        <v>-70</v>
      </c>
      <c r="U24" s="5">
        <v>-90</v>
      </c>
      <c r="V24" s="133">
        <v>-50</v>
      </c>
      <c r="W24" s="16">
        <f t="shared" si="1"/>
        <v>15</v>
      </c>
      <c r="Y24" s="15">
        <v>14</v>
      </c>
      <c r="Z24" s="15">
        <v>25</v>
      </c>
    </row>
    <row r="25" spans="1:26" ht="15.75" thickBot="1">
      <c r="G25" s="31" t="s">
        <v>102</v>
      </c>
      <c r="H25" s="174">
        <f>IF('Options calculs'!G10="Oui",H22*0.1,0)</f>
        <v>0</v>
      </c>
      <c r="P25" s="31" t="s">
        <v>102</v>
      </c>
      <c r="Q25" s="174">
        <f>IF('Options calculs'!G12="Oui",Q22*0.1,0)</f>
        <v>0</v>
      </c>
      <c r="S25" s="134">
        <v>15</v>
      </c>
      <c r="T25" s="4">
        <v>-110</v>
      </c>
      <c r="U25" s="6">
        <v>-130</v>
      </c>
      <c r="V25" s="135">
        <v>-90</v>
      </c>
      <c r="W25" s="16">
        <f t="shared" si="1"/>
        <v>8.3333333333333339</v>
      </c>
      <c r="Y25" s="15">
        <v>15</v>
      </c>
      <c r="Z25" s="15">
        <v>27</v>
      </c>
    </row>
    <row r="26" spans="1:26" ht="15.75" thickBot="1">
      <c r="G26" s="31" t="s">
        <v>108</v>
      </c>
      <c r="H26" s="174">
        <f>IF('Options calculs'!K10=20,Q22*0.2,IF('Options calculs'!K10=40,Q22*0.4,IF('Options calculs'!K10=60,Q22*0.6,IF('Options calculs'!K10=80,Q22*0.8,0))))</f>
        <v>0</v>
      </c>
      <c r="P26" s="31" t="s">
        <v>108</v>
      </c>
      <c r="Q26" s="174">
        <f>IF('Options calculs'!K12=20,Q22*0.2,IF('Options calculs'!K12=40,Q22*0.4,IF('Options calculs'!K12=60,Q22*0.6,IF('Options calculs'!K12=80,Q22*0.8,0))))</f>
        <v>0</v>
      </c>
      <c r="R26" s="187"/>
      <c r="S26" s="189"/>
      <c r="T26" s="26"/>
      <c r="U26" s="188"/>
      <c r="V26" s="26"/>
      <c r="W26" s="26"/>
      <c r="X26" s="145"/>
      <c r="Y26" s="15">
        <v>16</v>
      </c>
      <c r="Z26" s="15">
        <v>29</v>
      </c>
    </row>
    <row r="27" spans="1:26" ht="15.75" thickBot="1">
      <c r="B27" s="69"/>
      <c r="C27" s="69"/>
      <c r="D27" s="69"/>
      <c r="E27" s="69"/>
      <c r="F27" s="69"/>
      <c r="G27" s="16" t="s">
        <v>18</v>
      </c>
      <c r="H27" s="16">
        <f>SUM(H23:H26)</f>
        <v>63850.166646396909</v>
      </c>
      <c r="P27" s="16" t="s">
        <v>18</v>
      </c>
      <c r="Q27" s="16">
        <f>Q23+Q24+Q25+Q26</f>
        <v>63902.509510343021</v>
      </c>
      <c r="S27" s="11"/>
      <c r="T27" s="25"/>
      <c r="U27" s="25"/>
      <c r="V27" s="25"/>
      <c r="W27" s="25"/>
      <c r="Y27" s="15">
        <v>17</v>
      </c>
      <c r="Z27" s="15">
        <v>31</v>
      </c>
    </row>
    <row r="28" spans="1:26" ht="15.75" thickBot="1">
      <c r="G28" s="185" t="s">
        <v>26</v>
      </c>
      <c r="H28" s="77">
        <f>H27-H15</f>
        <v>28.645865312355454</v>
      </c>
      <c r="I28" s="69"/>
      <c r="J28" s="69"/>
      <c r="K28" s="69"/>
      <c r="L28" s="69"/>
      <c r="M28" s="69"/>
      <c r="P28" s="186" t="s">
        <v>26</v>
      </c>
      <c r="Q28" s="22">
        <f>Q27-Q15</f>
        <v>80.988729258468084</v>
      </c>
      <c r="S28" s="137"/>
      <c r="T28" s="25"/>
      <c r="U28" s="140"/>
      <c r="V28" s="25"/>
      <c r="W28" s="25"/>
      <c r="Y28" s="15">
        <v>18</v>
      </c>
      <c r="Z28" s="15">
        <v>33</v>
      </c>
    </row>
    <row r="29" spans="1:26" ht="15.75" thickBot="1">
      <c r="S29" s="137"/>
      <c r="T29" s="25"/>
      <c r="U29" s="140"/>
      <c r="V29" s="25"/>
      <c r="W29" s="25"/>
      <c r="Y29" s="15">
        <v>19</v>
      </c>
      <c r="Z29" s="15">
        <v>35</v>
      </c>
    </row>
    <row r="30" spans="1:26">
      <c r="S30" s="25"/>
      <c r="T30" s="25"/>
      <c r="U30" s="25"/>
      <c r="V30" s="25"/>
      <c r="W30" s="25"/>
    </row>
    <row r="31" spans="1:26" ht="15.75" thickBot="1"/>
    <row r="32" spans="1:26" ht="15.75" thickBot="1">
      <c r="A32" s="169" t="s">
        <v>67</v>
      </c>
      <c r="B32" s="27" t="s">
        <v>29</v>
      </c>
      <c r="C32" s="17" t="s">
        <v>14</v>
      </c>
      <c r="D32" s="17" t="s">
        <v>16</v>
      </c>
      <c r="E32" s="17" t="s">
        <v>17</v>
      </c>
      <c r="F32" s="18" t="s">
        <v>24</v>
      </c>
      <c r="J32" s="166" t="s">
        <v>68</v>
      </c>
      <c r="K32" s="27" t="s">
        <v>29</v>
      </c>
      <c r="L32" s="17" t="s">
        <v>14</v>
      </c>
      <c r="M32" s="17" t="s">
        <v>16</v>
      </c>
      <c r="N32" s="17" t="s">
        <v>17</v>
      </c>
      <c r="O32" s="18" t="s">
        <v>24</v>
      </c>
    </row>
    <row r="33" spans="1:16" ht="15.75" thickBot="1">
      <c r="A33" s="170"/>
      <c r="B33" s="21" t="s">
        <v>31</v>
      </c>
      <c r="C33" s="66">
        <f>'Options calculs'!I3</f>
        <v>12</v>
      </c>
      <c r="D33" s="19"/>
      <c r="E33" s="21">
        <f>(800*2^C33)-800</f>
        <v>3276000</v>
      </c>
      <c r="F33" s="21">
        <f>(400*2^C33)-400</f>
        <v>1638000</v>
      </c>
      <c r="J33" s="167"/>
      <c r="K33" s="21" t="s">
        <v>31</v>
      </c>
      <c r="L33" s="24">
        <f>'Options calculs'!I5</f>
        <v>19</v>
      </c>
      <c r="M33" s="19"/>
      <c r="N33" s="21">
        <f>(800*2^L33)-800</f>
        <v>419429600</v>
      </c>
      <c r="O33" s="21">
        <f>(400*2^L33)-400</f>
        <v>209714800</v>
      </c>
    </row>
    <row r="34" spans="1:16" ht="15.75" thickBot="1">
      <c r="A34" s="170"/>
      <c r="B34" s="21" t="s">
        <v>8</v>
      </c>
      <c r="C34" s="24">
        <f>'Options calculs'!H3</f>
        <v>13</v>
      </c>
      <c r="D34" s="21">
        <f>(2000*2^C34)-2000</f>
        <v>16382000</v>
      </c>
      <c r="E34" s="21">
        <f>(4000*2^C34)-4000</f>
        <v>32764000</v>
      </c>
      <c r="F34" s="21">
        <f>(1000*2^C34)-1000</f>
        <v>8191000</v>
      </c>
      <c r="J34" s="167"/>
      <c r="K34" s="21" t="s">
        <v>8</v>
      </c>
      <c r="L34" s="24">
        <f>'Options calculs'!H5</f>
        <v>13</v>
      </c>
      <c r="M34" s="21">
        <f>(2000*2^L34)-2000</f>
        <v>16382000</v>
      </c>
      <c r="N34" s="21">
        <f>(4000*2^L34)-4000</f>
        <v>32764000</v>
      </c>
      <c r="O34" s="21">
        <f>(1000*2^L34)-1000</f>
        <v>8191000</v>
      </c>
    </row>
    <row r="35" spans="1:16" ht="15.75" thickBot="1">
      <c r="A35" s="170"/>
      <c r="B35" s="21" t="s">
        <v>62</v>
      </c>
      <c r="C35" s="24">
        <f>'Options calculs'!O3</f>
        <v>19</v>
      </c>
      <c r="D35" s="21">
        <f>4000*1.75^(C35-1)-2286</f>
        <v>94783860.534050867</v>
      </c>
      <c r="E35" s="21">
        <f>8000*1.75^(C35-1)-4571</f>
        <v>189567722.06810173</v>
      </c>
      <c r="F35" s="21">
        <f>4000*1.75^(C35-1)-2286</f>
        <v>94783860.534050867</v>
      </c>
      <c r="J35" s="167"/>
      <c r="K35" s="21" t="s">
        <v>62</v>
      </c>
      <c r="L35" s="24">
        <f>'Options calculs'!O5</f>
        <v>19</v>
      </c>
      <c r="M35" s="21">
        <f>4000*1.75^(L35-1)-2286</f>
        <v>94783860.534050867</v>
      </c>
      <c r="N35" s="21">
        <f>8000*1.75^(L35-1)-4571</f>
        <v>189567722.06810173</v>
      </c>
      <c r="O35" s="21">
        <f>4000*1.75^(L35-1)-2286</f>
        <v>94783860.534050867</v>
      </c>
    </row>
    <row r="36" spans="1:16" ht="15.75" thickBot="1">
      <c r="A36" s="171"/>
      <c r="B36" s="316" t="s">
        <v>18</v>
      </c>
      <c r="C36" s="317"/>
      <c r="D36" s="18">
        <f>SUM(D34:D35)</f>
        <v>111165860.53405087</v>
      </c>
      <c r="E36" s="18">
        <f>SUM(E33:E35)</f>
        <v>225607722.06810173</v>
      </c>
      <c r="F36" s="18">
        <f>SUM(F33:F35)</f>
        <v>104612860.53405087</v>
      </c>
      <c r="J36" s="168"/>
      <c r="K36" s="316" t="s">
        <v>18</v>
      </c>
      <c r="L36" s="317"/>
      <c r="M36" s="18">
        <f>SUM(M34:M35)</f>
        <v>111165860.53405087</v>
      </c>
      <c r="N36" s="18">
        <f>SUM(N33:N35)</f>
        <v>641761322.06810176</v>
      </c>
      <c r="O36" s="18">
        <f>SUM(O33:O35)</f>
        <v>312689660.53405088</v>
      </c>
      <c r="P36" s="11"/>
    </row>
    <row r="38" spans="1:16" ht="15.75" thickBot="1"/>
    <row r="39" spans="1:16" ht="15.75" thickBot="1">
      <c r="A39" s="169" t="s">
        <v>67</v>
      </c>
      <c r="B39" s="28" t="s">
        <v>32</v>
      </c>
      <c r="C39" s="23" t="s">
        <v>15</v>
      </c>
      <c r="D39" s="23" t="s">
        <v>10</v>
      </c>
      <c r="E39" s="23" t="s">
        <v>0</v>
      </c>
      <c r="F39" s="23" t="s">
        <v>33</v>
      </c>
      <c r="G39" s="23" t="s">
        <v>30</v>
      </c>
      <c r="J39" s="166" t="s">
        <v>68</v>
      </c>
      <c r="K39" s="28" t="s">
        <v>32</v>
      </c>
      <c r="L39" s="23" t="s">
        <v>15</v>
      </c>
      <c r="M39" s="23" t="s">
        <v>10</v>
      </c>
      <c r="N39" s="23" t="s">
        <v>0</v>
      </c>
      <c r="O39" s="23" t="s">
        <v>33</v>
      </c>
      <c r="P39" s="23" t="s">
        <v>30</v>
      </c>
    </row>
    <row r="40" spans="1:16" ht="15.75" thickBot="1">
      <c r="A40" s="170"/>
      <c r="B40" s="16" t="s">
        <v>34</v>
      </c>
      <c r="C40" s="16">
        <f>'Options calculs'!M3</f>
        <v>760</v>
      </c>
      <c r="D40" s="16">
        <f>C40*2000</f>
        <v>1520000</v>
      </c>
      <c r="E40" s="16">
        <f>C40*2000</f>
        <v>1520000</v>
      </c>
      <c r="F40" s="16">
        <f>C40*500</f>
        <v>380000</v>
      </c>
      <c r="G40" s="30">
        <f>C40*50</f>
        <v>38000</v>
      </c>
      <c r="J40" s="167"/>
      <c r="K40" s="16" t="s">
        <v>34</v>
      </c>
      <c r="L40" s="16">
        <f>'Options calculs'!M5</f>
        <v>760</v>
      </c>
      <c r="M40" s="16">
        <f>L40*2000</f>
        <v>1520000</v>
      </c>
      <c r="N40" s="16">
        <f>L40*2000</f>
        <v>1520000</v>
      </c>
      <c r="O40" s="16">
        <f>L40*500</f>
        <v>380000</v>
      </c>
      <c r="P40" s="30">
        <f>L40*50</f>
        <v>38000</v>
      </c>
    </row>
    <row r="41" spans="1:16" ht="15.75" thickBot="1">
      <c r="A41" s="171"/>
      <c r="B41" s="29" t="s">
        <v>18</v>
      </c>
      <c r="C41" s="18">
        <f>C40*'Options calculs'!D3</f>
        <v>8360</v>
      </c>
      <c r="D41" s="18">
        <f>D40*'Options calculs'!D3</f>
        <v>16720000</v>
      </c>
      <c r="E41" s="18">
        <f>E40*'Options calculs'!D3</f>
        <v>16720000</v>
      </c>
      <c r="F41" s="18">
        <f>F40*'Options calculs'!D3</f>
        <v>4180000</v>
      </c>
      <c r="G41" s="30">
        <f>G40*'Options calculs'!D3</f>
        <v>418000</v>
      </c>
      <c r="J41" s="168"/>
      <c r="K41" s="29" t="s">
        <v>18</v>
      </c>
      <c r="L41" s="18">
        <f>L40*'Options calculs'!D5</f>
        <v>8360</v>
      </c>
      <c r="M41" s="18">
        <f>M40*'Options calculs'!D5</f>
        <v>16720000</v>
      </c>
      <c r="N41" s="18">
        <f>N40*'Options calculs'!D5</f>
        <v>16720000</v>
      </c>
      <c r="O41" s="18">
        <f>O40*'Options calculs'!D5</f>
        <v>4180000</v>
      </c>
      <c r="P41" s="30">
        <f>P40*'Options calculs'!D5</f>
        <v>418000</v>
      </c>
    </row>
    <row r="42" spans="1:16">
      <c r="A42" s="9"/>
      <c r="C42" s="14"/>
      <c r="D42" s="26"/>
      <c r="E42" s="26"/>
      <c r="F42" s="26"/>
      <c r="G42" s="26"/>
    </row>
    <row r="44" spans="1:16">
      <c r="D44" s="25"/>
    </row>
    <row r="45" spans="1:16">
      <c r="B45" s="43" t="s">
        <v>66</v>
      </c>
      <c r="C45" s="43" t="s">
        <v>27</v>
      </c>
      <c r="K45" s="43" t="s">
        <v>66</v>
      </c>
      <c r="L45" s="43" t="s">
        <v>27</v>
      </c>
      <c r="N45" s="11"/>
    </row>
    <row r="46" spans="1:16">
      <c r="B46" s="1" t="s">
        <v>28</v>
      </c>
      <c r="C46" s="1">
        <f>E13+D41+E22</f>
        <v>3897046578.0232735</v>
      </c>
      <c r="K46" s="1" t="s">
        <v>28</v>
      </c>
      <c r="L46" s="1">
        <f>N13+N22+M41</f>
        <v>5510806188.8828278</v>
      </c>
      <c r="N46" s="11"/>
    </row>
    <row r="47" spans="1:16">
      <c r="B47" s="1" t="s">
        <v>12</v>
      </c>
      <c r="C47" s="1">
        <f>F13+F22+E41</f>
        <v>1419137892.5195425</v>
      </c>
      <c r="K47" s="1" t="s">
        <v>12</v>
      </c>
      <c r="L47" s="1">
        <f>O13+O22+N41</f>
        <v>2081603736.8633642</v>
      </c>
      <c r="N47" s="11"/>
    </row>
    <row r="48" spans="1:16">
      <c r="B48" s="1" t="s">
        <v>13</v>
      </c>
      <c r="C48" s="1">
        <f>G13+G22+F41</f>
        <v>9289500</v>
      </c>
      <c r="K48" s="1" t="s">
        <v>13</v>
      </c>
      <c r="L48" s="1">
        <f>P13+P22+O41</f>
        <v>329046371.35580325</v>
      </c>
      <c r="N48" s="11"/>
    </row>
    <row r="49" spans="2:12">
      <c r="B49" s="1" t="s">
        <v>36</v>
      </c>
      <c r="C49" s="1">
        <f>SUM(C46:C48)</f>
        <v>5325473970.5428162</v>
      </c>
      <c r="K49" s="1" t="s">
        <v>36</v>
      </c>
      <c r="L49" s="1">
        <f>SUM(L46:L48)</f>
        <v>7921456297.1019955</v>
      </c>
    </row>
    <row r="51" spans="2:12">
      <c r="B51" s="43" t="s">
        <v>61</v>
      </c>
      <c r="C51" s="43" t="s">
        <v>27</v>
      </c>
      <c r="K51" s="43" t="s">
        <v>61</v>
      </c>
      <c r="L51" s="43" t="s">
        <v>27</v>
      </c>
    </row>
    <row r="52" spans="2:12">
      <c r="B52" s="1" t="s">
        <v>28</v>
      </c>
      <c r="C52" s="1">
        <f>D36</f>
        <v>111165860.53405087</v>
      </c>
      <c r="K52" s="1" t="s">
        <v>28</v>
      </c>
      <c r="L52" s="1">
        <f>M36</f>
        <v>111165860.53405087</v>
      </c>
    </row>
    <row r="53" spans="2:12">
      <c r="B53" s="1" t="s">
        <v>12</v>
      </c>
      <c r="C53" s="1">
        <f>E36</f>
        <v>225607722.06810173</v>
      </c>
      <c r="K53" s="1" t="s">
        <v>12</v>
      </c>
      <c r="L53" s="1">
        <f>N36</f>
        <v>641761322.06810176</v>
      </c>
    </row>
    <row r="54" spans="2:12">
      <c r="B54" s="1" t="s">
        <v>13</v>
      </c>
      <c r="C54" s="1">
        <f>F36</f>
        <v>104612860.53405087</v>
      </c>
      <c r="K54" s="1" t="s">
        <v>13</v>
      </c>
      <c r="L54" s="1">
        <f>O36</f>
        <v>312689660.53405088</v>
      </c>
    </row>
    <row r="55" spans="2:12">
      <c r="B55" s="1" t="s">
        <v>36</v>
      </c>
      <c r="C55" s="1">
        <f>SUM(C52:C54)</f>
        <v>441386443.13620347</v>
      </c>
      <c r="K55" s="1" t="s">
        <v>36</v>
      </c>
      <c r="L55" s="1">
        <f>SUM(L52:L54)</f>
        <v>1065616843.1362035</v>
      </c>
    </row>
  </sheetData>
  <mergeCells count="12">
    <mergeCell ref="K13:M13"/>
    <mergeCell ref="B36:C36"/>
    <mergeCell ref="K36:L36"/>
    <mergeCell ref="A18:A22"/>
    <mergeCell ref="J18:J22"/>
    <mergeCell ref="B22:D22"/>
    <mergeCell ref="K22:M22"/>
    <mergeCell ref="A3:A6"/>
    <mergeCell ref="J3:J6"/>
    <mergeCell ref="A9:A13"/>
    <mergeCell ref="J9:J13"/>
    <mergeCell ref="B13:D13"/>
  </mergeCells>
  <conditionalFormatting sqref="H34:H35 H28">
    <cfRule type="colorScale" priority="2">
      <colorScale>
        <cfvo type="num" val="&quot;&gt;0&quot;"/>
        <cfvo type="num" val="&quot;&lt;0&quot;"/>
        <color rgb="FFFF0000"/>
        <color rgb="FF00B050"/>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O42"/>
  <sheetViews>
    <sheetView workbookViewId="0">
      <selection activeCell="E20" sqref="E20"/>
    </sheetView>
  </sheetViews>
  <sheetFormatPr baseColWidth="10" defaultRowHeight="15"/>
  <cols>
    <col min="1" max="1" width="11.42578125" style="2"/>
    <col min="2" max="2" width="23" style="2" customWidth="1"/>
    <col min="3" max="3" width="16.42578125" style="2" customWidth="1"/>
    <col min="4" max="4" width="17.28515625" style="2" customWidth="1"/>
    <col min="5" max="5" width="11.42578125" style="2"/>
    <col min="6" max="6" width="11.140625" style="2" customWidth="1"/>
    <col min="7" max="7" width="24.140625" style="2" customWidth="1"/>
    <col min="8" max="8" width="15.28515625" style="2" customWidth="1"/>
    <col min="9" max="9" width="14.7109375" style="2" customWidth="1"/>
    <col min="10" max="16384" width="11.42578125" style="2"/>
  </cols>
  <sheetData>
    <row r="1" spans="1:14" ht="15.75" thickBot="1">
      <c r="B1" s="23" t="s">
        <v>59</v>
      </c>
      <c r="C1" s="16">
        <f>'Options calculs'!C2</f>
        <v>1</v>
      </c>
      <c r="D1" s="16">
        <f>'Options calculs'!C3</f>
        <v>1</v>
      </c>
      <c r="G1" s="23" t="s">
        <v>59</v>
      </c>
      <c r="H1" s="16">
        <f>'Options calculs'!C4</f>
        <v>15</v>
      </c>
      <c r="I1" s="16">
        <f>'Options calculs'!C5</f>
        <v>15</v>
      </c>
    </row>
    <row r="2" spans="1:14" ht="15.75" thickBot="1">
      <c r="B2" s="23" t="s">
        <v>60</v>
      </c>
      <c r="C2" s="16">
        <f>LOOKUP(C1,K5:L20)</f>
        <v>240</v>
      </c>
      <c r="D2" s="16">
        <f>LOOKUP(D1,K5:L20)</f>
        <v>240</v>
      </c>
      <c r="G2" s="23" t="s">
        <v>60</v>
      </c>
      <c r="H2" s="16">
        <f>LOOKUP(H1,K5:L20)</f>
        <v>-110</v>
      </c>
      <c r="I2" s="16">
        <f>LOOKUP(I1,K5:L20)</f>
        <v>-110</v>
      </c>
    </row>
    <row r="3" spans="1:14" ht="15.75" thickBot="1"/>
    <row r="4" spans="1:14" ht="30.75" thickBot="1">
      <c r="B4" s="2" t="s">
        <v>2</v>
      </c>
      <c r="C4" s="42" t="s">
        <v>72</v>
      </c>
      <c r="D4" s="42" t="s">
        <v>73</v>
      </c>
      <c r="G4" s="2" t="s">
        <v>3</v>
      </c>
      <c r="H4" s="42" t="s">
        <v>72</v>
      </c>
      <c r="I4" s="42" t="s">
        <v>73</v>
      </c>
      <c r="K4" s="127" t="s">
        <v>4</v>
      </c>
      <c r="L4" s="128" t="s">
        <v>7</v>
      </c>
      <c r="M4" s="127" t="s">
        <v>5</v>
      </c>
      <c r="N4" s="127" t="s">
        <v>6</v>
      </c>
    </row>
    <row r="5" spans="1:14">
      <c r="B5" s="42" t="s">
        <v>42</v>
      </c>
      <c r="C5" s="42">
        <f>'Options calculs'!D2</f>
        <v>11</v>
      </c>
      <c r="D5" s="42">
        <f>'Options calculs'!D3</f>
        <v>11</v>
      </c>
      <c r="G5" s="42" t="s">
        <v>42</v>
      </c>
      <c r="H5" s="42">
        <f>'Options calculs'!D4</f>
        <v>11</v>
      </c>
      <c r="I5" s="42">
        <f>'Options calculs'!D5</f>
        <v>11</v>
      </c>
      <c r="K5" s="130">
        <v>0</v>
      </c>
      <c r="L5" s="3">
        <v>0</v>
      </c>
      <c r="M5" s="3">
        <v>0</v>
      </c>
      <c r="N5" s="3">
        <v>0</v>
      </c>
    </row>
    <row r="6" spans="1:14">
      <c r="A6" s="331" t="s">
        <v>10</v>
      </c>
      <c r="B6" s="280" t="s">
        <v>120</v>
      </c>
      <c r="C6" s="164">
        <f>30*'Options calculs'!D9</f>
        <v>180</v>
      </c>
      <c r="D6" s="164">
        <f>30*'Options calculs'!D10</f>
        <v>180</v>
      </c>
      <c r="F6" s="331" t="s">
        <v>10</v>
      </c>
      <c r="G6" s="280" t="s">
        <v>120</v>
      </c>
      <c r="H6" s="164">
        <f>30*'Options calculs'!D11</f>
        <v>180</v>
      </c>
      <c r="I6" s="164">
        <f>30*'Options calculs'!D12</f>
        <v>180</v>
      </c>
      <c r="K6" s="132">
        <v>1</v>
      </c>
      <c r="L6" s="1">
        <v>240</v>
      </c>
      <c r="M6" s="5">
        <v>220</v>
      </c>
      <c r="N6" s="1">
        <v>250</v>
      </c>
    </row>
    <row r="7" spans="1:14">
      <c r="A7" s="331"/>
      <c r="B7" s="55" t="s">
        <v>43</v>
      </c>
      <c r="C7" s="162">
        <f>((30*'Options calculs'!E2*1.1^'Options calculs'!E2)*'Options calculs'!D9)</f>
        <v>156351.73955468507</v>
      </c>
      <c r="D7" s="162">
        <f>((30*'Options calculs'!E3*1.1^'Options calculs'!E3)*'Options calculs'!D10)</f>
        <v>156351.73955468507</v>
      </c>
      <c r="F7" s="331"/>
      <c r="G7" s="55" t="s">
        <v>43</v>
      </c>
      <c r="H7" s="162">
        <f>((30*'Options calculs'!E4*1.1^'Options calculs'!E4)*'Options calculs'!D11)</f>
        <v>156351.73955468507</v>
      </c>
      <c r="I7" s="162">
        <f>((30*'Options calculs'!E5*1.1^'Options calculs'!E5)*'Options calculs'!D12)</f>
        <v>156351.73955468507</v>
      </c>
      <c r="K7" s="132">
        <v>2</v>
      </c>
      <c r="L7" s="1">
        <v>190</v>
      </c>
      <c r="M7" s="5">
        <v>170</v>
      </c>
      <c r="N7" s="1">
        <v>210</v>
      </c>
    </row>
    <row r="8" spans="1:14">
      <c r="A8" s="331"/>
      <c r="B8" s="55" t="s">
        <v>45</v>
      </c>
      <c r="C8" s="162">
        <f>((C7*1)*'Options calculs'!H2)/100</f>
        <v>20325.726142109059</v>
      </c>
      <c r="D8" s="162">
        <f>((D7*1)*'Options calculs'!H3)/100</f>
        <v>20325.726142109059</v>
      </c>
      <c r="F8" s="331"/>
      <c r="G8" s="55" t="s">
        <v>45</v>
      </c>
      <c r="H8" s="162">
        <f>((H7*1)*'Options calculs'!H4)/100</f>
        <v>20325.726142109059</v>
      </c>
      <c r="I8" s="162">
        <f>((I7*1)*'Options calculs'!H5)/100</f>
        <v>20325.726142109059</v>
      </c>
      <c r="K8" s="132">
        <v>3</v>
      </c>
      <c r="L8" s="1">
        <v>140</v>
      </c>
      <c r="M8" s="5">
        <v>120</v>
      </c>
      <c r="N8" s="1">
        <v>160</v>
      </c>
    </row>
    <row r="9" spans="1:14">
      <c r="A9" s="331"/>
      <c r="B9" s="55" t="s">
        <v>44</v>
      </c>
      <c r="C9" s="162">
        <f>((0.02*C7)/100)*'Options calculs'!M2</f>
        <v>0</v>
      </c>
      <c r="D9" s="162">
        <f>((0.02*D7)/100)*'Options calculs'!M3</f>
        <v>23765.464412312132</v>
      </c>
      <c r="F9" s="331"/>
      <c r="G9" s="55" t="s">
        <v>44</v>
      </c>
      <c r="H9" s="162">
        <f>((0.02*H7)/100)*'Options calculs'!M4</f>
        <v>0</v>
      </c>
      <c r="I9" s="162">
        <f>((0.02*I7)/100)*'Options calculs'!M5</f>
        <v>23765.464412312132</v>
      </c>
      <c r="K9" s="132">
        <v>4</v>
      </c>
      <c r="L9" s="1">
        <v>90</v>
      </c>
      <c r="M9" s="5">
        <v>70</v>
      </c>
      <c r="N9" s="1">
        <v>110</v>
      </c>
    </row>
    <row r="10" spans="1:14">
      <c r="A10" s="331"/>
      <c r="B10" s="55" t="s">
        <v>81</v>
      </c>
      <c r="C10" s="162">
        <f>IF('Options calculs'!C9="Collecteur",(C7*0.25),0)</f>
        <v>0</v>
      </c>
      <c r="D10" s="162">
        <f>IF('Options calculs'!C10="Collecteur",(D7*0.25),0)</f>
        <v>0</v>
      </c>
      <c r="F10" s="331"/>
      <c r="G10" s="55" t="s">
        <v>81</v>
      </c>
      <c r="H10" s="162">
        <f>IF('Options calculs'!C11="Collecteur",(H7*0.25),0)</f>
        <v>0</v>
      </c>
      <c r="I10" s="162">
        <f>IF('Options calculs'!C12="Collecteur",(I7*0.25),0)</f>
        <v>0</v>
      </c>
      <c r="K10" s="132">
        <v>5</v>
      </c>
      <c r="L10" s="1">
        <v>80</v>
      </c>
      <c r="M10" s="5">
        <v>60</v>
      </c>
      <c r="N10" s="1">
        <v>100</v>
      </c>
    </row>
    <row r="11" spans="1:14">
      <c r="A11" s="331"/>
      <c r="B11" s="55" t="s">
        <v>100</v>
      </c>
      <c r="C11" s="162">
        <f>IF('Options calculs'!E9="oui",C7*0.02,0)</f>
        <v>0</v>
      </c>
      <c r="D11" s="162">
        <f>IF('Options calculs'!E10="oui",D7*0.02,0)</f>
        <v>0</v>
      </c>
      <c r="F11" s="331"/>
      <c r="G11" s="55" t="s">
        <v>100</v>
      </c>
      <c r="H11" s="162">
        <f>IF('Options calculs'!E11="oui",H7*0.02,0)</f>
        <v>0</v>
      </c>
      <c r="I11" s="162">
        <f>IF('Options calculs'!E12="oui",I7*0.02,0)</f>
        <v>0</v>
      </c>
      <c r="K11" s="132">
        <v>6</v>
      </c>
      <c r="L11" s="1">
        <v>70</v>
      </c>
      <c r="M11" s="5">
        <v>50</v>
      </c>
      <c r="N11" s="1">
        <v>90</v>
      </c>
    </row>
    <row r="12" spans="1:14">
      <c r="A12" s="331"/>
      <c r="B12" s="55" t="s">
        <v>99</v>
      </c>
      <c r="C12" s="162">
        <f>IF('Options calculs'!F9="Oui",C7*0.1,0)</f>
        <v>0</v>
      </c>
      <c r="D12" s="162">
        <f>IF('Options calculs'!F10="Oui",D7*0.1,0)</f>
        <v>0</v>
      </c>
      <c r="E12" s="105"/>
      <c r="F12" s="331"/>
      <c r="G12" s="55" t="s">
        <v>99</v>
      </c>
      <c r="H12" s="162">
        <f>IF('Options calculs'!F11="Oui",H7*0.1,0)</f>
        <v>0</v>
      </c>
      <c r="I12" s="162">
        <f>IF('Options calculs'!F12="Oui",I7*0.1,0)</f>
        <v>0</v>
      </c>
      <c r="K12" s="132">
        <v>7</v>
      </c>
      <c r="L12" s="1">
        <v>60</v>
      </c>
      <c r="M12" s="5">
        <v>40</v>
      </c>
      <c r="N12" s="1">
        <v>80</v>
      </c>
    </row>
    <row r="13" spans="1:14">
      <c r="A13" s="331"/>
      <c r="B13" s="281" t="s">
        <v>101</v>
      </c>
      <c r="C13" s="282">
        <f>IF('Options calculs'!H9=10,C7*0.1,IF('Options calculs'!H9=20,C7*0.2,IF('Options calculs'!H9=30,C7*0.3,IF('Options calculs'!H9=40,C7*0.4,0))))</f>
        <v>0</v>
      </c>
      <c r="D13" s="283">
        <f>IF('Options calculs'!H10=10,D7*0.1,IF('Options calculs'!H10=20,D7*0.2,IF('Options calculs'!H10=30,D7*0.3,IF('Options calculs'!H10=40,D7*0.4,0))))</f>
        <v>0</v>
      </c>
      <c r="F13" s="331"/>
      <c r="G13" s="281" t="s">
        <v>101</v>
      </c>
      <c r="H13" s="283">
        <f>IF('Options calculs'!H11=10,H7*0.1,IF('Options calculs'!H11=20,H7*0.2,IF('Options calculs'!H11=30,H7*0.3,IF('Options calculs'!H11=40,H7*0.4,0))))</f>
        <v>0</v>
      </c>
      <c r="I13" s="283">
        <f>IF('Options calculs'!H12=10,I7*0.1,IF('Options calculs'!H12=20,I7*0.2,IF('Options calculs'!H12=30,I7*0.3,IF('Options calculs'!H12=40,I7*0.4,0))))</f>
        <v>0</v>
      </c>
      <c r="K13" s="132">
        <v>8</v>
      </c>
      <c r="L13" s="1">
        <v>50</v>
      </c>
      <c r="M13" s="5">
        <v>30</v>
      </c>
      <c r="N13" s="1">
        <v>70</v>
      </c>
    </row>
    <row r="14" spans="1:14">
      <c r="A14" s="331" t="s">
        <v>0</v>
      </c>
      <c r="B14" s="163" t="s">
        <v>121</v>
      </c>
      <c r="C14" s="12">
        <f>15*'Options calculs'!D9</f>
        <v>90</v>
      </c>
      <c r="D14" s="12">
        <f>15*'Options calculs'!D10</f>
        <v>90</v>
      </c>
      <c r="F14" s="332" t="s">
        <v>0</v>
      </c>
      <c r="G14" s="163" t="s">
        <v>120</v>
      </c>
      <c r="H14" s="12">
        <f>15*'Options calculs'!D11</f>
        <v>90</v>
      </c>
      <c r="I14" s="12">
        <f>15*'Options calculs'!D12</f>
        <v>90</v>
      </c>
      <c r="K14" s="132">
        <v>9</v>
      </c>
      <c r="L14" s="1">
        <v>40</v>
      </c>
      <c r="M14" s="5">
        <v>20</v>
      </c>
      <c r="N14" s="1">
        <v>60</v>
      </c>
    </row>
    <row r="15" spans="1:14">
      <c r="A15" s="331"/>
      <c r="B15" s="284" t="s">
        <v>47</v>
      </c>
      <c r="C15" s="285">
        <f>((20*'Options calculs'!F2*1.1^'Options calculs'!F2))*'Options calculs'!D9</f>
        <v>62817.848167991207</v>
      </c>
      <c r="D15" s="285">
        <f>((20*'Options calculs'!F3*1.1^'Options calculs'!F3)*'Options calculs'!D10)</f>
        <v>62817.848167991207</v>
      </c>
      <c r="F15" s="332"/>
      <c r="G15" s="284" t="s">
        <v>47</v>
      </c>
      <c r="H15" s="285">
        <f>((20*'Options calculs'!F4*1.1^'Options calculs'!F4)*'Options calculs'!D11)</f>
        <v>62817.848167991207</v>
      </c>
      <c r="I15" s="285">
        <f>((20*'Options calculs'!F5*1.1^'Options calculs'!F5)*'Options calculs'!D12)</f>
        <v>62817.848167991207</v>
      </c>
      <c r="K15" s="132">
        <v>10</v>
      </c>
      <c r="L15" s="1">
        <v>30</v>
      </c>
      <c r="M15" s="5">
        <v>10</v>
      </c>
      <c r="N15" s="1">
        <v>50</v>
      </c>
    </row>
    <row r="16" spans="1:14">
      <c r="A16" s="331"/>
      <c r="B16" s="163" t="s">
        <v>48</v>
      </c>
      <c r="C16" s="12">
        <f>IF(C1=1,(C15*0.3),IF(C1=2,(C15*0.225),IF(C1=3,(C15*0.15),0)))</f>
        <v>18845.354450397361</v>
      </c>
      <c r="D16" s="12">
        <f>IF(D1=1,(D15*0.3),IF(D1=2,(D15*0.225),IF(D1=3,(D15*0.15),0)))</f>
        <v>18845.354450397361</v>
      </c>
      <c r="F16" s="332"/>
      <c r="G16" s="163" t="s">
        <v>48</v>
      </c>
      <c r="H16" s="12">
        <f>IF(H1=1,(H15*0.3),IF(H1=2,(H15*0.225),IF(H1=3,(H15*0.15),0)))</f>
        <v>0</v>
      </c>
      <c r="I16" s="12">
        <f>IF(I1=1,(I15*0.3),IF(I1=2,(I15*0.225),IF(I1=3,(I15*0.15),0)))</f>
        <v>0</v>
      </c>
      <c r="K16" s="132">
        <v>11</v>
      </c>
      <c r="L16" s="1">
        <v>20</v>
      </c>
      <c r="M16" s="5">
        <v>0</v>
      </c>
      <c r="N16" s="1">
        <v>40</v>
      </c>
    </row>
    <row r="17" spans="1:15">
      <c r="A17" s="331"/>
      <c r="B17" s="163" t="s">
        <v>105</v>
      </c>
      <c r="C17" s="12">
        <f>SUM(C15:C16)</f>
        <v>81663.202618388576</v>
      </c>
      <c r="D17" s="12">
        <f>SUM(D15:D16)</f>
        <v>81663.202618388576</v>
      </c>
      <c r="F17" s="332"/>
      <c r="G17" s="163" t="s">
        <v>106</v>
      </c>
      <c r="H17" s="165">
        <f>SUM(H15:H16)</f>
        <v>62817.848167991207</v>
      </c>
      <c r="I17" s="12">
        <f>SUM(I15:I16)</f>
        <v>62817.848167991207</v>
      </c>
      <c r="K17" s="132">
        <v>12</v>
      </c>
      <c r="L17" s="1">
        <v>10</v>
      </c>
      <c r="M17" s="5">
        <v>-10</v>
      </c>
      <c r="N17" s="1">
        <v>30</v>
      </c>
    </row>
    <row r="18" spans="1:15">
      <c r="A18" s="331"/>
      <c r="B18" s="163" t="s">
        <v>45</v>
      </c>
      <c r="C18" s="12">
        <f>(('Options calculs'!H2*0.66)*C17)/100</f>
        <v>7006.7027846577403</v>
      </c>
      <c r="D18" s="12">
        <f>(('Options calculs'!H3*0.66)*D17)/100</f>
        <v>7006.7027846577403</v>
      </c>
      <c r="F18" s="332"/>
      <c r="G18" s="163" t="s">
        <v>45</v>
      </c>
      <c r="H18" s="12">
        <f>(('Options calculs'!H4*0.66)*H17)/100</f>
        <v>5389.771372813645</v>
      </c>
      <c r="I18" s="12">
        <f>(('Options calculs'!H5*0.66)*I17)/100</f>
        <v>5389.771372813645</v>
      </c>
      <c r="K18" s="132">
        <v>13</v>
      </c>
      <c r="L18" s="1">
        <v>-30</v>
      </c>
      <c r="M18" s="5">
        <v>-50</v>
      </c>
      <c r="N18" s="1">
        <v>-10</v>
      </c>
    </row>
    <row r="19" spans="1:15">
      <c r="A19" s="331"/>
      <c r="B19" s="163" t="s">
        <v>40</v>
      </c>
      <c r="C19" s="12">
        <f>((0.02*C17)/100)*'Options calculs'!M2</f>
        <v>0</v>
      </c>
      <c r="D19" s="12">
        <f>((0.02*D17)/100)*'Options calculs'!M3</f>
        <v>12412.806797995063</v>
      </c>
      <c r="F19" s="332"/>
      <c r="G19" s="163" t="s">
        <v>40</v>
      </c>
      <c r="H19" s="12">
        <f>((0.02*H17)/100)*'Options calculs'!M4</f>
        <v>0</v>
      </c>
      <c r="I19" s="12">
        <f>((0.02*I17)/100)*'Options calculs'!M5</f>
        <v>9548.3129215346635</v>
      </c>
      <c r="K19" s="132">
        <v>14</v>
      </c>
      <c r="L19" s="1">
        <v>-70</v>
      </c>
      <c r="M19" s="5">
        <v>-90</v>
      </c>
      <c r="N19" s="1">
        <v>-50</v>
      </c>
    </row>
    <row r="20" spans="1:15" ht="15.75" thickBot="1">
      <c r="A20" s="331"/>
      <c r="B20" s="163" t="s">
        <v>81</v>
      </c>
      <c r="C20" s="12">
        <f>IF('Options calculs'!C9="Collecteur",(C17*0.25),0)</f>
        <v>0</v>
      </c>
      <c r="D20" s="12">
        <f>IF('Options calculs'!C10="Collecteur",(D17*0.25),0)</f>
        <v>0</v>
      </c>
      <c r="F20" s="332"/>
      <c r="G20" s="163" t="s">
        <v>81</v>
      </c>
      <c r="H20" s="12">
        <f>IF('Options calculs'!C11="Collecteur",(H17*0.25),0)</f>
        <v>0</v>
      </c>
      <c r="I20" s="12">
        <f>IF('Options calculs'!C12="Collecteur",(I17*0.25),0)</f>
        <v>0</v>
      </c>
      <c r="K20" s="134">
        <v>15</v>
      </c>
      <c r="L20" s="4">
        <v>-110</v>
      </c>
      <c r="M20" s="6">
        <v>-130</v>
      </c>
      <c r="N20" s="4">
        <v>-90</v>
      </c>
    </row>
    <row r="21" spans="1:15">
      <c r="A21" s="331"/>
      <c r="B21" s="163" t="s">
        <v>100</v>
      </c>
      <c r="C21" s="12">
        <f>IF('Options calculs'!E9="oui",C17*0.02,0)</f>
        <v>0</v>
      </c>
      <c r="D21" s="12">
        <f>IF('Options calculs'!E10="oui",D17*0.02,0)</f>
        <v>0</v>
      </c>
      <c r="F21" s="332"/>
      <c r="G21" s="163" t="s">
        <v>100</v>
      </c>
      <c r="H21" s="12">
        <f>IF('Options calculs'!E11="oui",H17*0.02,0)</f>
        <v>0</v>
      </c>
      <c r="I21" s="12">
        <f>IF('Options calculs'!E12="oui",I17*0.02,0)</f>
        <v>0</v>
      </c>
    </row>
    <row r="22" spans="1:15">
      <c r="A22" s="331"/>
      <c r="B22" s="163" t="s">
        <v>99</v>
      </c>
      <c r="C22" s="12">
        <f>IF('Options calculs'!F9="Oui",C17*0.1,0)</f>
        <v>0</v>
      </c>
      <c r="D22" s="12">
        <f>IF('Options calculs'!F10="Oui",D17*0.1,0)</f>
        <v>0</v>
      </c>
      <c r="F22" s="332"/>
      <c r="G22" s="163" t="s">
        <v>99</v>
      </c>
      <c r="H22" s="12">
        <f>IF('Options calculs'!F11="Oui",H17*0.1,0)</f>
        <v>0</v>
      </c>
      <c r="I22" s="12">
        <f>IF('Options calculs'!F12="Oui",I17*0.1,0)</f>
        <v>0</v>
      </c>
    </row>
    <row r="23" spans="1:15">
      <c r="A23" s="331"/>
      <c r="B23" s="163" t="s">
        <v>103</v>
      </c>
      <c r="C23" s="12">
        <f>IF('Options calculs'!I9=10,C17*0.1,IF('Options calculs'!I9=20,C17*0.2,IF('Options calculs'!I9=30,C17*0.3,IF('Options calculs'!I9=40,C17*0.4,0))))</f>
        <v>0</v>
      </c>
      <c r="D23" s="12">
        <f>IF('Options calculs'!I10=10,D17*0.1,IF('Options calculs'!I10=20,D17*0.2,IF('Options calculs'!I10=30,D17*0.3,IF('Options calculs'!I10=40,D17*0.4,0))))</f>
        <v>0</v>
      </c>
      <c r="F23" s="332"/>
      <c r="G23" s="163" t="s">
        <v>103</v>
      </c>
      <c r="H23" s="12">
        <f>IF('Options calculs'!I11=10,H17*0.1,IF('Options calculs'!I11=20,H17*0.2,IF('Options calculs'!I11=30,H17*0.3,IF('Options calculs'!I11=40,H17*0.4,0))))</f>
        <v>0</v>
      </c>
      <c r="I23" s="12">
        <f>IF('Options calculs'!I12=10,I17*0.1,IF('Options calculs'!I12=20,I17*0.2,IF('Options calculs'!I12=30,I17*0.3,IF('Options calculs'!I12=40,I17*0.4,0))))</f>
        <v>0</v>
      </c>
    </row>
    <row r="24" spans="1:15">
      <c r="A24" s="332" t="s">
        <v>1</v>
      </c>
      <c r="B24" s="56" t="s">
        <v>46</v>
      </c>
      <c r="C24" s="13">
        <f>(10*'Options calculs'!G2*1.1^'Options calculs'!G2*(1.44-0.004*Production!C2))*'Options calculs'!D9</f>
        <v>17136.708980227999</v>
      </c>
      <c r="D24" s="13">
        <f>10*'Options calculs'!G3*1.1^'Options calculs'!G3*(1.44-0.004*Production!D2)*'Options calculs'!D10</f>
        <v>17136.708980227999</v>
      </c>
      <c r="F24" s="332" t="s">
        <v>1</v>
      </c>
      <c r="G24" s="56" t="s">
        <v>46</v>
      </c>
      <c r="H24" s="13">
        <f>10*'Options calculs'!G4*1.1^'Options calculs'!G4*(1.44-0.004*Production!H2)*'Options calculs'!D11</f>
        <v>67118.776839226339</v>
      </c>
      <c r="I24" s="13">
        <f>10*'Options calculs'!G5*1.1^'Options calculs'!G5*(1.44-0.004*Production!I2)*'Options calculs'!D12</f>
        <v>67118.776839226339</v>
      </c>
    </row>
    <row r="25" spans="1:15">
      <c r="A25" s="332"/>
      <c r="B25" s="56" t="s">
        <v>45</v>
      </c>
      <c r="C25" s="13">
        <f>(('Options calculs'!H2*0.33)*C24)/100</f>
        <v>735.16481525178108</v>
      </c>
      <c r="D25" s="13">
        <f>(('Options calculs'!H3*0.33)*D24)/100</f>
        <v>735.16481525178108</v>
      </c>
      <c r="F25" s="332"/>
      <c r="G25" s="56" t="s">
        <v>45</v>
      </c>
      <c r="H25" s="13">
        <f>(('Options calculs'!H4*0.33)*H24)/100</f>
        <v>2879.39552640281</v>
      </c>
      <c r="I25" s="13">
        <f>(('Options calculs'!H5*0.33)*I24)/100</f>
        <v>2879.39552640281</v>
      </c>
    </row>
    <row r="26" spans="1:15">
      <c r="A26" s="332"/>
      <c r="B26" s="56" t="s">
        <v>40</v>
      </c>
      <c r="C26" s="13">
        <f>((0.02*C24)/100)*'Options calculs'!M2</f>
        <v>0</v>
      </c>
      <c r="D26" s="13">
        <f>((0.02*D24)/100)*'Options calculs'!M3</f>
        <v>2604.779764994656</v>
      </c>
      <c r="F26" s="332"/>
      <c r="G26" s="56" t="s">
        <v>40</v>
      </c>
      <c r="H26" s="13">
        <f>((0.02*H24)/100)*'Options calculs'!M4</f>
        <v>0</v>
      </c>
      <c r="I26" s="13">
        <f>((0.02*I24)/100)*'Options calculs'!M5</f>
        <v>10202.054079562404</v>
      </c>
    </row>
    <row r="27" spans="1:15">
      <c r="A27" s="332"/>
      <c r="B27" s="56" t="s">
        <v>81</v>
      </c>
      <c r="C27" s="13">
        <f>IF('Options calculs'!C9="Collecteur",(C24*0.25),0)</f>
        <v>0</v>
      </c>
      <c r="D27" s="13">
        <f>IF('Options calculs'!C10="Collecteur",(D24*1.25),0)</f>
        <v>0</v>
      </c>
      <c r="F27" s="332"/>
      <c r="G27" s="56" t="s">
        <v>81</v>
      </c>
      <c r="H27" s="13">
        <f>IF('Options calculs'!C11="Collecteur",(H24*0.25),0)</f>
        <v>0</v>
      </c>
      <c r="I27" s="13">
        <f>IF('Options calculs'!C12="Collecteur",(I24*1.25),0)</f>
        <v>0</v>
      </c>
    </row>
    <row r="28" spans="1:15">
      <c r="A28" s="332"/>
      <c r="B28" s="56" t="s">
        <v>100</v>
      </c>
      <c r="C28" s="13">
        <f>IF('Options calculs'!E9="oui",C24*0.02,0)</f>
        <v>0</v>
      </c>
      <c r="D28" s="13">
        <f>IF('Options calculs'!E10="oui",D24*0.02,0)</f>
        <v>0</v>
      </c>
      <c r="F28" s="332"/>
      <c r="G28" s="56" t="s">
        <v>100</v>
      </c>
      <c r="H28" s="13">
        <f>IF('Options calculs'!E11="oui",H24*0.02,0)</f>
        <v>0</v>
      </c>
      <c r="I28" s="13">
        <f>IF('Options calculs'!E12="oui",I24*0.02,0)</f>
        <v>0</v>
      </c>
      <c r="M28" s="293" t="s">
        <v>125</v>
      </c>
      <c r="N28" s="293" t="s">
        <v>124</v>
      </c>
      <c r="O28" s="289" t="s">
        <v>131</v>
      </c>
    </row>
    <row r="29" spans="1:15">
      <c r="A29" s="332"/>
      <c r="B29" s="56" t="s">
        <v>99</v>
      </c>
      <c r="C29" s="13">
        <f>IF('Options calculs'!F9="Oui",C24*0.1,0)</f>
        <v>0</v>
      </c>
      <c r="D29" s="13">
        <f>IF('Options calculs'!F10="Oui",D24*0.1,0)</f>
        <v>0</v>
      </c>
      <c r="F29" s="332"/>
      <c r="G29" s="56" t="s">
        <v>99</v>
      </c>
      <c r="H29" s="13">
        <f>IF('Options calculs'!F11="Oui",H24*0.1,0)</f>
        <v>0</v>
      </c>
      <c r="I29" s="13">
        <f>IF('Options calculs'!F12="Oui",I24*0.1,0)</f>
        <v>0</v>
      </c>
      <c r="L29" s="289" t="s">
        <v>10</v>
      </c>
      <c r="M29" s="2">
        <v>10</v>
      </c>
      <c r="N29" s="2">
        <f>M29+1</f>
        <v>11</v>
      </c>
    </row>
    <row r="30" spans="1:15">
      <c r="A30" s="332"/>
      <c r="B30" s="56" t="s">
        <v>104</v>
      </c>
      <c r="C30" s="13">
        <f>IF('Options calculs'!J9=10,C24*0.1,IF('Options calculs'!J9=20,C24*0.2,IF('Options calculs'!J9=30,C24*0.3,IF('Options calculs'!J9=40,C24*0.4,0))))</f>
        <v>0</v>
      </c>
      <c r="D30" s="13">
        <f>IF('Options calculs'!J10=10,D24*0.1,IF('Options calculs'!J10=20,D24*0.2,IF('Options calculs'!J10=30,D24*0.3,IF('Options calculs'!J10=40,D24*0.4,0))))</f>
        <v>0</v>
      </c>
      <c r="F30" s="332"/>
      <c r="G30" s="56" t="s">
        <v>104</v>
      </c>
      <c r="H30" s="13">
        <f>IF('Options calculs'!J11=10,H24*0.1,IF('Options calculs'!J11=20,H24*0.2,IF('Options calculs'!J11=30,H24*0.3,IF('Options calculs'!J11=40,H24*0.4,0))))</f>
        <v>0</v>
      </c>
      <c r="I30" s="13">
        <f>IF('Options calculs'!J12=10,I24*0.1,IF('Options calculs'!J12=20,I24*0.2,IF('Options calculs'!J12=30,I24*0.3,IF('Options calculs'!J12=40,I24*0.4,0))))</f>
        <v>0</v>
      </c>
      <c r="L30" s="289" t="s">
        <v>126</v>
      </c>
      <c r="M30" s="2">
        <v>10</v>
      </c>
      <c r="N30" s="289">
        <f t="shared" ref="N30:N31" si="0">M30+1</f>
        <v>11</v>
      </c>
    </row>
    <row r="31" spans="1:15">
      <c r="B31" s="160" t="s">
        <v>92</v>
      </c>
      <c r="C31" s="161">
        <f>(10*'Options calculs'!J2*1.1^'Options calculs'!J2)*'Options calculs'!D9</f>
        <v>0</v>
      </c>
      <c r="D31" s="161">
        <f>(10*'Options calculs'!J3*1.1^'Options calculs'!J3)*'Options calculs'!D10</f>
        <v>0</v>
      </c>
      <c r="G31" s="160" t="s">
        <v>92</v>
      </c>
      <c r="H31" s="161">
        <f>(10*'Options calculs'!J4*1.1^'Options calculs'!J4)*'Options calculs'!D11</f>
        <v>6004.7106985716164</v>
      </c>
      <c r="I31" s="161">
        <f>(10*'Options calculs'!J5*1.1^'Options calculs'!J5)*'Options calculs'!D12</f>
        <v>8072.9999391907304</v>
      </c>
      <c r="L31" s="289" t="s">
        <v>127</v>
      </c>
      <c r="M31" s="2">
        <v>10</v>
      </c>
      <c r="N31" s="289">
        <f t="shared" si="0"/>
        <v>11</v>
      </c>
    </row>
    <row r="34" spans="2:15">
      <c r="B34" s="42" t="s">
        <v>118</v>
      </c>
      <c r="C34" s="1"/>
      <c r="D34" s="1"/>
      <c r="G34" s="42" t="s">
        <v>49</v>
      </c>
      <c r="H34" s="1"/>
      <c r="I34" s="1"/>
      <c r="L34" s="289" t="s">
        <v>129</v>
      </c>
    </row>
    <row r="35" spans="2:15">
      <c r="B35" s="42" t="s">
        <v>10</v>
      </c>
      <c r="C35" s="1">
        <f>C6+C7+C8+C9+C10+C11+C12+C13</f>
        <v>176857.46569679413</v>
      </c>
      <c r="D35" s="1">
        <f>D6+D7+D8+D9+D10+D11+D12+D13</f>
        <v>200622.93010910627</v>
      </c>
      <c r="G35" s="42" t="s">
        <v>10</v>
      </c>
      <c r="H35" s="1">
        <f>H6+H7+H8+H9+H10+H11+H12+H13</f>
        <v>176857.46569679413</v>
      </c>
      <c r="I35" s="1">
        <f>I6+I7+I8+I9+I10+I11+I12+I13</f>
        <v>200622.93010910627</v>
      </c>
      <c r="L35" s="289" t="s">
        <v>128</v>
      </c>
      <c r="M35" s="2">
        <f>60*(1-1.5^M29)/(-0.5)</f>
        <v>6799.8046875</v>
      </c>
      <c r="N35" s="2">
        <f>60*(1-1.5^N29)/(-0.5)</f>
        <v>10259.70703125</v>
      </c>
      <c r="O35" s="2">
        <f>N35-M35</f>
        <v>3459.90234375</v>
      </c>
    </row>
    <row r="36" spans="2:15">
      <c r="B36" s="42" t="s">
        <v>0</v>
      </c>
      <c r="C36" s="1">
        <f>C14+C17+C18+C19+C20+C21+C22+C23</f>
        <v>88759.905403046316</v>
      </c>
      <c r="D36" s="1">
        <f>D14+D17+D18+D19+D20+D21+D22+D23</f>
        <v>101172.71220104137</v>
      </c>
      <c r="G36" s="42" t="s">
        <v>0</v>
      </c>
      <c r="H36" s="1">
        <f>H14+H17+H18+H19+H20+H21+H22+H23</f>
        <v>68297.619540804852</v>
      </c>
      <c r="I36" s="1">
        <f>I14+I17+I18+I19+I20+I21+I22+I23</f>
        <v>77845.932462339522</v>
      </c>
      <c r="L36" s="289" t="s">
        <v>126</v>
      </c>
    </row>
    <row r="37" spans="2:15">
      <c r="B37" s="42" t="s">
        <v>1</v>
      </c>
      <c r="C37" s="1">
        <f>C24+C25+C26+C27+C28+C29+C30-C31</f>
        <v>17871.87379547978</v>
      </c>
      <c r="D37" s="1">
        <f>D24+D25+D26+D27+D28+D29+D30-D31</f>
        <v>20476.653560474435</v>
      </c>
      <c r="G37" s="42" t="s">
        <v>1</v>
      </c>
      <c r="H37" s="1">
        <f>H24+H25+H26+H27+H28+H29+H30-H31</f>
        <v>63993.461667057527</v>
      </c>
      <c r="I37" s="1">
        <f>I24+I25+I26+I27+I28+I29+I30-I31</f>
        <v>72127.226506000807</v>
      </c>
      <c r="L37" s="289" t="s">
        <v>127</v>
      </c>
    </row>
    <row r="39" spans="2:15">
      <c r="B39" s="42" t="s">
        <v>119</v>
      </c>
      <c r="C39" s="1"/>
      <c r="D39" s="1"/>
      <c r="G39" s="42" t="s">
        <v>119</v>
      </c>
      <c r="H39" s="1"/>
      <c r="I39" s="1"/>
      <c r="L39" s="289" t="s">
        <v>130</v>
      </c>
      <c r="M39" s="289"/>
      <c r="N39" s="289"/>
    </row>
    <row r="40" spans="2:15">
      <c r="B40" s="42" t="s">
        <v>10</v>
      </c>
      <c r="C40" s="1">
        <f>C35*C5*24</f>
        <v>46690370.943953648</v>
      </c>
      <c r="D40" s="1">
        <f>D35*D5*24</f>
        <v>52964453.548804052</v>
      </c>
      <c r="G40" s="42" t="s">
        <v>10</v>
      </c>
      <c r="H40" s="1">
        <f>H35*H5*24</f>
        <v>46690370.943953648</v>
      </c>
      <c r="I40" s="1">
        <f>I35*I5*24</f>
        <v>52964453.548804052</v>
      </c>
      <c r="L40" s="289" t="s">
        <v>128</v>
      </c>
      <c r="M40" s="289">
        <f>60*(1-1.5^M34)/(-0.5)</f>
        <v>0</v>
      </c>
      <c r="N40" s="289">
        <f>60*(1-1.5^N34)/(-0.5)</f>
        <v>0</v>
      </c>
    </row>
    <row r="41" spans="2:15">
      <c r="B41" s="42" t="s">
        <v>0</v>
      </c>
      <c r="C41" s="1">
        <f>C36*C5*24</f>
        <v>23432615.026404228</v>
      </c>
      <c r="D41" s="1">
        <f>D36*D5*24</f>
        <v>26709596.021074925</v>
      </c>
      <c r="G41" s="42" t="s">
        <v>0</v>
      </c>
      <c r="H41" s="1">
        <f>H36*H5*24</f>
        <v>18030571.558772482</v>
      </c>
      <c r="I41" s="1">
        <f>I36*I5*24</f>
        <v>20551326.170057632</v>
      </c>
      <c r="L41" s="289" t="s">
        <v>126</v>
      </c>
      <c r="M41" s="289"/>
      <c r="N41" s="289"/>
    </row>
    <row r="42" spans="2:15">
      <c r="B42" s="42" t="s">
        <v>1</v>
      </c>
      <c r="C42" s="1">
        <f>C37*C5*24</f>
        <v>4718174.6820066618</v>
      </c>
      <c r="D42" s="1">
        <f>D37*D5*24</f>
        <v>5405836.5399652515</v>
      </c>
      <c r="G42" s="42" t="s">
        <v>1</v>
      </c>
      <c r="H42" s="1">
        <f>H37*H5*24</f>
        <v>16894273.880103186</v>
      </c>
      <c r="I42" s="1">
        <f>I37*I5*24</f>
        <v>19041587.797584213</v>
      </c>
      <c r="L42" s="289" t="s">
        <v>127</v>
      </c>
      <c r="M42" s="289"/>
      <c r="N42" s="289"/>
    </row>
  </sheetData>
  <mergeCells count="6">
    <mergeCell ref="A6:A13"/>
    <mergeCell ref="A14:A23"/>
    <mergeCell ref="A24:A30"/>
    <mergeCell ref="F6:F13"/>
    <mergeCell ref="F14:F23"/>
    <mergeCell ref="F24:F30"/>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Options calculs</vt:lpstr>
      <vt:lpstr>Investissement cumulé A</vt:lpstr>
      <vt:lpstr>Investissement cumulé B</vt:lpstr>
      <vt:lpstr>Production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dc:creator>
  <cp:lastModifiedBy>Boris</cp:lastModifiedBy>
  <dcterms:created xsi:type="dcterms:W3CDTF">2020-04-10T16:31:06Z</dcterms:created>
  <dcterms:modified xsi:type="dcterms:W3CDTF">2020-04-27T19:23:05Z</dcterms:modified>
</cp:coreProperties>
</file>