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720" windowHeight="11835"/>
  </bookViews>
  <sheets>
    <sheet name="Calcul IS 2019" sheetId="1" r:id="rId1"/>
  </sheets>
  <definedNames>
    <definedName name="EX">#REF!</definedName>
    <definedName name="EXER">#REF!</definedName>
    <definedName name="Exerc">#REF!</definedName>
    <definedName name="Exercice">'Calcul IS 2019'!$E$14</definedName>
    <definedName name="RESF">#REF!</definedName>
    <definedName name="RESFG">#REF!</definedName>
    <definedName name="RF">'Calcul IS 2019'!$D$41</definedName>
    <definedName name="YEAR">#REF!</definedName>
    <definedName name="_xlnm.Print_Area" localSheetId="0">'Calcul IS 2019'!$A$1:$E$78</definedName>
  </definedNames>
  <calcPr calcId="124519"/>
</workbook>
</file>

<file path=xl/calcChain.xml><?xml version="1.0" encoding="utf-8"?>
<calcChain xmlns="http://schemas.openxmlformats.org/spreadsheetml/2006/main">
  <c r="D56" i="1"/>
  <c r="C25"/>
  <c r="D21"/>
  <c r="D22" s="1"/>
  <c r="E22" s="1"/>
  <c r="C20"/>
  <c r="C31" s="1"/>
  <c r="E21" l="1"/>
  <c r="D23"/>
  <c r="E23" l="1"/>
  <c r="D24"/>
  <c r="E24" l="1"/>
  <c r="E20" s="1"/>
  <c r="D20"/>
  <c r="D26"/>
  <c r="E26" l="1"/>
  <c r="D27"/>
  <c r="E27" s="1"/>
  <c r="D28" l="1"/>
  <c r="E28" s="1"/>
  <c r="D29" l="1"/>
  <c r="E29" s="1"/>
  <c r="D30" l="1"/>
  <c r="E30" s="1"/>
  <c r="E25" s="1"/>
  <c r="E31" s="1"/>
  <c r="D25" l="1"/>
  <c r="D31" s="1"/>
  <c r="B5" l="1"/>
  <c r="E64"/>
  <c r="E65" s="1"/>
  <c r="E63"/>
  <c r="D60"/>
  <c r="D49"/>
  <c r="D59"/>
  <c r="D58"/>
  <c r="D45" l="1"/>
  <c r="E33"/>
  <c r="B30"/>
  <c r="B29"/>
  <c r="B28"/>
  <c r="B27"/>
  <c r="B24"/>
  <c r="B23"/>
  <c r="B22"/>
  <c r="B21"/>
  <c r="D51" l="1"/>
  <c r="D61"/>
  <c r="E55" s="1"/>
  <c r="E53" l="1"/>
  <c r="E44"/>
  <c r="C70" s="1"/>
  <c r="E47"/>
  <c r="E48"/>
  <c r="E43"/>
  <c r="C68" s="1"/>
  <c r="E54"/>
  <c r="C69" l="1"/>
  <c r="E61"/>
  <c r="E34" l="1"/>
  <c r="E35" s="1"/>
  <c r="D40" s="1"/>
  <c r="D41" s="1"/>
  <c r="E69" s="1"/>
  <c r="E70" l="1"/>
  <c r="D69"/>
  <c r="D68"/>
  <c r="E68" s="1"/>
  <c r="D70"/>
  <c r="C72" l="1"/>
  <c r="E72"/>
  <c r="D72"/>
  <c r="D73" s="1"/>
  <c r="E74" l="1"/>
  <c r="E73"/>
</calcChain>
</file>

<file path=xl/sharedStrings.xml><?xml version="1.0" encoding="utf-8"?>
<sst xmlns="http://schemas.openxmlformats.org/spreadsheetml/2006/main" count="76" uniqueCount="71">
  <si>
    <t>Société :</t>
  </si>
  <si>
    <t xml:space="preserve">IF : </t>
  </si>
  <si>
    <t>A l'attention de Monsieur le Chef de la subdivision des Personnes Morales</t>
  </si>
  <si>
    <t>Monsieur,</t>
  </si>
  <si>
    <t>Bénéfice ==&gt;</t>
  </si>
  <si>
    <t>Perte ==&gt;</t>
  </si>
  <si>
    <t>CUMUL DES DEFICITS &amp; AMORTISSEMENT FISCAUX</t>
  </si>
  <si>
    <t>déficit Fiscal</t>
  </si>
  <si>
    <t>déficit Imputé Ex</t>
  </si>
  <si>
    <t>Reliquat à différer</t>
  </si>
  <si>
    <t>Cumul des Déficits sur exploitation à imputer :</t>
  </si>
  <si>
    <t>Cumul Amortissements Fiscalement Différés :</t>
  </si>
  <si>
    <t>Cumul Amortissements Fiscalement Différés (Antérieur)</t>
  </si>
  <si>
    <t>CUMUL DES DEFICITS &amp; AMT FISCAUX DIFFERES</t>
  </si>
  <si>
    <t>II - CALCUL DE L'IMPOT SUR LES SOCIETES :</t>
  </si>
  <si>
    <t>Taux IS</t>
  </si>
  <si>
    <t>Montant</t>
  </si>
  <si>
    <t>% / RF</t>
  </si>
  <si>
    <t>Résultat fiscal net (après imputation des déficits antérieurs)</t>
  </si>
  <si>
    <t>Résultat fiscal arrondi à 10 dh supérieur</t>
  </si>
  <si>
    <t>Elements de calcul de l'IS définitif</t>
  </si>
  <si>
    <t>% RF</t>
  </si>
  <si>
    <t>Prorata RF en dh</t>
  </si>
  <si>
    <t>TOTAUX</t>
  </si>
  <si>
    <t>Veuillez agréer Monsieur le Directeur, nos salutations les meilleures.</t>
  </si>
  <si>
    <t>Signé :</t>
  </si>
  <si>
    <t>Barème IS</t>
  </si>
  <si>
    <t xml:space="preserve">Total Produits imposables à l'IS et à la CM/IS ===&gt; </t>
  </si>
  <si>
    <t xml:space="preserve">Total Produits imposables à l'IS et exonéré de la CM/IS ===&gt; </t>
  </si>
  <si>
    <t xml:space="preserve">Rappel Chiffre d'Affaire export exonéré IS et de la CM à 100%  ===&gt; </t>
  </si>
  <si>
    <t>Tanger, Bd Mohamed V, n° 01.</t>
  </si>
  <si>
    <t xml:space="preserve">Elèments </t>
  </si>
  <si>
    <t xml:space="preserve">Total des Produits exonérés de la Cotisation Minimale (arrondi 10 dh sup) ===&gt; </t>
  </si>
  <si>
    <t xml:space="preserve">Cotisation minimale de 0,50% du CA imposable HT ===&gt; </t>
  </si>
  <si>
    <t xml:space="preserve">Total des Produits imposables à la Cotisation Minimale (arrondi 10 dh sup) ===&gt; </t>
  </si>
  <si>
    <t>Montant définitif à payer IS ou CM/IS ===&gt;</t>
  </si>
  <si>
    <t xml:space="preserve">RF correspondant au CA export exo à 100% ===&gt; </t>
  </si>
  <si>
    <t xml:space="preserve">RF correspondant au CA imposé au taux réduit 17,50 ou 10% ===&gt; </t>
  </si>
  <si>
    <t xml:space="preserve">RESULTAT FISCAL AVANT IMPUTATION DES DEFICITS ===&gt; </t>
  </si>
  <si>
    <t xml:space="preserve">IMPUTATION DES DEFICITS ===&gt; </t>
  </si>
  <si>
    <t xml:space="preserve">RESULTAT FISCAL APRES IMPUTATION DES DEFICITS ===&gt; </t>
  </si>
  <si>
    <t>&lt;=== saisir le résultat fiscal en vert</t>
  </si>
  <si>
    <t>IS définitif</t>
  </si>
  <si>
    <t>Adresse :</t>
  </si>
  <si>
    <t xml:space="preserve">Tanger, le  </t>
  </si>
  <si>
    <t>DIRECTION REGIONALE DES IMPOTS de TANGER</t>
  </si>
  <si>
    <t xml:space="preserve">Total Chiffre d'affaire HT==&gt; </t>
  </si>
  <si>
    <t xml:space="preserve">Total Autres Produits HT==&gt; </t>
  </si>
  <si>
    <t xml:space="preserve">TOTAL CHIFFRE D'AFFAIRE GLOBAL HT ==&gt; </t>
  </si>
  <si>
    <t xml:space="preserve">TOTAL CHIFFRE D'AFFAIRE EXPORT ==&gt; </t>
  </si>
  <si>
    <t xml:space="preserve">TOTAL CHIFFRE D'AFFAIRE LOCAL ==&gt; </t>
  </si>
  <si>
    <t xml:space="preserve">Exercice  ====&gt; </t>
  </si>
  <si>
    <t>&lt;======== Saisir les déficits sur exploitation antérieurs en vert</t>
  </si>
  <si>
    <t>&lt;====== Saisir les amortissments différés antérieurs en vert</t>
  </si>
  <si>
    <t>&lt;==== Saisir l'Exercice concerné</t>
  </si>
  <si>
    <t xml:space="preserve">&lt;=== Servir l'une des cases en vert (colonne D) selon le cas exo ou tax </t>
  </si>
  <si>
    <t>Nous vous prions de bien vouloir prendre note du calcul du résultat fiscal imposable et de L’IS/CM correspondant selon le tableau n°15 de l'annexe-bilan ci-joint :</t>
  </si>
  <si>
    <r>
      <rPr>
        <b/>
        <i/>
        <sz val="16"/>
        <color rgb="FFFF0000"/>
        <rFont val="Calibri"/>
        <family val="2"/>
        <scheme val="minor"/>
      </rPr>
      <t>NB :</t>
    </r>
    <r>
      <rPr>
        <b/>
        <i/>
        <sz val="16"/>
        <color rgb="FF008000"/>
        <rFont val="Calibri"/>
        <family val="2"/>
        <scheme val="minor"/>
      </rPr>
      <t xml:space="preserve"> remplir uniquement les cases en vert.</t>
    </r>
  </si>
  <si>
    <r>
      <t xml:space="preserve">Chiffre d'affaire export exonéré à 100% (5 premiers exercices exo CM/IS) </t>
    </r>
    <r>
      <rPr>
        <b/>
        <i/>
        <sz val="12"/>
        <color theme="3" tint="-0.249977111117893"/>
        <rFont val="Calibri"/>
        <family val="2"/>
        <scheme val="minor"/>
      </rPr>
      <t>OU:</t>
    </r>
  </si>
  <si>
    <t>Chiffre d'affaire export imposable au taux réduit (Dès le 6e exerice avec CM/IS)</t>
  </si>
  <si>
    <t>Chiffre d'affaire local imposable (Dès le 4e exercice d'activité avec CM/IS)</t>
  </si>
  <si>
    <t>Chiffre d'affaire local imposable (durant les trois 1ers exerices d'activité exo CM/IS)</t>
  </si>
  <si>
    <t>Autres Produits imposables ( durant les trois 1ers exercices d'activité exo CM/IS)</t>
  </si>
  <si>
    <t>Autres Produits imposables (Dès le 4e exercice d'activité avec CM/IS)</t>
  </si>
  <si>
    <t>17,5% ou 10%</t>
  </si>
  <si>
    <t>Barème Prop IS</t>
  </si>
  <si>
    <t xml:space="preserve">RF correspondant au CA imposé au barème Prop. IS ===&gt; </t>
  </si>
  <si>
    <t>Autres Produits imposables IS (Quelque soit l'exercice d'activité exo de CM/IS)</t>
  </si>
  <si>
    <t>RESULTAT FISCAL AVANT IMPUTATION DES DEFICITS ANTERIEURS 2016 ====&gt;</t>
  </si>
  <si>
    <t>I - CALCUL RESULTAT FISCAL APRES IMPUTATION DES DEFICITS ANTERIEURS :</t>
  </si>
  <si>
    <t>Sté TESTOSTERONE sarl</t>
  </si>
</sst>
</file>

<file path=xl/styles.xml><?xml version="1.0" encoding="utf-8"?>
<styleSheet xmlns="http://schemas.openxmlformats.org/spreadsheetml/2006/main">
  <numFmts count="7">
    <numFmt numFmtId="43" formatCode="_-* #,##0.00\ _€_-;\-* #,##0.00\ _€_-;_-* &quot;-&quot;??\ _€_-;_-@_-"/>
    <numFmt numFmtId="164" formatCode="[$-F800]dddd\,\ mmmm\ dd\,\ yyyy"/>
    <numFmt numFmtId="165" formatCode="_-* #,##0.00\ _F_-;\-* #,##0.00\ _F_-;_-* &quot;-&quot;??\ _F_-;_-@_-"/>
    <numFmt numFmtId="166" formatCode="#,##0.00_ ;[Red]\-#,##0.00\ "/>
    <numFmt numFmtId="167" formatCode="#,##0.00_ ;\-#,##0.00\ "/>
    <numFmt numFmtId="168" formatCode="_-* #,##0\ _€_-;\-* #,##0\ _€_-;_-* &quot;-&quot;??\ _€_-;_-@_-"/>
    <numFmt numFmtId="169" formatCode="0_ ;\-0\ 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rgb="FF008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1D8B37"/>
      <name val="Calibri"/>
      <family val="2"/>
      <scheme val="minor"/>
    </font>
    <font>
      <b/>
      <sz val="14"/>
      <color rgb="FF008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rgb="FF008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6"/>
      <color rgb="FF008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b/>
      <i/>
      <sz val="12"/>
      <color theme="3" tint="-0.249977111117893"/>
      <name val="Calibri"/>
      <family val="2"/>
      <scheme val="minor"/>
    </font>
    <font>
      <b/>
      <i/>
      <u/>
      <sz val="12"/>
      <color theme="3" tint="-0.249977111117893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 val="singleAccounting"/>
      <sz val="12"/>
      <color theme="3" tint="-0.249977111117893"/>
      <name val="Calibri"/>
      <family val="2"/>
      <scheme val="minor"/>
    </font>
    <font>
      <b/>
      <u val="singleAccounting"/>
      <sz val="12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</cellStyleXfs>
  <cellXfs count="164">
    <xf numFmtId="0" fontId="0" fillId="0" borderId="0" xfId="0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65" fontId="8" fillId="0" borderId="0" xfId="1" quotePrefix="1" applyNumberFormat="1" applyFont="1" applyBorder="1"/>
    <xf numFmtId="165" fontId="6" fillId="0" borderId="0" xfId="1" applyNumberFormat="1" applyFont="1" applyAlignment="1">
      <alignment horizontal="left"/>
    </xf>
    <xf numFmtId="0" fontId="0" fillId="0" borderId="0" xfId="0" applyFont="1" applyAlignment="1">
      <alignment vertical="center"/>
    </xf>
    <xf numFmtId="10" fontId="6" fillId="0" borderId="0" xfId="2" applyNumberFormat="1" applyFont="1" applyAlignment="1">
      <alignment horizontal="left" vertical="center"/>
    </xf>
    <xf numFmtId="165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0" fontId="6" fillId="0" borderId="0" xfId="2" applyNumberFormat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165" fontId="8" fillId="0" borderId="0" xfId="1" quotePrefix="1" applyNumberFormat="1" applyFont="1" applyBorder="1" applyAlignment="1">
      <alignment vertical="center"/>
    </xf>
    <xf numFmtId="43" fontId="6" fillId="0" borderId="0" xfId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167" fontId="16" fillId="0" borderId="0" xfId="0" applyNumberFormat="1" applyFont="1" applyAlignment="1">
      <alignment horizontal="left" vertical="center"/>
    </xf>
    <xf numFmtId="165" fontId="19" fillId="0" borderId="0" xfId="0" applyNumberFormat="1" applyFont="1" applyAlignment="1">
      <alignment vertical="center"/>
    </xf>
    <xf numFmtId="10" fontId="16" fillId="0" borderId="0" xfId="2" applyNumberFormat="1" applyFont="1" applyAlignment="1">
      <alignment horizontal="left" vertical="center"/>
    </xf>
    <xf numFmtId="10" fontId="16" fillId="0" borderId="0" xfId="2" applyNumberFormat="1" applyFont="1" applyAlignment="1">
      <alignment horizontal="left"/>
    </xf>
    <xf numFmtId="0" fontId="19" fillId="0" borderId="0" xfId="0" applyFont="1"/>
    <xf numFmtId="0" fontId="34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/>
    </xf>
    <xf numFmtId="167" fontId="22" fillId="0" borderId="0" xfId="1" applyNumberFormat="1" applyFont="1" applyBorder="1" applyAlignment="1">
      <alignment horizontal="right" vertical="center"/>
    </xf>
    <xf numFmtId="10" fontId="10" fillId="0" borderId="0" xfId="2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166" fontId="15" fillId="2" borderId="0" xfId="4" applyNumberFormat="1" applyFont="1" applyFill="1" applyBorder="1" applyAlignment="1">
      <alignment horizontal="center" vertical="center" wrapText="1"/>
    </xf>
    <xf numFmtId="167" fontId="13" fillId="3" borderId="1" xfId="3" applyNumberFormat="1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0" fontId="0" fillId="0" borderId="0" xfId="0" applyNumberFormat="1" applyFont="1" applyAlignment="1">
      <alignment vertical="center"/>
    </xf>
    <xf numFmtId="9" fontId="0" fillId="0" borderId="0" xfId="0" applyNumberFormat="1" applyFont="1" applyAlignment="1">
      <alignment vertical="center"/>
    </xf>
    <xf numFmtId="166" fontId="9" fillId="3" borderId="5" xfId="4" applyNumberFormat="1" applyFont="1" applyFill="1" applyBorder="1" applyAlignment="1">
      <alignment vertical="center"/>
    </xf>
    <xf numFmtId="166" fontId="9" fillId="3" borderId="6" xfId="4" applyNumberFormat="1" applyFont="1" applyFill="1" applyBorder="1" applyAlignment="1">
      <alignment vertical="center"/>
    </xf>
    <xf numFmtId="166" fontId="9" fillId="3" borderId="7" xfId="4" applyNumberFormat="1" applyFont="1" applyFill="1" applyBorder="1" applyAlignment="1">
      <alignment vertical="center"/>
    </xf>
    <xf numFmtId="4" fontId="29" fillId="4" borderId="3" xfId="0" applyNumberFormat="1" applyFont="1" applyFill="1" applyBorder="1" applyAlignment="1">
      <alignment vertical="center"/>
    </xf>
    <xf numFmtId="4" fontId="20" fillId="4" borderId="3" xfId="0" applyNumberFormat="1" applyFont="1" applyFill="1" applyBorder="1" applyAlignment="1">
      <alignment vertical="center"/>
    </xf>
    <xf numFmtId="167" fontId="26" fillId="4" borderId="1" xfId="1" applyNumberFormat="1" applyFont="1" applyFill="1" applyBorder="1" applyAlignment="1">
      <alignment vertical="center"/>
    </xf>
    <xf numFmtId="166" fontId="27" fillId="4" borderId="6" xfId="4" applyNumberFormat="1" applyFont="1" applyFill="1" applyBorder="1" applyAlignment="1">
      <alignment vertical="center"/>
    </xf>
    <xf numFmtId="166" fontId="27" fillId="4" borderId="7" xfId="4" applyNumberFormat="1" applyFont="1" applyFill="1" applyBorder="1" applyAlignment="1">
      <alignment vertical="center"/>
    </xf>
    <xf numFmtId="167" fontId="26" fillId="4" borderId="5" xfId="1" applyNumberFormat="1" applyFont="1" applyFill="1" applyBorder="1" applyAlignment="1">
      <alignment vertical="center"/>
    </xf>
    <xf numFmtId="166" fontId="26" fillId="4" borderId="1" xfId="0" applyNumberFormat="1" applyFont="1" applyFill="1" applyBorder="1" applyAlignment="1">
      <alignment vertical="center"/>
    </xf>
    <xf numFmtId="0" fontId="33" fillId="4" borderId="9" xfId="0" applyFont="1" applyFill="1" applyBorder="1" applyAlignment="1">
      <alignment vertical="center"/>
    </xf>
    <xf numFmtId="0" fontId="33" fillId="4" borderId="10" xfId="0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/>
    </xf>
    <xf numFmtId="10" fontId="28" fillId="4" borderId="12" xfId="2" applyNumberFormat="1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167" fontId="11" fillId="4" borderId="13" xfId="1" applyNumberFormat="1" applyFont="1" applyFill="1" applyBorder="1" applyAlignment="1">
      <alignment horizontal="right" vertical="center"/>
    </xf>
    <xf numFmtId="10" fontId="27" fillId="4" borderId="14" xfId="2" applyNumberFormat="1" applyFont="1" applyFill="1" applyBorder="1" applyAlignment="1">
      <alignment horizontal="left" vertical="center"/>
    </xf>
    <xf numFmtId="0" fontId="24" fillId="4" borderId="9" xfId="0" applyFont="1" applyFill="1" applyBorder="1" applyAlignment="1">
      <alignment vertical="center"/>
    </xf>
    <xf numFmtId="0" fontId="22" fillId="4" borderId="12" xfId="0" applyFont="1" applyFill="1" applyBorder="1" applyAlignment="1">
      <alignment vertical="center"/>
    </xf>
    <xf numFmtId="167" fontId="24" fillId="4" borderId="11" xfId="1" applyNumberFormat="1" applyFont="1" applyFill="1" applyBorder="1" applyAlignment="1">
      <alignment horizontal="right" vertical="center"/>
    </xf>
    <xf numFmtId="10" fontId="29" fillId="4" borderId="3" xfId="2" applyNumberFormat="1" applyFont="1" applyFill="1" applyBorder="1" applyAlignment="1">
      <alignment horizontal="left" vertical="center"/>
    </xf>
    <xf numFmtId="0" fontId="10" fillId="4" borderId="15" xfId="0" applyFont="1" applyFill="1" applyBorder="1" applyAlignment="1">
      <alignment vertical="center"/>
    </xf>
    <xf numFmtId="0" fontId="10" fillId="4" borderId="16" xfId="0" applyFont="1" applyFill="1" applyBorder="1" applyAlignment="1">
      <alignment vertical="center"/>
    </xf>
    <xf numFmtId="165" fontId="10" fillId="4" borderId="17" xfId="1" applyNumberFormat="1" applyFont="1" applyFill="1" applyBorder="1" applyAlignment="1">
      <alignment horizontal="left" vertical="center"/>
    </xf>
    <xf numFmtId="10" fontId="27" fillId="4" borderId="3" xfId="2" applyNumberFormat="1" applyFont="1" applyFill="1" applyBorder="1" applyAlignment="1">
      <alignment horizontal="left" vertical="center"/>
    </xf>
    <xf numFmtId="0" fontId="30" fillId="4" borderId="18" xfId="0" applyFont="1" applyFill="1" applyBorder="1" applyAlignment="1">
      <alignment vertical="center"/>
    </xf>
    <xf numFmtId="10" fontId="29" fillId="4" borderId="1" xfId="2" applyNumberFormat="1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20" xfId="0" applyFont="1" applyFill="1" applyBorder="1" applyAlignment="1">
      <alignment horizontal="left" vertical="center"/>
    </xf>
    <xf numFmtId="0" fontId="27" fillId="4" borderId="21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left" vertical="center"/>
    </xf>
    <xf numFmtId="0" fontId="27" fillId="4" borderId="27" xfId="0" applyFont="1" applyFill="1" applyBorder="1" applyAlignment="1">
      <alignment horizontal="right" vertical="center"/>
    </xf>
    <xf numFmtId="0" fontId="32" fillId="4" borderId="33" xfId="0" applyFont="1" applyFill="1" applyBorder="1" applyAlignment="1">
      <alignment horizontal="right" vertical="center"/>
    </xf>
    <xf numFmtId="0" fontId="26" fillId="4" borderId="34" xfId="0" applyFont="1" applyFill="1" applyBorder="1" applyAlignment="1">
      <alignment horizontal="left" vertical="center"/>
    </xf>
    <xf numFmtId="0" fontId="31" fillId="4" borderId="33" xfId="0" applyFont="1" applyFill="1" applyBorder="1" applyAlignment="1">
      <alignment horizontal="right" vertical="center"/>
    </xf>
    <xf numFmtId="0" fontId="29" fillId="4" borderId="34" xfId="0" applyFont="1" applyFill="1" applyBorder="1" applyAlignment="1">
      <alignment vertical="center"/>
    </xf>
    <xf numFmtId="0" fontId="23" fillId="4" borderId="40" xfId="0" applyFont="1" applyFill="1" applyBorder="1" applyAlignment="1">
      <alignment horizontal="left" vertical="center"/>
    </xf>
    <xf numFmtId="0" fontId="23" fillId="4" borderId="42" xfId="0" applyFont="1" applyFill="1" applyBorder="1" applyAlignment="1">
      <alignment horizontal="left" vertical="center"/>
    </xf>
    <xf numFmtId="167" fontId="26" fillId="4" borderId="11" xfId="1" applyNumberFormat="1" applyFont="1" applyFill="1" applyBorder="1" applyAlignment="1">
      <alignment horizontal="right" vertical="center"/>
    </xf>
    <xf numFmtId="167" fontId="27" fillId="4" borderId="13" xfId="1" applyNumberFormat="1" applyFont="1" applyFill="1" applyBorder="1" applyAlignment="1">
      <alignment horizontal="right" vertical="center"/>
    </xf>
    <xf numFmtId="167" fontId="26" fillId="4" borderId="19" xfId="1" applyNumberFormat="1" applyFont="1" applyFill="1" applyBorder="1" applyAlignment="1">
      <alignment horizontal="right" vertical="center"/>
    </xf>
    <xf numFmtId="167" fontId="26" fillId="4" borderId="22" xfId="1" applyNumberFormat="1" applyFont="1" applyFill="1" applyBorder="1" applyAlignment="1">
      <alignment horizontal="right" vertical="center"/>
    </xf>
    <xf numFmtId="167" fontId="24" fillId="4" borderId="19" xfId="1" applyNumberFormat="1" applyFont="1" applyFill="1" applyBorder="1" applyAlignment="1">
      <alignment horizontal="right" vertical="center"/>
    </xf>
    <xf numFmtId="167" fontId="23" fillId="4" borderId="43" xfId="1" applyNumberFormat="1" applyFont="1" applyFill="1" applyBorder="1" applyAlignment="1">
      <alignment horizontal="right" vertical="center"/>
    </xf>
    <xf numFmtId="167" fontId="10" fillId="4" borderId="22" xfId="1" applyNumberFormat="1" applyFont="1" applyFill="1" applyBorder="1" applyAlignment="1">
      <alignment horizontal="right" vertical="center"/>
    </xf>
    <xf numFmtId="167" fontId="10" fillId="4" borderId="17" xfId="1" applyNumberFormat="1" applyFont="1" applyFill="1" applyBorder="1" applyAlignment="1">
      <alignment horizontal="right" vertical="center"/>
    </xf>
    <xf numFmtId="167" fontId="11" fillId="4" borderId="19" xfId="1" applyNumberFormat="1" applyFont="1" applyFill="1" applyBorder="1" applyAlignment="1">
      <alignment horizontal="right" vertical="center"/>
    </xf>
    <xf numFmtId="10" fontId="29" fillId="4" borderId="3" xfId="2" applyNumberFormat="1" applyFont="1" applyFill="1" applyBorder="1" applyAlignment="1">
      <alignment horizontal="right" vertical="center"/>
    </xf>
    <xf numFmtId="10" fontId="29" fillId="4" borderId="3" xfId="2" applyNumberFormat="1" applyFont="1" applyFill="1" applyBorder="1" applyAlignment="1">
      <alignment horizontal="center" vertical="center"/>
    </xf>
    <xf numFmtId="10" fontId="27" fillId="4" borderId="3" xfId="2" applyNumberFormat="1" applyFont="1" applyFill="1" applyBorder="1" applyAlignment="1">
      <alignment vertical="center"/>
    </xf>
    <xf numFmtId="10" fontId="27" fillId="4" borderId="21" xfId="2" applyNumberFormat="1" applyFont="1" applyFill="1" applyBorder="1" applyAlignment="1">
      <alignment horizontal="left" vertical="center"/>
    </xf>
    <xf numFmtId="167" fontId="26" fillId="4" borderId="17" xfId="1" applyNumberFormat="1" applyFont="1" applyFill="1" applyBorder="1" applyAlignment="1">
      <alignment horizontal="right" vertical="center"/>
    </xf>
    <xf numFmtId="167" fontId="20" fillId="4" borderId="25" xfId="1" applyNumberFormat="1" applyFont="1" applyFill="1" applyBorder="1" applyAlignment="1">
      <alignment horizontal="right" vertical="center"/>
    </xf>
    <xf numFmtId="0" fontId="35" fillId="4" borderId="15" xfId="0" applyFont="1" applyFill="1" applyBorder="1" applyAlignment="1">
      <alignment vertical="center"/>
    </xf>
    <xf numFmtId="10" fontId="35" fillId="4" borderId="26" xfId="2" applyNumberFormat="1" applyFont="1" applyFill="1" applyBorder="1" applyAlignment="1">
      <alignment horizontal="center" vertical="center"/>
    </xf>
    <xf numFmtId="167" fontId="35" fillId="4" borderId="28" xfId="1" applyNumberFormat="1" applyFont="1" applyFill="1" applyBorder="1" applyAlignment="1">
      <alignment horizontal="center" vertical="center"/>
    </xf>
    <xf numFmtId="165" fontId="35" fillId="4" borderId="17" xfId="1" applyNumberFormat="1" applyFont="1" applyFill="1" applyBorder="1" applyAlignment="1">
      <alignment horizontal="left" vertical="center"/>
    </xf>
    <xf numFmtId="0" fontId="31" fillId="4" borderId="18" xfId="0" applyFont="1" applyFill="1" applyBorder="1" applyAlignment="1">
      <alignment horizontal="right" vertical="center"/>
    </xf>
    <xf numFmtId="10" fontId="29" fillId="4" borderId="1" xfId="2" applyNumberFormat="1" applyFont="1" applyFill="1" applyBorder="1" applyAlignment="1">
      <alignment horizontal="right" vertical="center"/>
    </xf>
    <xf numFmtId="167" fontId="29" fillId="4" borderId="29" xfId="1" applyNumberFormat="1" applyFont="1" applyFill="1" applyBorder="1" applyAlignment="1">
      <alignment horizontal="right" vertical="center"/>
    </xf>
    <xf numFmtId="165" fontId="29" fillId="4" borderId="19" xfId="1" applyNumberFormat="1" applyFont="1" applyFill="1" applyBorder="1" applyAlignment="1">
      <alignment vertical="center"/>
    </xf>
    <xf numFmtId="0" fontId="29" fillId="4" borderId="18" xfId="0" applyFont="1" applyFill="1" applyBorder="1" applyAlignment="1">
      <alignment horizontal="right" vertical="center"/>
    </xf>
    <xf numFmtId="0" fontId="20" fillId="4" borderId="23" xfId="0" applyFont="1" applyFill="1" applyBorder="1" applyAlignment="1">
      <alignment horizontal="right" vertical="center"/>
    </xf>
    <xf numFmtId="10" fontId="24" fillId="4" borderId="30" xfId="2" applyNumberFormat="1" applyFont="1" applyFill="1" applyBorder="1" applyAlignment="1">
      <alignment horizontal="right" vertical="center"/>
    </xf>
    <xf numFmtId="167" fontId="36" fillId="4" borderId="31" xfId="1" applyNumberFormat="1" applyFont="1" applyFill="1" applyBorder="1" applyAlignment="1">
      <alignment horizontal="right" vertical="center"/>
    </xf>
    <xf numFmtId="165" fontId="36" fillId="4" borderId="25" xfId="1" applyNumberFormat="1" applyFont="1" applyFill="1" applyBorder="1" applyAlignment="1">
      <alignment vertical="center"/>
    </xf>
    <xf numFmtId="167" fontId="37" fillId="4" borderId="35" xfId="1" applyNumberFormat="1" applyFont="1" applyFill="1" applyBorder="1" applyAlignment="1">
      <alignment horizontal="right" vertical="center"/>
    </xf>
    <xf numFmtId="167" fontId="9" fillId="3" borderId="19" xfId="1" applyNumberFormat="1" applyFont="1" applyFill="1" applyBorder="1" applyAlignment="1">
      <alignment horizontal="right" vertical="center"/>
    </xf>
    <xf numFmtId="166" fontId="9" fillId="3" borderId="4" xfId="4" applyNumberFormat="1" applyFont="1" applyFill="1" applyBorder="1" applyAlignment="1">
      <alignment vertical="center"/>
    </xf>
    <xf numFmtId="169" fontId="13" fillId="3" borderId="1" xfId="3" applyNumberFormat="1" applyFont="1" applyFill="1" applyBorder="1" applyAlignment="1">
      <alignment horizontal="center" vertical="center"/>
    </xf>
    <xf numFmtId="168" fontId="15" fillId="3" borderId="1" xfId="3" applyNumberFormat="1" applyFont="1" applyFill="1" applyBorder="1" applyAlignment="1">
      <alignment vertical="center"/>
    </xf>
    <xf numFmtId="0" fontId="25" fillId="4" borderId="1" xfId="0" applyFont="1" applyFill="1" applyBorder="1" applyAlignment="1">
      <alignment vertical="center"/>
    </xf>
    <xf numFmtId="165" fontId="28" fillId="4" borderId="1" xfId="4" applyNumberFormat="1" applyFont="1" applyFill="1" applyBorder="1" applyAlignment="1">
      <alignment horizontal="center" vertical="center" wrapText="1"/>
    </xf>
    <xf numFmtId="165" fontId="28" fillId="4" borderId="3" xfId="4" applyNumberFormat="1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vertical="center"/>
    </xf>
    <xf numFmtId="0" fontId="27" fillId="4" borderId="5" xfId="5" applyFont="1" applyFill="1" applyBorder="1" applyAlignment="1">
      <alignment vertical="center"/>
    </xf>
    <xf numFmtId="0" fontId="27" fillId="4" borderId="5" xfId="5" quotePrefix="1" applyFont="1" applyFill="1" applyBorder="1" applyAlignment="1">
      <alignment horizontal="left" vertical="center"/>
    </xf>
    <xf numFmtId="0" fontId="27" fillId="4" borderId="8" xfId="5" applyFont="1" applyFill="1" applyBorder="1" applyAlignment="1">
      <alignment vertical="center"/>
    </xf>
    <xf numFmtId="0" fontId="26" fillId="4" borderId="41" xfId="0" applyFont="1" applyFill="1" applyBorder="1" applyAlignment="1">
      <alignment vertical="center"/>
    </xf>
    <xf numFmtId="4" fontId="21" fillId="4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66" fontId="15" fillId="3" borderId="4" xfId="4" applyNumberFormat="1" applyFont="1" applyFill="1" applyBorder="1" applyAlignment="1">
      <alignment horizontal="center" vertical="center" wrapText="1"/>
    </xf>
    <xf numFmtId="166" fontId="15" fillId="3" borderId="5" xfId="4" applyNumberFormat="1" applyFont="1" applyFill="1" applyBorder="1" applyAlignment="1">
      <alignment horizontal="center" vertical="center" wrapText="1"/>
    </xf>
    <xf numFmtId="166" fontId="15" fillId="3" borderId="8" xfId="4" applyNumberFormat="1" applyFont="1" applyFill="1" applyBorder="1" applyAlignment="1">
      <alignment horizontal="center" vertical="center" wrapText="1"/>
    </xf>
    <xf numFmtId="168" fontId="17" fillId="3" borderId="44" xfId="3" applyNumberFormat="1" applyFont="1" applyFill="1" applyBorder="1" applyAlignment="1">
      <alignment horizontal="center" vertical="center" wrapText="1"/>
    </xf>
    <xf numFmtId="168" fontId="17" fillId="3" borderId="37" xfId="3" applyNumberFormat="1" applyFont="1" applyFill="1" applyBorder="1" applyAlignment="1">
      <alignment horizontal="center" vertical="center" wrapText="1"/>
    </xf>
    <xf numFmtId="168" fontId="17" fillId="3" borderId="40" xfId="3" applyNumberFormat="1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right" vertical="center"/>
    </xf>
    <xf numFmtId="0" fontId="37" fillId="4" borderId="36" xfId="0" applyFont="1" applyFill="1" applyBorder="1" applyAlignment="1">
      <alignment horizontal="right" vertical="center"/>
    </xf>
    <xf numFmtId="0" fontId="37" fillId="4" borderId="35" xfId="0" applyFont="1" applyFill="1" applyBorder="1" applyAlignment="1">
      <alignment horizontal="right" vertical="center"/>
    </xf>
    <xf numFmtId="0" fontId="32" fillId="4" borderId="38" xfId="0" applyFont="1" applyFill="1" applyBorder="1" applyAlignment="1">
      <alignment horizontal="right" vertical="center"/>
    </xf>
    <xf numFmtId="0" fontId="32" fillId="4" borderId="26" xfId="0" applyFont="1" applyFill="1" applyBorder="1" applyAlignment="1">
      <alignment horizontal="right" vertical="center"/>
    </xf>
    <xf numFmtId="0" fontId="32" fillId="4" borderId="34" xfId="0" applyFont="1" applyFill="1" applyBorder="1" applyAlignment="1">
      <alignment horizontal="right" vertical="center"/>
    </xf>
    <xf numFmtId="0" fontId="32" fillId="4" borderId="1" xfId="0" applyFont="1" applyFill="1" applyBorder="1" applyAlignment="1">
      <alignment horizontal="right" vertical="center"/>
    </xf>
    <xf numFmtId="0" fontId="20" fillId="4" borderId="39" xfId="0" applyFont="1" applyFill="1" applyBorder="1" applyAlignment="1">
      <alignment horizontal="right" vertical="center"/>
    </xf>
    <xf numFmtId="0" fontId="20" fillId="4" borderId="30" xfId="0" applyFont="1" applyFill="1" applyBorder="1" applyAlignment="1">
      <alignment horizontal="right" vertical="center"/>
    </xf>
    <xf numFmtId="0" fontId="26" fillId="4" borderId="23" xfId="0" applyFont="1" applyFill="1" applyBorder="1" applyAlignment="1">
      <alignment horizontal="right" vertical="center"/>
    </xf>
    <xf numFmtId="0" fontId="26" fillId="4" borderId="24" xfId="0" applyFont="1" applyFill="1" applyBorder="1" applyAlignment="1">
      <alignment horizontal="right" vertical="center"/>
    </xf>
    <xf numFmtId="0" fontId="24" fillId="4" borderId="18" xfId="0" applyFont="1" applyFill="1" applyBorder="1" applyAlignment="1">
      <alignment horizontal="right" vertical="center"/>
    </xf>
    <xf numFmtId="0" fontId="24" fillId="4" borderId="3" xfId="0" applyFont="1" applyFill="1" applyBorder="1" applyAlignment="1">
      <alignment horizontal="right" vertical="center"/>
    </xf>
    <xf numFmtId="0" fontId="28" fillId="4" borderId="38" xfId="0" applyFont="1" applyFill="1" applyBorder="1" applyAlignment="1">
      <alignment horizontal="right" vertical="center"/>
    </xf>
    <xf numFmtId="0" fontId="28" fillId="4" borderId="26" xfId="0" applyFont="1" applyFill="1" applyBorder="1" applyAlignment="1">
      <alignment horizontal="right" vertical="center"/>
    </xf>
    <xf numFmtId="0" fontId="28" fillId="4" borderId="17" xfId="0" applyFont="1" applyFill="1" applyBorder="1" applyAlignment="1">
      <alignment horizontal="right" vertical="center"/>
    </xf>
    <xf numFmtId="0" fontId="28" fillId="4" borderId="34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right" vertical="center"/>
    </xf>
    <xf numFmtId="0" fontId="28" fillId="4" borderId="19" xfId="0" applyFont="1" applyFill="1" applyBorder="1" applyAlignment="1">
      <alignment horizontal="right" vertical="center"/>
    </xf>
    <xf numFmtId="0" fontId="7" fillId="4" borderId="39" xfId="0" applyFont="1" applyFill="1" applyBorder="1" applyAlignment="1">
      <alignment horizontal="right" vertical="center"/>
    </xf>
    <xf numFmtId="0" fontId="7" fillId="4" borderId="30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26" fillId="4" borderId="18" xfId="0" applyFont="1" applyFill="1" applyBorder="1" applyAlignment="1">
      <alignment horizontal="right" vertical="center"/>
    </xf>
    <xf numFmtId="0" fontId="26" fillId="4" borderId="3" xfId="0" applyFont="1" applyFill="1" applyBorder="1" applyAlignment="1">
      <alignment horizontal="right" vertical="center"/>
    </xf>
  </cellXfs>
  <cellStyles count="6">
    <cellStyle name="Milliers" xfId="1" builtinId="3"/>
    <cellStyle name="Milliers 2" xfId="3"/>
    <cellStyle name="Milliers 4" xfId="4"/>
    <cellStyle name="Normal" xfId="0" builtinId="0"/>
    <cellStyle name="Normal_TAB" xfId="5"/>
    <cellStyle name="Pourcentage" xfId="2" builtinId="5"/>
  </cellStyles>
  <dxfs count="0"/>
  <tableStyles count="0" defaultTableStyle="TableStyleMedium9" defaultPivotStyle="PivotStyleLight16"/>
  <colors>
    <mruColors>
      <color rgb="FF1D8B3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9"/>
  <sheetViews>
    <sheetView tabSelected="1" topLeftCell="A55" workbookViewId="0">
      <selection activeCell="F70" sqref="F70"/>
    </sheetView>
  </sheetViews>
  <sheetFormatPr baseColWidth="10" defaultRowHeight="15.75"/>
  <cols>
    <col min="1" max="1" width="12.7109375" style="1" customWidth="1"/>
    <col min="2" max="2" width="77.85546875" style="1" customWidth="1"/>
    <col min="3" max="3" width="17.140625" style="1" customWidth="1"/>
    <col min="4" max="4" width="19" style="1" customWidth="1"/>
    <col min="5" max="5" width="17.7109375" style="1" customWidth="1"/>
    <col min="6" max="6" width="35.5703125" style="34" customWidth="1"/>
    <col min="7" max="7" width="25.85546875" style="1" customWidth="1"/>
    <col min="8" max="8" width="32.140625" style="1" customWidth="1"/>
    <col min="9" max="9" width="15.5703125" style="1" customWidth="1"/>
    <col min="10" max="10" width="12.85546875" style="1" bestFit="1" customWidth="1"/>
    <col min="11" max="11" width="13.85546875" style="1" customWidth="1"/>
    <col min="12" max="16384" width="11.42578125" style="1"/>
  </cols>
  <sheetData>
    <row r="1" spans="1:10" s="7" customFormat="1" ht="16.5" thickBot="1">
      <c r="A1" s="129" t="s">
        <v>0</v>
      </c>
      <c r="B1" s="23" t="s">
        <v>70</v>
      </c>
      <c r="D1" s="10"/>
      <c r="E1" s="11"/>
      <c r="F1" s="29"/>
      <c r="G1" s="12"/>
      <c r="H1" s="11"/>
    </row>
    <row r="2" spans="1:10" s="7" customFormat="1" ht="18.75" customHeight="1">
      <c r="A2" s="129" t="s">
        <v>1</v>
      </c>
      <c r="B2" s="24"/>
      <c r="D2" s="13"/>
      <c r="E2" s="11"/>
      <c r="F2" s="137" t="s">
        <v>57</v>
      </c>
      <c r="G2" s="12"/>
      <c r="H2" s="11"/>
    </row>
    <row r="3" spans="1:10" s="7" customFormat="1" ht="15">
      <c r="A3" s="129" t="s">
        <v>43</v>
      </c>
      <c r="B3" s="23" t="s">
        <v>30</v>
      </c>
      <c r="D3" s="13"/>
      <c r="E3" s="11"/>
      <c r="F3" s="138"/>
      <c r="G3" s="12"/>
      <c r="H3" s="11"/>
    </row>
    <row r="4" spans="1:10" s="7" customFormat="1" ht="8.25" customHeight="1">
      <c r="B4" s="10"/>
      <c r="D4" s="10"/>
      <c r="E4" s="11"/>
      <c r="F4" s="138"/>
      <c r="G4" s="12"/>
      <c r="H4" s="11"/>
    </row>
    <row r="5" spans="1:10" s="7" customFormat="1" thickBot="1">
      <c r="A5" s="25" t="s">
        <v>44</v>
      </c>
      <c r="B5" s="14">
        <f ca="1">TODAY()</f>
        <v>43918</v>
      </c>
      <c r="E5" s="15"/>
      <c r="F5" s="139"/>
      <c r="G5" s="12"/>
      <c r="H5" s="11"/>
    </row>
    <row r="6" spans="1:10" s="7" customFormat="1">
      <c r="B6" s="11"/>
      <c r="D6" s="11"/>
      <c r="E6" s="11"/>
      <c r="F6" s="29"/>
      <c r="G6" s="12"/>
      <c r="H6" s="11"/>
    </row>
    <row r="7" spans="1:10" s="7" customFormat="1">
      <c r="B7" s="10" t="s">
        <v>2</v>
      </c>
      <c r="D7" s="10"/>
      <c r="E7" s="15"/>
      <c r="F7" s="27"/>
      <c r="G7" s="8"/>
      <c r="H7" s="15"/>
    </row>
    <row r="8" spans="1:10" s="7" customFormat="1">
      <c r="B8" s="26" t="s">
        <v>45</v>
      </c>
      <c r="D8" s="10"/>
      <c r="E8" s="15"/>
      <c r="F8" s="27"/>
      <c r="G8" s="8"/>
      <c r="H8" s="15"/>
    </row>
    <row r="9" spans="1:10" s="7" customFormat="1" ht="10.5" customHeight="1">
      <c r="F9" s="27"/>
      <c r="G9" s="8"/>
      <c r="H9" s="15"/>
    </row>
    <row r="10" spans="1:10" s="7" customFormat="1">
      <c r="A10" s="10" t="s">
        <v>3</v>
      </c>
      <c r="F10" s="27"/>
      <c r="G10" s="8"/>
      <c r="H10" s="15"/>
    </row>
    <row r="11" spans="1:10" s="7" customFormat="1" ht="12" customHeight="1">
      <c r="C11" s="15"/>
      <c r="D11" s="15"/>
      <c r="E11" s="15"/>
      <c r="F11" s="27"/>
      <c r="G11" s="8"/>
      <c r="H11" s="15"/>
    </row>
    <row r="12" spans="1:10" s="7" customFormat="1">
      <c r="A12" s="10" t="s">
        <v>56</v>
      </c>
      <c r="C12" s="15"/>
      <c r="D12" s="15"/>
      <c r="E12" s="15"/>
      <c r="F12" s="27"/>
      <c r="G12" s="8"/>
      <c r="H12" s="15"/>
    </row>
    <row r="13" spans="1:10" s="7" customFormat="1" ht="10.5" customHeight="1">
      <c r="B13" s="10"/>
      <c r="D13" s="10"/>
      <c r="E13" s="15"/>
      <c r="F13" s="27"/>
      <c r="G13" s="8"/>
      <c r="H13" s="15"/>
    </row>
    <row r="14" spans="1:10" s="7" customFormat="1" ht="18.75">
      <c r="A14" s="35" t="s">
        <v>69</v>
      </c>
      <c r="D14" s="128" t="s">
        <v>51</v>
      </c>
      <c r="E14" s="118">
        <v>2019</v>
      </c>
      <c r="F14" s="119" t="s">
        <v>54</v>
      </c>
      <c r="G14" s="8"/>
      <c r="H14" s="15"/>
    </row>
    <row r="15" spans="1:10" s="7" customFormat="1" ht="10.5" customHeight="1">
      <c r="E15" s="15"/>
      <c r="F15" s="27"/>
      <c r="G15" s="8"/>
      <c r="H15" s="15"/>
    </row>
    <row r="16" spans="1:10" s="11" customFormat="1" ht="18.75">
      <c r="B16" s="130" t="s">
        <v>68</v>
      </c>
      <c r="C16" s="131"/>
      <c r="D16" s="128" t="s">
        <v>4</v>
      </c>
      <c r="E16" s="41">
        <v>3243624.23</v>
      </c>
      <c r="F16" s="134" t="s">
        <v>41</v>
      </c>
      <c r="I16" s="16"/>
      <c r="J16" s="17"/>
    </row>
    <row r="17" spans="2:10" s="11" customFormat="1" ht="18.75">
      <c r="B17" s="132"/>
      <c r="C17" s="133"/>
      <c r="D17" s="128" t="s">
        <v>5</v>
      </c>
      <c r="E17" s="41">
        <v>0</v>
      </c>
      <c r="F17" s="136"/>
      <c r="I17" s="16"/>
      <c r="J17" s="17"/>
    </row>
    <row r="18" spans="2:10" s="11" customFormat="1" ht="10.5" customHeight="1">
      <c r="C18" s="16"/>
      <c r="D18" s="18"/>
      <c r="E18" s="16"/>
      <c r="F18" s="28"/>
      <c r="G18" s="19"/>
      <c r="H18" s="20"/>
      <c r="I18" s="16"/>
      <c r="J18" s="17"/>
    </row>
    <row r="19" spans="2:10" s="11" customFormat="1">
      <c r="B19" s="120" t="s">
        <v>6</v>
      </c>
      <c r="C19" s="121" t="s">
        <v>7</v>
      </c>
      <c r="D19" s="121" t="s">
        <v>8</v>
      </c>
      <c r="E19" s="122" t="s">
        <v>9</v>
      </c>
      <c r="F19" s="29"/>
      <c r="J19" s="17"/>
    </row>
    <row r="20" spans="2:10" s="11" customFormat="1">
      <c r="B20" s="123" t="s">
        <v>10</v>
      </c>
      <c r="C20" s="51">
        <f>SUM(C21:C24)</f>
        <v>0</v>
      </c>
      <c r="D20" s="51">
        <f>SUM(D21:D24)</f>
        <v>0</v>
      </c>
      <c r="E20" s="51">
        <f>SUM(E21:E24)</f>
        <v>0</v>
      </c>
      <c r="F20" s="134" t="s">
        <v>52</v>
      </c>
      <c r="J20" s="17"/>
    </row>
    <row r="21" spans="2:10" s="11" customFormat="1">
      <c r="B21" s="124" t="str">
        <f>+" * Exercice n - 4   C-A-D : Exercice comptable "&amp;Exercice-4</f>
        <v xml:space="preserve"> * Exercice n - 4   C-A-D : Exercice comptable 2015</v>
      </c>
      <c r="C21" s="46"/>
      <c r="D21" s="52">
        <f>+IF(E16&gt;0,(IF(C21 &gt;E16,E16,C21)),0)</f>
        <v>0</v>
      </c>
      <c r="E21" s="52">
        <f>C21-D21</f>
        <v>0</v>
      </c>
      <c r="F21" s="135"/>
      <c r="J21" s="17"/>
    </row>
    <row r="22" spans="2:10" s="11" customFormat="1">
      <c r="B22" s="124" t="str">
        <f>+" * Exercice n -3   C-A-D : Exercice comptable "&amp;Exercice-3</f>
        <v xml:space="preserve"> * Exercice n -3   C-A-D : Exercice comptable 2016</v>
      </c>
      <c r="C22" s="47"/>
      <c r="D22" s="52">
        <f>+IF((E16-D21)&gt;0,(IF(C22 &gt;(E16-D21),E16-D21,C22)),0)</f>
        <v>0</v>
      </c>
      <c r="E22" s="52">
        <f>C22-D22</f>
        <v>0</v>
      </c>
      <c r="F22" s="135"/>
      <c r="J22" s="17"/>
    </row>
    <row r="23" spans="2:10" s="11" customFormat="1">
      <c r="B23" s="124" t="str">
        <f>+" * Exercice n - 2   C-A-D : Exercice comptable "&amp;Exercice-2</f>
        <v xml:space="preserve"> * Exercice n - 2   C-A-D : Exercice comptable 2017</v>
      </c>
      <c r="C23" s="47"/>
      <c r="D23" s="52">
        <f>+IF((E16-D21-D22)&gt;0,(IF(C23 &gt;(E16-D21-D22),E16-D21-D22,C23)),0)</f>
        <v>0</v>
      </c>
      <c r="E23" s="52">
        <f>C23-D23</f>
        <v>0</v>
      </c>
      <c r="F23" s="135"/>
      <c r="J23" s="17"/>
    </row>
    <row r="24" spans="2:10" s="11" customFormat="1">
      <c r="B24" s="124" t="str">
        <f>+" * Exercice n -1   C-A-D : Exercice comptable "&amp;Exercice-1</f>
        <v xml:space="preserve"> * Exercice n -1   C-A-D : Exercice comptable 2018</v>
      </c>
      <c r="C24" s="48"/>
      <c r="D24" s="53">
        <f>+IF((E16-D21-D22-D23)&gt;0,(IF(C24 &gt;(E16-D21-D22-D23),E16-D21-D22-D23,C24)),0)</f>
        <v>0</v>
      </c>
      <c r="E24" s="53">
        <f>C24-D24</f>
        <v>0</v>
      </c>
      <c r="F24" s="136"/>
      <c r="J24" s="17"/>
    </row>
    <row r="25" spans="2:10" s="11" customFormat="1">
      <c r="B25" s="123" t="s">
        <v>11</v>
      </c>
      <c r="C25" s="54">
        <f>SUM(C26:C30)</f>
        <v>0</v>
      </c>
      <c r="D25" s="54">
        <f>SUM(D26:D30)</f>
        <v>0</v>
      </c>
      <c r="E25" s="54">
        <f>SUM(E26:E30)</f>
        <v>0</v>
      </c>
      <c r="F25" s="29"/>
      <c r="J25" s="17"/>
    </row>
    <row r="26" spans="2:10" s="11" customFormat="1">
      <c r="B26" s="125" t="s">
        <v>12</v>
      </c>
      <c r="C26" s="117"/>
      <c r="D26" s="52">
        <f>+IF((E16-D21-D22-D23-D24)&gt;0,(IF(C26 &gt;(E16-D21-D22-D23-D24),E16-D21-D22-D23-D24,C26)),0)</f>
        <v>0</v>
      </c>
      <c r="E26" s="52">
        <f>C26-D26</f>
        <v>0</v>
      </c>
      <c r="F26" s="134" t="s">
        <v>53</v>
      </c>
      <c r="J26" s="17"/>
    </row>
    <row r="27" spans="2:10" s="11" customFormat="1">
      <c r="B27" s="124" t="str">
        <f>+" * Exercice n - 4   C-A-D : Exercice comptable "&amp;Exercice-4</f>
        <v xml:space="preserve"> * Exercice n - 4   C-A-D : Exercice comptable 2015</v>
      </c>
      <c r="C27" s="47"/>
      <c r="D27" s="52">
        <f>+IF((E16-D21-D22-D23-D24-D26)&gt;0,(IF(C27 &gt;(E16-D21-D22-D23-D24-D26),E16-D21-D22-D23-D24-D26,C27)),0)</f>
        <v>0</v>
      </c>
      <c r="E27" s="52">
        <f>C27-D27</f>
        <v>0</v>
      </c>
      <c r="F27" s="135"/>
      <c r="J27" s="17"/>
    </row>
    <row r="28" spans="2:10" s="11" customFormat="1">
      <c r="B28" s="124" t="str">
        <f>+" * Exercice n -3   C-A-D : Exercice comptable "&amp;Exercice-3</f>
        <v xml:space="preserve"> * Exercice n -3   C-A-D : Exercice comptable 2016</v>
      </c>
      <c r="C28" s="47"/>
      <c r="D28" s="52">
        <f>+IF((E16-D21-D22-D23-D24-D26-D27)&gt;0,(IF(C28 &gt;(E16-D21-D22-D23-D24-D26-D27),E16-D21-D22-D23-D24-D26-D27,C28)),0)</f>
        <v>0</v>
      </c>
      <c r="E28" s="52">
        <f>C28-D28</f>
        <v>0</v>
      </c>
      <c r="F28" s="135"/>
      <c r="J28" s="17"/>
    </row>
    <row r="29" spans="2:10" s="11" customFormat="1">
      <c r="B29" s="124" t="str">
        <f>+" * Exercice n - 2   C-A-D : Exercice comptable "&amp;Exercice-2</f>
        <v xml:space="preserve"> * Exercice n - 2   C-A-D : Exercice comptable 2017</v>
      </c>
      <c r="C29" s="47"/>
      <c r="D29" s="53">
        <f>+IF((E16-D21-D22-D23-D24-D26-D27-D28)&gt;0,(IF(C29 &gt;(E16-D21-D22-D23-D24-D26-D27-D28),E16-D21-D22-D23-D24-D26-D27-D28,C29)),0)</f>
        <v>0</v>
      </c>
      <c r="E29" s="53">
        <f>C29-D29</f>
        <v>0</v>
      </c>
      <c r="F29" s="135"/>
      <c r="J29" s="17"/>
    </row>
    <row r="30" spans="2:10" s="11" customFormat="1">
      <c r="B30" s="126" t="str">
        <f>+" * Exercice n -1   C-A-D : Exercice comptable "&amp;Exercice-1</f>
        <v xml:space="preserve"> * Exercice n -1   C-A-D : Exercice comptable 2018</v>
      </c>
      <c r="C30" s="48"/>
      <c r="D30" s="52">
        <f>+IF((E16-D21-D22-D23-D24-D26-D27-D28-D29)&gt;0,(IF(C30 &gt;(E16-D21-D22-D23-D24-D26-D27-D28-D29),E16-D21-D22-D23-D24-D26-D27-D28-D29,C30)),0)</f>
        <v>0</v>
      </c>
      <c r="E30" s="52">
        <f>C30-D30</f>
        <v>0</v>
      </c>
      <c r="F30" s="136"/>
      <c r="J30" s="17"/>
    </row>
    <row r="31" spans="2:10" s="11" customFormat="1">
      <c r="B31" s="127" t="s">
        <v>13</v>
      </c>
      <c r="C31" s="55">
        <f>+C25+C20</f>
        <v>0</v>
      </c>
      <c r="D31" s="55">
        <f>+D25+D20</f>
        <v>0</v>
      </c>
      <c r="E31" s="55">
        <f>+E25+E20</f>
        <v>0</v>
      </c>
      <c r="F31" s="29"/>
      <c r="J31" s="17"/>
    </row>
    <row r="32" spans="2:10" s="11" customFormat="1" ht="16.5" thickBot="1">
      <c r="C32" s="16"/>
      <c r="D32" s="18"/>
      <c r="E32" s="16"/>
      <c r="F32" s="28"/>
      <c r="G32" s="19"/>
      <c r="H32" s="20"/>
      <c r="I32" s="16"/>
      <c r="J32" s="17"/>
    </row>
    <row r="33" spans="1:10" s="11" customFormat="1">
      <c r="B33" s="153" t="s">
        <v>38</v>
      </c>
      <c r="C33" s="154"/>
      <c r="D33" s="155"/>
      <c r="E33" s="49">
        <f>IF(E16&gt;0,E16,0)</f>
        <v>3243624.23</v>
      </c>
      <c r="F33" s="28"/>
      <c r="G33" s="16"/>
      <c r="H33" s="16"/>
      <c r="I33" s="16"/>
      <c r="J33" s="17"/>
    </row>
    <row r="34" spans="1:10" s="11" customFormat="1">
      <c r="B34" s="156" t="s">
        <v>39</v>
      </c>
      <c r="C34" s="157"/>
      <c r="D34" s="158"/>
      <c r="E34" s="49">
        <f>IF(E33&gt;0,D31,0)</f>
        <v>0</v>
      </c>
      <c r="F34" s="28"/>
      <c r="G34" s="16"/>
      <c r="H34" s="16"/>
      <c r="I34" s="16"/>
      <c r="J34" s="17"/>
    </row>
    <row r="35" spans="1:10" s="11" customFormat="1" ht="16.5" thickBot="1">
      <c r="B35" s="159" t="s">
        <v>40</v>
      </c>
      <c r="C35" s="160"/>
      <c r="D35" s="161"/>
      <c r="E35" s="50">
        <f>(E33-E34)</f>
        <v>3243624.23</v>
      </c>
      <c r="F35" s="28"/>
      <c r="G35" s="16"/>
      <c r="H35" s="16"/>
      <c r="I35" s="16"/>
      <c r="J35" s="17"/>
    </row>
    <row r="36" spans="1:10" s="7" customFormat="1">
      <c r="C36" s="15"/>
      <c r="D36" s="15"/>
      <c r="E36" s="16"/>
      <c r="F36" s="28"/>
      <c r="G36" s="16"/>
      <c r="H36" s="16"/>
    </row>
    <row r="37" spans="1:10" s="7" customFormat="1">
      <c r="A37" s="35" t="s">
        <v>14</v>
      </c>
      <c r="C37" s="15"/>
      <c r="D37" s="21"/>
      <c r="E37" s="15"/>
      <c r="F37" s="27"/>
      <c r="G37" s="8"/>
      <c r="H37" s="15"/>
    </row>
    <row r="38" spans="1:10" s="7" customFormat="1" ht="4.5" customHeight="1" thickBot="1">
      <c r="C38" s="15"/>
      <c r="D38" s="15"/>
      <c r="E38" s="15"/>
      <c r="F38" s="27"/>
      <c r="G38" s="8"/>
      <c r="H38" s="15"/>
    </row>
    <row r="39" spans="1:10" s="7" customFormat="1" ht="19.5" customHeight="1" thickBot="1">
      <c r="B39" s="56" t="s">
        <v>31</v>
      </c>
      <c r="C39" s="57" t="s">
        <v>15</v>
      </c>
      <c r="D39" s="58" t="s">
        <v>16</v>
      </c>
      <c r="E39" s="59" t="s">
        <v>17</v>
      </c>
      <c r="F39" s="27"/>
    </row>
    <row r="40" spans="1:10" s="7" customFormat="1" ht="19.5" customHeight="1" thickBot="1">
      <c r="B40" s="60" t="s">
        <v>18</v>
      </c>
      <c r="C40" s="61"/>
      <c r="D40" s="62">
        <f>+E35</f>
        <v>3243624.23</v>
      </c>
      <c r="E40" s="63"/>
      <c r="F40" s="27"/>
    </row>
    <row r="41" spans="1:10" s="7" customFormat="1" ht="19.5" customHeight="1" thickBot="1">
      <c r="B41" s="64" t="s">
        <v>19</v>
      </c>
      <c r="C41" s="65"/>
      <c r="D41" s="66">
        <f>ROUNDUP(D40,-1)</f>
        <v>3243630</v>
      </c>
      <c r="E41" s="67"/>
      <c r="F41" s="27"/>
    </row>
    <row r="42" spans="1:10" s="7" customFormat="1" ht="19.5" customHeight="1">
      <c r="B42" s="68"/>
      <c r="C42" s="69"/>
      <c r="D42" s="70"/>
      <c r="E42" s="71"/>
      <c r="F42" s="27"/>
    </row>
    <row r="43" spans="1:10" s="7" customFormat="1" ht="19.5" customHeight="1">
      <c r="B43" s="72" t="s">
        <v>58</v>
      </c>
      <c r="C43" s="73">
        <v>0</v>
      </c>
      <c r="D43" s="116">
        <v>0</v>
      </c>
      <c r="E43" s="96">
        <f>+D43/D61</f>
        <v>0</v>
      </c>
      <c r="F43" s="134" t="s">
        <v>55</v>
      </c>
    </row>
    <row r="44" spans="1:10" s="7" customFormat="1" ht="19.5" customHeight="1" thickBot="1">
      <c r="B44" s="72" t="s">
        <v>59</v>
      </c>
      <c r="C44" s="73" t="s">
        <v>64</v>
      </c>
      <c r="D44" s="116">
        <v>23673709</v>
      </c>
      <c r="E44" s="96">
        <f>+D44/D61</f>
        <v>0.7098950654873819</v>
      </c>
      <c r="F44" s="136"/>
    </row>
    <row r="45" spans="1:10" s="7" customFormat="1" ht="19.5" customHeight="1" thickBot="1">
      <c r="B45" s="162" t="s">
        <v>49</v>
      </c>
      <c r="C45" s="163"/>
      <c r="D45" s="87">
        <f>SUM(D43:D44)</f>
        <v>23673709</v>
      </c>
      <c r="E45" s="67"/>
      <c r="F45" s="27"/>
    </row>
    <row r="46" spans="1:10" s="7" customFormat="1" ht="19.5" customHeight="1">
      <c r="B46" s="74"/>
      <c r="C46" s="75"/>
      <c r="D46" s="95"/>
      <c r="E46" s="67"/>
      <c r="F46" s="27"/>
    </row>
    <row r="47" spans="1:10" s="7" customFormat="1" ht="19.5" customHeight="1">
      <c r="B47" s="72" t="s">
        <v>61</v>
      </c>
      <c r="C47" s="73" t="s">
        <v>65</v>
      </c>
      <c r="D47" s="116">
        <v>0</v>
      </c>
      <c r="E47" s="96">
        <f>+D47/D61</f>
        <v>0</v>
      </c>
      <c r="F47" s="134" t="s">
        <v>55</v>
      </c>
    </row>
    <row r="48" spans="1:10" s="7" customFormat="1" ht="19.5" customHeight="1" thickBot="1">
      <c r="B48" s="72" t="s">
        <v>60</v>
      </c>
      <c r="C48" s="73" t="s">
        <v>65</v>
      </c>
      <c r="D48" s="116">
        <v>9674471.8099999987</v>
      </c>
      <c r="E48" s="96">
        <f>+D48/D61</f>
        <v>0.29010493451261815</v>
      </c>
      <c r="F48" s="136"/>
    </row>
    <row r="49" spans="2:11" s="7" customFormat="1" ht="19.5" customHeight="1" thickBot="1">
      <c r="B49" s="162" t="s">
        <v>50</v>
      </c>
      <c r="C49" s="163"/>
      <c r="D49" s="87">
        <f>SUM(D47:D48)</f>
        <v>9674471.8099999987</v>
      </c>
      <c r="E49" s="67"/>
      <c r="F49" s="27"/>
    </row>
    <row r="50" spans="2:11" s="7" customFormat="1" ht="19.5" customHeight="1" thickBot="1">
      <c r="B50" s="76"/>
      <c r="C50" s="77"/>
      <c r="D50" s="93"/>
      <c r="E50" s="67"/>
      <c r="F50" s="30"/>
    </row>
    <row r="51" spans="2:11" s="7" customFormat="1" ht="19.5" customHeight="1" thickBot="1">
      <c r="B51" s="149" t="s">
        <v>46</v>
      </c>
      <c r="C51" s="150"/>
      <c r="D51" s="87">
        <f>+D49+D45</f>
        <v>33348180.809999999</v>
      </c>
      <c r="E51" s="67"/>
      <c r="F51" s="30"/>
    </row>
    <row r="52" spans="2:11" s="7" customFormat="1" ht="19.5" customHeight="1">
      <c r="B52" s="68"/>
      <c r="C52" s="78"/>
      <c r="D52" s="94"/>
      <c r="E52" s="67"/>
      <c r="F52" s="27"/>
    </row>
    <row r="53" spans="2:11" s="7" customFormat="1" ht="19.5" customHeight="1">
      <c r="B53" s="72" t="s">
        <v>62</v>
      </c>
      <c r="C53" s="73" t="s">
        <v>26</v>
      </c>
      <c r="D53" s="116">
        <v>0</v>
      </c>
      <c r="E53" s="96">
        <f>+D53/D61</f>
        <v>0</v>
      </c>
      <c r="F53" s="134" t="s">
        <v>55</v>
      </c>
    </row>
    <row r="54" spans="2:11" s="7" customFormat="1" ht="19.5" customHeight="1">
      <c r="B54" s="72" t="s">
        <v>63</v>
      </c>
      <c r="C54" s="73" t="s">
        <v>26</v>
      </c>
      <c r="D54" s="116">
        <v>0</v>
      </c>
      <c r="E54" s="96">
        <f>+D54/D61</f>
        <v>0</v>
      </c>
      <c r="F54" s="136"/>
    </row>
    <row r="55" spans="2:11" s="7" customFormat="1" ht="19.5" customHeight="1" thickBot="1">
      <c r="B55" s="72" t="s">
        <v>67</v>
      </c>
      <c r="C55" s="73" t="s">
        <v>26</v>
      </c>
      <c r="D55" s="116">
        <v>0</v>
      </c>
      <c r="E55" s="96">
        <f>+D55/D61</f>
        <v>0</v>
      </c>
      <c r="F55" s="40"/>
    </row>
    <row r="56" spans="2:11" s="7" customFormat="1" ht="19.5" customHeight="1" thickBot="1">
      <c r="B56" s="149" t="s">
        <v>47</v>
      </c>
      <c r="C56" s="150"/>
      <c r="D56" s="87">
        <f>SUM(D53:D55)</f>
        <v>0</v>
      </c>
      <c r="E56" s="96"/>
      <c r="F56" s="27"/>
    </row>
    <row r="57" spans="2:11" s="7" customFormat="1" ht="19.5" customHeight="1">
      <c r="B57" s="79"/>
      <c r="C57" s="80"/>
      <c r="D57" s="88"/>
      <c r="E57" s="71"/>
      <c r="F57" s="27"/>
      <c r="G57" s="39"/>
      <c r="H57" s="39"/>
      <c r="I57" s="43"/>
      <c r="J57" s="42"/>
      <c r="K57" s="39"/>
    </row>
    <row r="58" spans="2:11" s="7" customFormat="1" ht="19.5" customHeight="1">
      <c r="B58" s="81" t="s">
        <v>29</v>
      </c>
      <c r="C58" s="82"/>
      <c r="D58" s="89">
        <f>+D43</f>
        <v>0</v>
      </c>
      <c r="E58" s="97"/>
      <c r="F58" s="30"/>
      <c r="G58" s="39"/>
      <c r="H58" s="39"/>
      <c r="I58" s="44"/>
      <c r="K58" s="39"/>
    </row>
    <row r="59" spans="2:11" s="7" customFormat="1" ht="19.5" customHeight="1">
      <c r="B59" s="83" t="s">
        <v>28</v>
      </c>
      <c r="C59" s="84"/>
      <c r="D59" s="90">
        <f>+D47+D53</f>
        <v>0</v>
      </c>
      <c r="E59" s="98"/>
      <c r="F59" s="30"/>
      <c r="G59" s="39"/>
      <c r="H59" s="39"/>
      <c r="I59" s="45"/>
      <c r="J59" s="42"/>
      <c r="K59" s="39"/>
    </row>
    <row r="60" spans="2:11" s="7" customFormat="1" ht="19.5" customHeight="1">
      <c r="B60" s="83" t="s">
        <v>27</v>
      </c>
      <c r="C60" s="84"/>
      <c r="D60" s="90">
        <f>+D44+D48+D54</f>
        <v>33348180.809999999</v>
      </c>
      <c r="E60" s="98"/>
      <c r="F60" s="30"/>
      <c r="G60" s="39"/>
      <c r="H60" s="39"/>
      <c r="K60" s="39"/>
    </row>
    <row r="61" spans="2:11" s="7" customFormat="1" ht="19.5" customHeight="1">
      <c r="B61" s="151" t="s">
        <v>48</v>
      </c>
      <c r="C61" s="152"/>
      <c r="D61" s="91">
        <f>+D45+D49+D56</f>
        <v>33348180.809999999</v>
      </c>
      <c r="E61" s="96">
        <f>SUM(E43:E60)</f>
        <v>1</v>
      </c>
      <c r="F61" s="27"/>
      <c r="G61" s="39"/>
      <c r="H61" s="39"/>
      <c r="J61" s="42"/>
    </row>
    <row r="62" spans="2:11" s="7" customFormat="1" ht="19.5" customHeight="1" thickBot="1">
      <c r="B62" s="85"/>
      <c r="C62" s="86"/>
      <c r="D62" s="92"/>
      <c r="E62" s="99"/>
      <c r="F62" s="27"/>
      <c r="G62" s="39"/>
      <c r="H62" s="39"/>
      <c r="I62" s="42"/>
    </row>
    <row r="63" spans="2:11" s="7" customFormat="1" ht="19.5" customHeight="1">
      <c r="B63" s="143" t="s">
        <v>32</v>
      </c>
      <c r="C63" s="144"/>
      <c r="D63" s="144"/>
      <c r="E63" s="100">
        <f>ROUNDUP(+D43+D47+D53,-1)</f>
        <v>0</v>
      </c>
      <c r="F63" s="30"/>
      <c r="G63" s="39"/>
      <c r="H63" s="39"/>
      <c r="I63" s="42"/>
    </row>
    <row r="64" spans="2:11" s="7" customFormat="1" ht="19.5" customHeight="1">
      <c r="B64" s="145" t="s">
        <v>34</v>
      </c>
      <c r="C64" s="146"/>
      <c r="D64" s="146"/>
      <c r="E64" s="89">
        <f>ROUNDUP(+D44+D48+D54,-1)</f>
        <v>33348190</v>
      </c>
      <c r="F64" s="30"/>
      <c r="G64" s="39"/>
      <c r="H64" s="39"/>
      <c r="J64" s="42"/>
    </row>
    <row r="65" spans="1:10" s="7" customFormat="1" ht="19.5" customHeight="1" thickBot="1">
      <c r="B65" s="147" t="s">
        <v>33</v>
      </c>
      <c r="C65" s="148"/>
      <c r="D65" s="148"/>
      <c r="E65" s="101">
        <f>IF(E64&gt;0,MAX(3000,ROUNDUP(E64*0.5%,0-0)),0)</f>
        <v>166741</v>
      </c>
      <c r="F65" s="27"/>
      <c r="G65" s="39"/>
      <c r="H65" s="39"/>
      <c r="I65" s="39"/>
    </row>
    <row r="66" spans="1:10" s="7" customFormat="1" ht="9.75" customHeight="1" thickBot="1">
      <c r="B66" s="36"/>
      <c r="C66" s="36"/>
      <c r="D66" s="37"/>
      <c r="E66" s="38"/>
      <c r="F66" s="27"/>
      <c r="H66" s="39"/>
      <c r="I66" s="39"/>
    </row>
    <row r="67" spans="1:10" s="7" customFormat="1" ht="18.75" customHeight="1">
      <c r="B67" s="102" t="s">
        <v>20</v>
      </c>
      <c r="C67" s="103" t="s">
        <v>21</v>
      </c>
      <c r="D67" s="104" t="s">
        <v>22</v>
      </c>
      <c r="E67" s="105" t="s">
        <v>42</v>
      </c>
      <c r="F67" s="27"/>
      <c r="H67" s="39"/>
      <c r="I67" s="39"/>
      <c r="J67" s="42"/>
    </row>
    <row r="68" spans="1:10" s="7" customFormat="1" ht="18.75" customHeight="1">
      <c r="B68" s="106" t="s">
        <v>36</v>
      </c>
      <c r="C68" s="107">
        <f>+E43</f>
        <v>0</v>
      </c>
      <c r="D68" s="108">
        <f>RF*C68</f>
        <v>0</v>
      </c>
      <c r="E68" s="109">
        <f>+D68*0</f>
        <v>0</v>
      </c>
      <c r="F68" s="27"/>
      <c r="H68" s="39"/>
      <c r="I68" s="39"/>
    </row>
    <row r="69" spans="1:10" s="7" customFormat="1" ht="18.75" customHeight="1">
      <c r="B69" s="106" t="s">
        <v>66</v>
      </c>
      <c r="C69" s="107">
        <f>+E47+E48+E53+E54+E55</f>
        <v>0.29010493451261815</v>
      </c>
      <c r="D69" s="108">
        <f>+RF*C69</f>
        <v>940993.06873316364</v>
      </c>
      <c r="E69" s="109">
        <f>ROUNDUP((MAX(IF(RF&lt;=300000,RF*10%,IF(RF&lt;=1000000,(RF*17.5%-22500),RF*31%-157500)),0)*C69),0)</f>
        <v>246017</v>
      </c>
      <c r="F69" s="27"/>
      <c r="H69" s="39"/>
      <c r="I69" s="39"/>
    </row>
    <row r="70" spans="1:10" s="7" customFormat="1" ht="18.75" customHeight="1">
      <c r="B70" s="106" t="s">
        <v>37</v>
      </c>
      <c r="C70" s="107">
        <f>+E44</f>
        <v>0.7098950654873819</v>
      </c>
      <c r="D70" s="108">
        <f>+RF*C70</f>
        <v>2302636.9312668364</v>
      </c>
      <c r="E70" s="109">
        <f>ROUNDUP(IF(RF&lt;=300000,RF*10%,RF*17.5%-22500)*C70,0)</f>
        <v>386989</v>
      </c>
      <c r="F70" s="27"/>
      <c r="H70" s="39"/>
      <c r="I70" s="39"/>
    </row>
    <row r="71" spans="1:10" s="7" customFormat="1" ht="18.75" customHeight="1">
      <c r="B71" s="110"/>
      <c r="C71" s="107"/>
      <c r="D71" s="108"/>
      <c r="E71" s="109"/>
      <c r="F71" s="27"/>
      <c r="H71" s="39"/>
      <c r="I71" s="39"/>
    </row>
    <row r="72" spans="1:10" s="7" customFormat="1" ht="18.75" customHeight="1" thickBot="1">
      <c r="B72" s="111" t="s">
        <v>23</v>
      </c>
      <c r="C72" s="112">
        <f>SUM(C68:C71)</f>
        <v>1</v>
      </c>
      <c r="D72" s="113">
        <f>SUM(D68:D71)</f>
        <v>3243630</v>
      </c>
      <c r="E72" s="114">
        <f>ROUNDUP(SUM(E68:E71),0)</f>
        <v>633006</v>
      </c>
      <c r="F72" s="31"/>
      <c r="H72" s="39"/>
      <c r="I72" s="39"/>
    </row>
    <row r="73" spans="1:10" s="7" customFormat="1" ht="10.5" customHeight="1" thickBot="1">
      <c r="B73" s="15"/>
      <c r="C73" s="15"/>
      <c r="D73" s="22">
        <f>+D72-RF</f>
        <v>0</v>
      </c>
      <c r="E73" s="9">
        <f>+D72-D41</f>
        <v>0</v>
      </c>
      <c r="F73" s="32"/>
      <c r="G73" s="9"/>
      <c r="H73" s="39"/>
      <c r="I73" s="39"/>
    </row>
    <row r="74" spans="1:10" s="7" customFormat="1" ht="23.25" customHeight="1" thickBot="1">
      <c r="B74" s="140" t="s">
        <v>35</v>
      </c>
      <c r="C74" s="141"/>
      <c r="D74" s="142"/>
      <c r="E74" s="115">
        <f>MAX(E65,E72)</f>
        <v>633006</v>
      </c>
      <c r="F74" s="32"/>
      <c r="G74" s="9"/>
      <c r="H74" s="39"/>
      <c r="I74" s="39"/>
    </row>
    <row r="75" spans="1:10">
      <c r="B75" s="4"/>
      <c r="C75" s="4"/>
      <c r="D75" s="4"/>
      <c r="E75" s="6"/>
      <c r="F75" s="33"/>
      <c r="G75" s="6"/>
      <c r="H75" s="39"/>
      <c r="I75" s="39"/>
    </row>
    <row r="76" spans="1:10">
      <c r="A76" s="2" t="s">
        <v>24</v>
      </c>
      <c r="C76" s="2"/>
      <c r="D76" s="4"/>
      <c r="E76" s="6"/>
      <c r="F76" s="33"/>
      <c r="G76" s="6"/>
    </row>
    <row r="77" spans="1:10">
      <c r="B77" s="3"/>
      <c r="C77" s="3"/>
      <c r="D77" s="5"/>
      <c r="E77" s="6"/>
      <c r="F77" s="33"/>
      <c r="G77" s="6"/>
    </row>
    <row r="78" spans="1:10">
      <c r="A78" s="2" t="s">
        <v>25</v>
      </c>
      <c r="C78" s="2"/>
      <c r="D78" s="3"/>
      <c r="E78" s="6"/>
      <c r="F78" s="33"/>
      <c r="G78" s="6"/>
    </row>
    <row r="87" spans="3:3">
      <c r="C87" s="5"/>
    </row>
    <row r="89" spans="3:3">
      <c r="C89" s="5"/>
    </row>
  </sheetData>
  <mergeCells count="20">
    <mergeCell ref="B33:D33"/>
    <mergeCell ref="B34:D34"/>
    <mergeCell ref="B35:D35"/>
    <mergeCell ref="B45:C45"/>
    <mergeCell ref="B49:C49"/>
    <mergeCell ref="F43:F44"/>
    <mergeCell ref="B74:D74"/>
    <mergeCell ref="B63:D63"/>
    <mergeCell ref="B64:D64"/>
    <mergeCell ref="B65:D65"/>
    <mergeCell ref="B51:C51"/>
    <mergeCell ref="B56:C56"/>
    <mergeCell ref="B61:C61"/>
    <mergeCell ref="F53:F54"/>
    <mergeCell ref="F47:F48"/>
    <mergeCell ref="B16:C17"/>
    <mergeCell ref="F26:F30"/>
    <mergeCell ref="F20:F24"/>
    <mergeCell ref="F16:F17"/>
    <mergeCell ref="F2:F5"/>
  </mergeCells>
  <pageMargins left="0.39370078740157483" right="0.39370078740157483" top="0.39370078740157483" bottom="0.39370078740157483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Calcul IS 2019</vt:lpstr>
      <vt:lpstr>Exercice</vt:lpstr>
      <vt:lpstr>RF</vt:lpstr>
      <vt:lpstr>'Calcul IS 2019'!Zone_d_impression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ABDORABIH</dc:creator>
  <cp:lastModifiedBy>ABDORABIH</cp:lastModifiedBy>
  <cp:lastPrinted>2020-03-27T18:57:09Z</cp:lastPrinted>
  <dcterms:created xsi:type="dcterms:W3CDTF">2017-03-18T19:50:11Z</dcterms:created>
  <dcterms:modified xsi:type="dcterms:W3CDTF">2020-03-28T14:27:38Z</dcterms:modified>
</cp:coreProperties>
</file>