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\data\Data\Projects\Maison\"/>
    </mc:Choice>
  </mc:AlternateContent>
  <xr:revisionPtr revIDLastSave="0" documentId="13_ncr:1_{F88C07AD-A867-4792-AD83-3C327609BD07}" xr6:coauthVersionLast="40" xr6:coauthVersionMax="40" xr10:uidLastSave="{00000000-0000-0000-0000-000000000000}"/>
  <bookViews>
    <workbookView xWindow="0" yWindow="0" windowWidth="38400" windowHeight="12225" xr2:uid="{F36A6213-7BCC-44FF-B9B4-9BB21A47731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  <c r="B25" i="1"/>
  <c r="B26" i="1" s="1"/>
  <c r="B28" i="1" s="1"/>
  <c r="D28" i="1" s="1"/>
  <c r="H24" i="1"/>
  <c r="E24" i="1"/>
  <c r="E23" i="1"/>
  <c r="Q4" i="1"/>
  <c r="Q5" i="1"/>
  <c r="Q6" i="1"/>
  <c r="Q7" i="1"/>
  <c r="Q8" i="1"/>
  <c r="Q9" i="1"/>
  <c r="Q10" i="1"/>
  <c r="Q11" i="1"/>
  <c r="Q3" i="1"/>
  <c r="C32" i="1" l="1"/>
  <c r="C33" i="1" s="1"/>
  <c r="C34" i="1" s="1"/>
  <c r="C35" i="1" s="1"/>
  <c r="C36" i="1" s="1"/>
  <c r="C37" i="1" s="1"/>
  <c r="C38" i="1" s="1"/>
  <c r="C39" i="1" s="1"/>
  <c r="C40" i="1" s="1"/>
  <c r="C41" i="1" s="1"/>
  <c r="F32" i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D32" i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H8" i="1"/>
  <c r="E32" i="1" l="1"/>
  <c r="E33" i="1"/>
  <c r="E34" i="1"/>
  <c r="E36" i="1"/>
  <c r="E38" i="1"/>
  <c r="E35" i="1"/>
  <c r="E40" i="1"/>
  <c r="E37" i="1"/>
  <c r="E39" i="1"/>
  <c r="E41" i="1"/>
  <c r="C42" i="1"/>
  <c r="C43" i="1" s="1"/>
  <c r="B5" i="1"/>
  <c r="B16" i="1" s="1"/>
  <c r="E42" i="1" l="1"/>
  <c r="C44" i="1"/>
  <c r="E43" i="1"/>
  <c r="B20" i="1"/>
  <c r="C20" i="1" s="1"/>
  <c r="L3" i="1" s="1"/>
  <c r="C16" i="1"/>
  <c r="C45" i="1" l="1"/>
  <c r="E44" i="1"/>
  <c r="C46" i="1" l="1"/>
  <c r="E45" i="1"/>
  <c r="C47" i="1" l="1"/>
  <c r="E46" i="1"/>
  <c r="C48" i="1" l="1"/>
  <c r="E47" i="1"/>
  <c r="C49" i="1" l="1"/>
  <c r="E48" i="1"/>
  <c r="C50" i="1" l="1"/>
  <c r="C51" i="1" s="1"/>
  <c r="E49" i="1"/>
  <c r="E50" i="1" l="1"/>
  <c r="C52" i="1" l="1"/>
  <c r="E51" i="1"/>
  <c r="C53" i="1" l="1"/>
  <c r="E52" i="1"/>
  <c r="C54" i="1" l="1"/>
  <c r="E53" i="1"/>
  <c r="C55" i="1" l="1"/>
  <c r="E54" i="1"/>
  <c r="C56" i="1" l="1"/>
  <c r="E56" i="1" s="1"/>
  <c r="E55" i="1"/>
  <c r="E58" i="1" l="1" a="1"/>
  <c r="E58" i="1" s="1"/>
  <c r="A33" i="1" l="1"/>
  <c r="A32" i="1"/>
  <c r="A37" i="1"/>
  <c r="A35" i="1"/>
  <c r="A34" i="1"/>
  <c r="A36" i="1"/>
  <c r="A41" i="1"/>
  <c r="A39" i="1"/>
  <c r="A40" i="1"/>
  <c r="A38" i="1"/>
  <c r="A43" i="1"/>
  <c r="A42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</calcChain>
</file>

<file path=xl/sharedStrings.xml><?xml version="1.0" encoding="utf-8"?>
<sst xmlns="http://schemas.openxmlformats.org/spreadsheetml/2006/main" count="89" uniqueCount="71">
  <si>
    <t>Estimation de la consommation</t>
  </si>
  <si>
    <t>Leds</t>
  </si>
  <si>
    <t>Taque</t>
  </si>
  <si>
    <t>Four</t>
  </si>
  <si>
    <t>Boiler thermodynamique</t>
  </si>
  <si>
    <t>Congélateur</t>
  </si>
  <si>
    <t>Grand réfrigérateur</t>
  </si>
  <si>
    <t>Home-cinéma</t>
  </si>
  <si>
    <t>PC/imprimante</t>
  </si>
  <si>
    <t>Armoire réseau</t>
  </si>
  <si>
    <t>Boiler cuisine</t>
  </si>
  <si>
    <t>Machine à laver</t>
  </si>
  <si>
    <t>Sèchoir</t>
  </si>
  <si>
    <t>Lave-vaisselle</t>
  </si>
  <si>
    <t>1h par jour</t>
  </si>
  <si>
    <t>PAC chauffage</t>
  </si>
  <si>
    <t>Chauffage SDB x 2</t>
  </si>
  <si>
    <t>3h par jour</t>
  </si>
  <si>
    <t>8h par jour</t>
  </si>
  <si>
    <t>1 x par jour</t>
  </si>
  <si>
    <t>1 x par 2 jours</t>
  </si>
  <si>
    <t>24h</t>
  </si>
  <si>
    <t>Total journalier :</t>
  </si>
  <si>
    <t>Total annuel :</t>
  </si>
  <si>
    <t>2 mois et demi</t>
  </si>
  <si>
    <t>4h par jour</t>
  </si>
  <si>
    <t>Wifi AP</t>
  </si>
  <si>
    <t>2 x RPI 3</t>
  </si>
  <si>
    <t>Serveur</t>
  </si>
  <si>
    <t>1h par 3 jours</t>
  </si>
  <si>
    <t>Switch</t>
  </si>
  <si>
    <t>NAS</t>
  </si>
  <si>
    <t>1/2h par jour</t>
  </si>
  <si>
    <t>Prix kwh</t>
  </si>
  <si>
    <t>Inflation par an</t>
  </si>
  <si>
    <t>Puissance de l'installation PV :</t>
  </si>
  <si>
    <t>Puissance PV</t>
  </si>
  <si>
    <t>Prix</t>
  </si>
  <si>
    <t>Taxe prosumer par Kwc</t>
  </si>
  <si>
    <t>Année</t>
  </si>
  <si>
    <t>Coût</t>
  </si>
  <si>
    <t>Calculs</t>
  </si>
  <si>
    <t>Perte de rendement par an</t>
  </si>
  <si>
    <t>Puissance onduleur :</t>
  </si>
  <si>
    <t>Puissance Onduleur</t>
  </si>
  <si>
    <t>Prix fixation</t>
  </si>
  <si>
    <t>Puissance panneau</t>
  </si>
  <si>
    <t>Prix panneau</t>
  </si>
  <si>
    <t>Facteur :</t>
  </si>
  <si>
    <t>Ores Namur</t>
  </si>
  <si>
    <t xml:space="preserve">Auto-consommation </t>
  </si>
  <si>
    <t>Production estimée :</t>
  </si>
  <si>
    <t>Remarques</t>
  </si>
  <si>
    <t xml:space="preserve">Exemples Consommation </t>
  </si>
  <si>
    <t>Consommation estimée :</t>
  </si>
  <si>
    <t>Electricité à acheter :</t>
  </si>
  <si>
    <t>Prix estimé installation :</t>
  </si>
  <si>
    <t>Achat + taxe</t>
  </si>
  <si>
    <t>Taxe</t>
  </si>
  <si>
    <t>…</t>
  </si>
  <si>
    <t>Taxe Prosumer :</t>
  </si>
  <si>
    <t>Remplacement onduleur</t>
  </si>
  <si>
    <t>Différence</t>
  </si>
  <si>
    <t>Inflation Taxe prosumer par Kwc</t>
  </si>
  <si>
    <t>Electricité à acheter</t>
  </si>
  <si>
    <t>Economie PV</t>
  </si>
  <si>
    <t>Rendement total estimé :</t>
  </si>
  <si>
    <t>Frais de port</t>
  </si>
  <si>
    <t>Automatique</t>
  </si>
  <si>
    <t>A remplir/changer</t>
  </si>
  <si>
    <t>Rendement estimé calculé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</si>
</sst>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\ &quot;w&quot;"/>
    <numFmt numFmtId="165" formatCode="0\ &quot;wh&quot;"/>
    <numFmt numFmtId="166" formatCode="00.00\ &quot;kwh&quot;"/>
    <numFmt numFmtId="168" formatCode="00\ &quot;kwh&quot;"/>
    <numFmt numFmtId="169" formatCode="00\ &quot;wc&quot;"/>
    <numFmt numFmtId="170" formatCode="#,##0\ &quot;€&quot;"/>
    <numFmt numFmtId="177" formatCode="#,##0.00\ &quot;€&quot;"/>
    <numFmt numFmtId="178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4" xfId="0" applyBorder="1"/>
    <xf numFmtId="0" fontId="0" fillId="0" borderId="0" xfId="0" applyBorder="1"/>
    <xf numFmtId="0" fontId="0" fillId="0" borderId="5" xfId="0" applyBorder="1"/>
    <xf numFmtId="165" fontId="0" fillId="0" borderId="0" xfId="0" applyNumberFormat="1" applyBorder="1"/>
    <xf numFmtId="0" fontId="4" fillId="0" borderId="6" xfId="0" applyFont="1" applyBorder="1"/>
    <xf numFmtId="165" fontId="0" fillId="0" borderId="7" xfId="0" applyNumberFormat="1" applyBorder="1"/>
    <xf numFmtId="0" fontId="0" fillId="0" borderId="7" xfId="0" applyBorder="1"/>
    <xf numFmtId="0" fontId="0" fillId="0" borderId="8" xfId="0" applyBorder="1"/>
    <xf numFmtId="0" fontId="0" fillId="2" borderId="0" xfId="0" applyFill="1" applyBorder="1"/>
    <xf numFmtId="0" fontId="0" fillId="2" borderId="5" xfId="0" applyFill="1" applyBorder="1"/>
    <xf numFmtId="168" fontId="0" fillId="0" borderId="0" xfId="0" applyNumberFormat="1"/>
    <xf numFmtId="170" fontId="0" fillId="0" borderId="0" xfId="0" applyNumberFormat="1"/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9" fontId="0" fillId="3" borderId="1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9" fontId="0" fillId="0" borderId="4" xfId="0" applyNumberFormat="1" applyBorder="1"/>
    <xf numFmtId="169" fontId="0" fillId="0" borderId="6" xfId="0" applyNumberFormat="1" applyBorder="1"/>
    <xf numFmtId="164" fontId="0" fillId="0" borderId="0" xfId="0" applyNumberFormat="1" applyBorder="1"/>
    <xf numFmtId="0" fontId="0" fillId="0" borderId="6" xfId="0" applyBorder="1"/>
    <xf numFmtId="164" fontId="0" fillId="0" borderId="7" xfId="0" applyNumberFormat="1" applyBorder="1"/>
    <xf numFmtId="170" fontId="0" fillId="0" borderId="0" xfId="0" applyNumberFormat="1" applyBorder="1"/>
    <xf numFmtId="0" fontId="4" fillId="4" borderId="1" xfId="0" applyFont="1" applyFill="1" applyBorder="1"/>
    <xf numFmtId="168" fontId="0" fillId="4" borderId="1" xfId="0" applyNumberFormat="1" applyFill="1" applyBorder="1" applyAlignment="1">
      <alignment horizontal="center" vertical="center"/>
    </xf>
    <xf numFmtId="9" fontId="0" fillId="3" borderId="1" xfId="0" applyNumberFormat="1" applyFill="1" applyBorder="1" applyAlignment="1">
      <alignment horizontal="center" vertical="center"/>
    </xf>
    <xf numFmtId="0" fontId="0" fillId="0" borderId="9" xfId="0" applyBorder="1"/>
    <xf numFmtId="177" fontId="0" fillId="0" borderId="10" xfId="0" applyNumberForma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168" fontId="0" fillId="0" borderId="11" xfId="0" applyNumberFormat="1" applyBorder="1" applyAlignment="1">
      <alignment horizontal="center" vertical="center"/>
    </xf>
    <xf numFmtId="168" fontId="0" fillId="3" borderId="1" xfId="0" applyNumberFormat="1" applyFill="1" applyBorder="1" applyAlignment="1">
      <alignment horizontal="center" vertical="center"/>
    </xf>
    <xf numFmtId="170" fontId="0" fillId="4" borderId="1" xfId="0" applyNumberFormat="1" applyFill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77" fontId="0" fillId="4" borderId="11" xfId="0" applyNumberFormat="1" applyFill="1" applyBorder="1" applyAlignment="1">
      <alignment horizontal="center" vertical="center"/>
    </xf>
    <xf numFmtId="0" fontId="0" fillId="0" borderId="14" xfId="0" applyBorder="1"/>
    <xf numFmtId="177" fontId="0" fillId="3" borderId="1" xfId="0" applyNumberFormat="1" applyFill="1" applyBorder="1" applyAlignment="1">
      <alignment horizontal="center" vertical="center"/>
    </xf>
    <xf numFmtId="170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center" vertical="center"/>
    </xf>
    <xf numFmtId="170" fontId="0" fillId="3" borderId="5" xfId="0" applyNumberFormat="1" applyFill="1" applyBorder="1"/>
    <xf numFmtId="170" fontId="0" fillId="3" borderId="8" xfId="0" applyNumberFormat="1" applyFill="1" applyBorder="1"/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2" borderId="10" xfId="0" applyFill="1" applyBorder="1"/>
    <xf numFmtId="165" fontId="0" fillId="0" borderId="9" xfId="0" applyNumberFormat="1" applyBorder="1"/>
    <xf numFmtId="165" fontId="0" fillId="2" borderId="10" xfId="0" applyNumberFormat="1" applyFill="1" applyBorder="1"/>
    <xf numFmtId="165" fontId="0" fillId="0" borderId="10" xfId="0" applyNumberFormat="1" applyBorder="1"/>
    <xf numFmtId="165" fontId="0" fillId="0" borderId="11" xfId="0" applyNumberFormat="1" applyBorder="1"/>
    <xf numFmtId="166" fontId="0" fillId="4" borderId="15" xfId="0" applyNumberFormat="1" applyFill="1" applyBorder="1"/>
    <xf numFmtId="168" fontId="1" fillId="4" borderId="15" xfId="0" applyNumberFormat="1" applyFont="1" applyFill="1" applyBorder="1"/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2" fillId="5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9" fontId="0" fillId="4" borderId="12" xfId="0" applyNumberFormat="1" applyFill="1" applyBorder="1" applyAlignment="1">
      <alignment horizontal="center" vertical="center"/>
    </xf>
    <xf numFmtId="9" fontId="0" fillId="0" borderId="0" xfId="0" applyNumberForma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0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</cellXfs>
  <cellStyles count="1">
    <cellStyle name="Normal" xfId="0" builtinId="0"/>
  </cellStyles>
  <dxfs count="1">
    <dxf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BE" sz="1800" b="1" u="sng"/>
              <a:t>Rentabilité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Sheet1!$C$31</c:f>
              <c:strCache>
                <c:ptCount val="1"/>
                <c:pt idx="0">
                  <c:v>Coût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Sheet1!$C$32:$C$56</c:f>
              <c:numCache>
                <c:formatCode>#,##0.00\ "€"</c:formatCode>
                <c:ptCount val="25"/>
                <c:pt idx="0">
                  <c:v>4405</c:v>
                </c:pt>
                <c:pt idx="1">
                  <c:v>4636.75</c:v>
                </c:pt>
                <c:pt idx="2">
                  <c:v>4868.5</c:v>
                </c:pt>
                <c:pt idx="3">
                  <c:v>5100.25</c:v>
                </c:pt>
                <c:pt idx="4">
                  <c:v>5332</c:v>
                </c:pt>
                <c:pt idx="5">
                  <c:v>5563.75</c:v>
                </c:pt>
                <c:pt idx="6">
                  <c:v>5795.5</c:v>
                </c:pt>
                <c:pt idx="7">
                  <c:v>6027.25</c:v>
                </c:pt>
                <c:pt idx="8">
                  <c:v>6259</c:v>
                </c:pt>
                <c:pt idx="9">
                  <c:v>7290.75</c:v>
                </c:pt>
                <c:pt idx="10">
                  <c:v>7515.75</c:v>
                </c:pt>
                <c:pt idx="11">
                  <c:v>7740.75</c:v>
                </c:pt>
                <c:pt idx="12">
                  <c:v>7965.75</c:v>
                </c:pt>
                <c:pt idx="13">
                  <c:v>8190.75</c:v>
                </c:pt>
                <c:pt idx="14">
                  <c:v>8415.75</c:v>
                </c:pt>
                <c:pt idx="15">
                  <c:v>8640.75</c:v>
                </c:pt>
                <c:pt idx="16">
                  <c:v>8865.75</c:v>
                </c:pt>
                <c:pt idx="17">
                  <c:v>9090.75</c:v>
                </c:pt>
                <c:pt idx="18">
                  <c:v>9315.75</c:v>
                </c:pt>
                <c:pt idx="19">
                  <c:v>10347.5</c:v>
                </c:pt>
                <c:pt idx="20">
                  <c:v>10572.5</c:v>
                </c:pt>
                <c:pt idx="21">
                  <c:v>10797.5</c:v>
                </c:pt>
                <c:pt idx="22">
                  <c:v>11022.5</c:v>
                </c:pt>
                <c:pt idx="23">
                  <c:v>11247.5</c:v>
                </c:pt>
                <c:pt idx="24">
                  <c:v>11472.5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0A-4644-9122-692E287B7140}"/>
            </c:ext>
          </c:extLst>
        </c:ser>
        <c:ser>
          <c:idx val="1"/>
          <c:order val="1"/>
          <c:tx>
            <c:strRef>
              <c:f>Sheet1!$D$31</c:f>
              <c:strCache>
                <c:ptCount val="1"/>
                <c:pt idx="0">
                  <c:v>Economie PV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Sheet1!$D$32:$D$56</c:f>
              <c:numCache>
                <c:formatCode>#,##0.00\ "€"</c:formatCode>
                <c:ptCount val="25"/>
                <c:pt idx="0">
                  <c:v>777.59999999999991</c:v>
                </c:pt>
                <c:pt idx="1">
                  <c:v>1572.9215039999999</c:v>
                </c:pt>
                <c:pt idx="2">
                  <c:v>2368.2430079999999</c:v>
                </c:pt>
                <c:pt idx="3">
                  <c:v>3163.5645119999999</c:v>
                </c:pt>
                <c:pt idx="4">
                  <c:v>3958.8860159999999</c:v>
                </c:pt>
                <c:pt idx="5">
                  <c:v>4754.2075199999999</c:v>
                </c:pt>
                <c:pt idx="6">
                  <c:v>5549.5290239999995</c:v>
                </c:pt>
                <c:pt idx="7">
                  <c:v>6344.850527999999</c:v>
                </c:pt>
                <c:pt idx="8">
                  <c:v>7140.1720319999986</c:v>
                </c:pt>
                <c:pt idx="9">
                  <c:v>7935.4935359999981</c:v>
                </c:pt>
                <c:pt idx="10">
                  <c:v>8730.8150399999977</c:v>
                </c:pt>
                <c:pt idx="11">
                  <c:v>9526.1365439999972</c:v>
                </c:pt>
                <c:pt idx="12">
                  <c:v>10321.458047999997</c:v>
                </c:pt>
                <c:pt idx="13">
                  <c:v>11116.779551999996</c:v>
                </c:pt>
                <c:pt idx="14">
                  <c:v>11912.101055999996</c:v>
                </c:pt>
                <c:pt idx="15">
                  <c:v>12707.422559999995</c:v>
                </c:pt>
                <c:pt idx="16">
                  <c:v>13502.744063999995</c:v>
                </c:pt>
                <c:pt idx="17">
                  <c:v>14298.065567999995</c:v>
                </c:pt>
                <c:pt idx="18">
                  <c:v>15093.387071999994</c:v>
                </c:pt>
                <c:pt idx="19">
                  <c:v>15888.708575999994</c:v>
                </c:pt>
                <c:pt idx="20">
                  <c:v>16684.030079999993</c:v>
                </c:pt>
                <c:pt idx="21">
                  <c:v>17479.351583999993</c:v>
                </c:pt>
                <c:pt idx="22">
                  <c:v>18274.673087999992</c:v>
                </c:pt>
                <c:pt idx="23">
                  <c:v>19069.994591999992</c:v>
                </c:pt>
                <c:pt idx="24">
                  <c:v>19865.316095999991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0A-4644-9122-692E287B7140}"/>
            </c:ext>
          </c:extLst>
        </c:ser>
        <c:ser>
          <c:idx val="2"/>
          <c:order val="2"/>
          <c:tx>
            <c:strRef>
              <c:f>Sheet1!$F$31</c:f>
              <c:strCache>
                <c:ptCount val="1"/>
                <c:pt idx="0">
                  <c:v>Electricité à acheter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Sheet1!$F$32:$F$56</c:f>
              <c:numCache>
                <c:formatCode>#,##0.00\ "€"</c:formatCode>
                <c:ptCount val="25"/>
                <c:pt idx="0">
                  <c:v>182.40000000000009</c:v>
                </c:pt>
                <c:pt idx="1">
                  <c:v>370.27200000000022</c:v>
                </c:pt>
                <c:pt idx="2">
                  <c:v>558.14400000000035</c:v>
                </c:pt>
                <c:pt idx="3">
                  <c:v>746.01600000000053</c:v>
                </c:pt>
                <c:pt idx="4">
                  <c:v>933.8880000000006</c:v>
                </c:pt>
                <c:pt idx="5">
                  <c:v>1121.7600000000007</c:v>
                </c:pt>
                <c:pt idx="6">
                  <c:v>1309.6320000000007</c:v>
                </c:pt>
                <c:pt idx="7">
                  <c:v>1497.5040000000008</c:v>
                </c:pt>
                <c:pt idx="8">
                  <c:v>1685.3760000000009</c:v>
                </c:pt>
                <c:pt idx="9">
                  <c:v>1873.248000000001</c:v>
                </c:pt>
                <c:pt idx="10">
                  <c:v>2061.1200000000013</c:v>
                </c:pt>
                <c:pt idx="11">
                  <c:v>2248.9920000000016</c:v>
                </c:pt>
                <c:pt idx="12">
                  <c:v>2436.8640000000019</c:v>
                </c:pt>
                <c:pt idx="13">
                  <c:v>2624.7360000000022</c:v>
                </c:pt>
                <c:pt idx="14">
                  <c:v>2812.6080000000024</c:v>
                </c:pt>
                <c:pt idx="15">
                  <c:v>3000.4800000000027</c:v>
                </c:pt>
                <c:pt idx="16">
                  <c:v>3188.352000000003</c:v>
                </c:pt>
                <c:pt idx="17">
                  <c:v>3376.2240000000033</c:v>
                </c:pt>
                <c:pt idx="18">
                  <c:v>3564.0960000000036</c:v>
                </c:pt>
                <c:pt idx="19">
                  <c:v>3751.9680000000039</c:v>
                </c:pt>
                <c:pt idx="20">
                  <c:v>3939.8400000000042</c:v>
                </c:pt>
                <c:pt idx="21">
                  <c:v>4127.7120000000041</c:v>
                </c:pt>
                <c:pt idx="22">
                  <c:v>4315.5840000000044</c:v>
                </c:pt>
                <c:pt idx="23">
                  <c:v>4503.4560000000047</c:v>
                </c:pt>
                <c:pt idx="24">
                  <c:v>4691.328000000005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0A-4644-9122-692E287B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593896"/>
        <c:axId val="599594552"/>
      </c:lineChart>
      <c:catAx>
        <c:axId val="599593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9594552"/>
        <c:crosses val="autoZero"/>
        <c:auto val="1"/>
        <c:lblAlgn val="ctr"/>
        <c:lblOffset val="100"/>
        <c:noMultiLvlLbl val="0"/>
      </c:catAx>
      <c:valAx>
        <c:axId val="599594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9593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171450</xdr:colOff>
      <xdr:row>26</xdr:row>
      <xdr:rowOff>95250</xdr:rowOff>
    </xdr:from>
    <xdr:to>
      <xdr:col>21</xdr:col>
      <xdr:colOff>122237</xdr:colOff>
      <xdr:row>55</xdr:row>
      <xdr:rowOff>185737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DCAB97-DBAD-4197-B5E3-0E1B510836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F978B-4DEF-413F-939C-9558B20704E3}">
  <dimension ref="A1:V58"/>
  <sheetViews>
    <sheetView tabSelected="1" workbookViewId="0">
      <selection activeCell="C26" sqref="C26"/>
    </sheetView>
  </sheetViews>
  <sheetFormatPr defaultRowHeight="15" x14ac:dyDescent="0.25"/>
  <cols>
    <col min="1" max="1" width="28.28515625" bestFit="1" customWidth="1"/>
    <col min="2" max="2" width="21.85546875" customWidth="1"/>
    <col min="3" max="3" width="23.42578125" bestFit="1" customWidth="1"/>
    <col min="4" max="5" width="23" bestFit="1" customWidth="1"/>
    <col min="6" max="6" width="23.42578125" bestFit="1" customWidth="1"/>
    <col min="7" max="7" width="30.140625" bestFit="1" customWidth="1"/>
    <col min="9" max="9" width="11.5703125" bestFit="1" customWidth="1"/>
    <col min="10" max="10" width="12.7109375" bestFit="1" customWidth="1"/>
    <col min="12" max="12" width="24.28515625" bestFit="1" customWidth="1"/>
    <col min="15" max="15" width="17.42578125" customWidth="1"/>
  </cols>
  <sheetData>
    <row r="1" spans="1:22" ht="16.5" thickBot="1" x14ac:dyDescent="0.3">
      <c r="A1" s="65" t="s">
        <v>0</v>
      </c>
      <c r="B1" s="66"/>
      <c r="C1" s="66"/>
      <c r="D1" s="66"/>
      <c r="E1" s="67"/>
    </row>
    <row r="2" spans="1:22" ht="15.75" thickBot="1" x14ac:dyDescent="0.3">
      <c r="A2" s="41" t="s">
        <v>4</v>
      </c>
      <c r="B2" s="69">
        <v>3350</v>
      </c>
      <c r="C2" s="4"/>
      <c r="D2" s="41" t="s">
        <v>21</v>
      </c>
      <c r="E2" s="5"/>
      <c r="G2" s="62" t="s">
        <v>9</v>
      </c>
      <c r="H2" s="63"/>
      <c r="I2" s="63"/>
      <c r="J2" s="64"/>
      <c r="L2" s="77" t="s">
        <v>53</v>
      </c>
      <c r="O2" s="75" t="s">
        <v>36</v>
      </c>
      <c r="P2" s="76"/>
      <c r="Q2" s="31" t="s">
        <v>37</v>
      </c>
      <c r="S2" s="78" t="s">
        <v>44</v>
      </c>
      <c r="T2" s="79"/>
      <c r="U2" s="80"/>
      <c r="V2" s="77" t="s">
        <v>37</v>
      </c>
    </row>
    <row r="3" spans="1:22" x14ac:dyDescent="0.25">
      <c r="A3" s="68" t="s">
        <v>2</v>
      </c>
      <c r="B3" s="70">
        <v>2500</v>
      </c>
      <c r="C3" s="11"/>
      <c r="D3" s="68" t="s">
        <v>32</v>
      </c>
      <c r="E3" s="12"/>
      <c r="G3" s="3" t="s">
        <v>28</v>
      </c>
      <c r="H3" s="6">
        <v>100</v>
      </c>
      <c r="I3" s="4"/>
      <c r="J3" s="5" t="s">
        <v>29</v>
      </c>
      <c r="L3" s="43">
        <f>C20</f>
        <v>6754.125</v>
      </c>
      <c r="O3" s="32">
        <v>3000</v>
      </c>
      <c r="P3" s="4"/>
      <c r="Q3" s="60">
        <f>((O3/$Q$13)*($Q$14+$Q$15))+$Q$16</f>
        <v>2850</v>
      </c>
      <c r="S3" s="3"/>
      <c r="T3" s="34">
        <v>2500</v>
      </c>
      <c r="U3" s="4"/>
      <c r="V3" s="60">
        <v>800</v>
      </c>
    </row>
    <row r="4" spans="1:22" x14ac:dyDescent="0.25">
      <c r="A4" s="68" t="s">
        <v>16</v>
      </c>
      <c r="B4" s="70">
        <v>2500</v>
      </c>
      <c r="C4" s="11"/>
      <c r="D4" s="68" t="s">
        <v>14</v>
      </c>
      <c r="E4" s="12"/>
      <c r="G4" s="3" t="s">
        <v>30</v>
      </c>
      <c r="H4" s="6">
        <v>600</v>
      </c>
      <c r="I4" s="4"/>
      <c r="J4" s="5" t="s">
        <v>21</v>
      </c>
      <c r="L4" s="43">
        <v>3000</v>
      </c>
      <c r="O4" s="32">
        <v>3600</v>
      </c>
      <c r="P4" s="4"/>
      <c r="Q4" s="60">
        <f>((O4/$Q$13)*($Q$14+$Q$15))+$Q$16</f>
        <v>3380</v>
      </c>
      <c r="S4" s="3"/>
      <c r="T4" s="34">
        <v>3000</v>
      </c>
      <c r="U4" s="4"/>
      <c r="V4" s="60">
        <v>969</v>
      </c>
    </row>
    <row r="5" spans="1:22" x14ac:dyDescent="0.25">
      <c r="A5" s="25" t="s">
        <v>9</v>
      </c>
      <c r="B5" s="71">
        <f>$H$8</f>
        <v>2200</v>
      </c>
      <c r="C5" s="4"/>
      <c r="D5" s="25" t="s">
        <v>21</v>
      </c>
      <c r="E5" s="5"/>
      <c r="G5" s="3" t="s">
        <v>31</v>
      </c>
      <c r="H5" s="6">
        <v>1000</v>
      </c>
      <c r="I5" s="4"/>
      <c r="J5" s="5" t="s">
        <v>21</v>
      </c>
      <c r="L5" s="43">
        <v>3500</v>
      </c>
      <c r="O5" s="32">
        <v>4200</v>
      </c>
      <c r="P5" s="4"/>
      <c r="Q5" s="60">
        <f>((O5/$Q$13)*($Q$14+$Q$15))+$Q$16</f>
        <v>3910</v>
      </c>
      <c r="S5" s="3"/>
      <c r="T5" s="34">
        <v>3600</v>
      </c>
      <c r="U5" s="4"/>
      <c r="V5" s="60">
        <v>1025</v>
      </c>
    </row>
    <row r="6" spans="1:22" x14ac:dyDescent="0.25">
      <c r="A6" s="25" t="s">
        <v>5</v>
      </c>
      <c r="B6" s="71">
        <v>900</v>
      </c>
      <c r="C6" s="4"/>
      <c r="D6" s="25" t="s">
        <v>21</v>
      </c>
      <c r="E6" s="5"/>
      <c r="G6" s="3" t="s">
        <v>26</v>
      </c>
      <c r="H6" s="6">
        <v>300</v>
      </c>
      <c r="I6" s="4"/>
      <c r="J6" s="5" t="s">
        <v>21</v>
      </c>
      <c r="L6" s="43">
        <v>4000</v>
      </c>
      <c r="O6" s="32">
        <v>4500</v>
      </c>
      <c r="P6" s="4"/>
      <c r="Q6" s="60">
        <f>((O6/$Q$13)*($Q$14+$Q$15))+$Q$16</f>
        <v>4175</v>
      </c>
      <c r="S6" s="3"/>
      <c r="T6" s="34">
        <v>4000</v>
      </c>
      <c r="U6" s="4"/>
      <c r="V6" s="60">
        <v>1075</v>
      </c>
    </row>
    <row r="7" spans="1:22" ht="15.75" thickBot="1" x14ac:dyDescent="0.3">
      <c r="A7" s="68" t="s">
        <v>11</v>
      </c>
      <c r="B7" s="70">
        <v>825</v>
      </c>
      <c r="C7" s="11"/>
      <c r="D7" s="68" t="s">
        <v>19</v>
      </c>
      <c r="E7" s="12"/>
      <c r="G7" s="3" t="s">
        <v>27</v>
      </c>
      <c r="H7" s="6">
        <v>200</v>
      </c>
      <c r="I7" s="4"/>
      <c r="J7" s="5" t="s">
        <v>21</v>
      </c>
      <c r="L7" s="43">
        <v>4500</v>
      </c>
      <c r="O7" s="32">
        <v>4800</v>
      </c>
      <c r="P7" s="4"/>
      <c r="Q7" s="60">
        <f>((O7/$Q$13)*($Q$14+$Q$15))+$Q$16</f>
        <v>4440</v>
      </c>
      <c r="S7" s="35"/>
      <c r="T7" s="36">
        <v>5000</v>
      </c>
      <c r="U7" s="9"/>
      <c r="V7" s="61">
        <v>1155</v>
      </c>
    </row>
    <row r="8" spans="1:22" ht="15.75" thickBot="1" x14ac:dyDescent="0.3">
      <c r="A8" s="68" t="s">
        <v>3</v>
      </c>
      <c r="B8" s="70">
        <v>750</v>
      </c>
      <c r="C8" s="11"/>
      <c r="D8" s="68" t="s">
        <v>14</v>
      </c>
      <c r="E8" s="12"/>
      <c r="G8" s="7" t="s">
        <v>22</v>
      </c>
      <c r="H8" s="8">
        <f>SUM(H3:H7)</f>
        <v>2200</v>
      </c>
      <c r="I8" s="9"/>
      <c r="J8" s="10"/>
      <c r="L8" s="43">
        <v>5000</v>
      </c>
      <c r="O8" s="32">
        <v>5400</v>
      </c>
      <c r="P8" s="4"/>
      <c r="Q8" s="60">
        <f>((O8/$Q$13)*($Q$14+$Q$15))+$Q$16</f>
        <v>4970</v>
      </c>
      <c r="S8" s="4"/>
      <c r="T8" s="4"/>
      <c r="U8" s="4"/>
      <c r="V8" s="4"/>
    </row>
    <row r="9" spans="1:22" ht="15.75" thickBot="1" x14ac:dyDescent="0.3">
      <c r="A9" s="68" t="s">
        <v>12</v>
      </c>
      <c r="B9" s="70">
        <v>570</v>
      </c>
      <c r="C9" s="11"/>
      <c r="D9" s="68" t="s">
        <v>19</v>
      </c>
      <c r="E9" s="12"/>
      <c r="L9" s="43">
        <v>5500</v>
      </c>
      <c r="O9" s="32">
        <v>6000</v>
      </c>
      <c r="P9" s="4"/>
      <c r="Q9" s="60">
        <f>((O9/$Q$13)*($Q$14+$Q$15))+$Q$16</f>
        <v>5500</v>
      </c>
      <c r="S9" s="4"/>
      <c r="T9" s="34"/>
      <c r="U9" s="4"/>
      <c r="V9" s="37"/>
    </row>
    <row r="10" spans="1:22" ht="15.75" thickBot="1" x14ac:dyDescent="0.3">
      <c r="A10" s="68" t="s">
        <v>7</v>
      </c>
      <c r="B10" s="70">
        <v>500</v>
      </c>
      <c r="C10" s="11"/>
      <c r="D10" s="68" t="s">
        <v>14</v>
      </c>
      <c r="E10" s="12"/>
      <c r="G10" s="81" t="s">
        <v>33</v>
      </c>
      <c r="H10" s="57">
        <v>0.24</v>
      </c>
      <c r="L10" s="43">
        <v>6000</v>
      </c>
      <c r="O10" s="32">
        <v>6600</v>
      </c>
      <c r="P10" s="4"/>
      <c r="Q10" s="60">
        <f>((O10/$Q$13)*($Q$14+$Q$15))+$Q$16</f>
        <v>6030</v>
      </c>
      <c r="S10" s="4"/>
      <c r="T10" s="34"/>
      <c r="U10" s="4"/>
      <c r="V10" s="37"/>
    </row>
    <row r="11" spans="1:22" ht="15.75" thickBot="1" x14ac:dyDescent="0.3">
      <c r="A11" s="68" t="s">
        <v>1</v>
      </c>
      <c r="B11" s="70">
        <v>500</v>
      </c>
      <c r="C11" s="11"/>
      <c r="D11" s="68" t="s">
        <v>25</v>
      </c>
      <c r="E11" s="12"/>
      <c r="G11" s="81" t="s">
        <v>34</v>
      </c>
      <c r="H11" s="40">
        <v>0.03</v>
      </c>
      <c r="L11" s="43">
        <v>6500</v>
      </c>
      <c r="O11" s="33">
        <v>7200</v>
      </c>
      <c r="P11" s="9"/>
      <c r="Q11" s="61">
        <f>((O11/$Q$13)*($Q$14+$Q$15))+$Q$16</f>
        <v>6560</v>
      </c>
      <c r="S11" s="4"/>
      <c r="T11" s="34"/>
      <c r="U11" s="4"/>
      <c r="V11" s="37"/>
    </row>
    <row r="12" spans="1:22" ht="15.75" thickBot="1" x14ac:dyDescent="0.3">
      <c r="A12" s="68" t="s">
        <v>8</v>
      </c>
      <c r="B12" s="70">
        <v>500</v>
      </c>
      <c r="C12" s="11"/>
      <c r="D12" s="68" t="s">
        <v>17</v>
      </c>
      <c r="E12" s="12"/>
      <c r="G12" s="2"/>
      <c r="H12" s="16"/>
      <c r="L12" s="44">
        <v>7000</v>
      </c>
      <c r="P12" s="13"/>
      <c r="S12" s="4"/>
      <c r="T12" s="34"/>
      <c r="U12" s="4"/>
      <c r="V12" s="37"/>
    </row>
    <row r="13" spans="1:22" ht="15.75" thickBot="1" x14ac:dyDescent="0.3">
      <c r="A13" s="25" t="s">
        <v>10</v>
      </c>
      <c r="B13" s="71">
        <v>400</v>
      </c>
      <c r="C13" s="4"/>
      <c r="D13" s="25" t="s">
        <v>21</v>
      </c>
      <c r="E13" s="5"/>
      <c r="G13" s="81" t="s">
        <v>38</v>
      </c>
      <c r="H13" s="58">
        <v>90</v>
      </c>
      <c r="I13" s="56" t="s">
        <v>49</v>
      </c>
      <c r="O13" s="84" t="s">
        <v>46</v>
      </c>
      <c r="P13" s="85"/>
      <c r="Q13" s="29">
        <v>300</v>
      </c>
    </row>
    <row r="14" spans="1:22" ht="15.75" thickBot="1" x14ac:dyDescent="0.3">
      <c r="A14" s="25" t="s">
        <v>6</v>
      </c>
      <c r="B14" s="71">
        <v>380</v>
      </c>
      <c r="C14" s="4"/>
      <c r="D14" s="25" t="s">
        <v>21</v>
      </c>
      <c r="E14" s="5"/>
      <c r="G14" s="81" t="s">
        <v>63</v>
      </c>
      <c r="H14" s="40">
        <v>0.03</v>
      </c>
      <c r="O14" s="84" t="s">
        <v>47</v>
      </c>
      <c r="P14" s="85"/>
      <c r="Q14" s="58">
        <v>145</v>
      </c>
    </row>
    <row r="15" spans="1:22" ht="15.75" thickBot="1" x14ac:dyDescent="0.3">
      <c r="A15" s="68" t="s">
        <v>13</v>
      </c>
      <c r="B15" s="70">
        <v>350</v>
      </c>
      <c r="C15" s="11"/>
      <c r="D15" s="68" t="s">
        <v>20</v>
      </c>
      <c r="E15" s="12"/>
      <c r="G15" s="2"/>
      <c r="H15" s="16"/>
      <c r="O15" s="84" t="s">
        <v>45</v>
      </c>
      <c r="P15" s="85"/>
      <c r="Q15" s="58">
        <v>120</v>
      </c>
    </row>
    <row r="16" spans="1:22" ht="15.75" thickBot="1" x14ac:dyDescent="0.3">
      <c r="A16" s="38" t="s">
        <v>22</v>
      </c>
      <c r="B16" s="71">
        <f>SUM(B2:B15)</f>
        <v>16225</v>
      </c>
      <c r="C16" s="73">
        <f>B16/1000</f>
        <v>16.225000000000001</v>
      </c>
      <c r="D16" s="25"/>
      <c r="E16" s="5"/>
      <c r="G16" s="81" t="s">
        <v>42</v>
      </c>
      <c r="H16" s="59">
        <v>7.0000000000000001E-3</v>
      </c>
      <c r="O16" s="84" t="s">
        <v>67</v>
      </c>
      <c r="P16" s="85"/>
      <c r="Q16" s="58">
        <v>200</v>
      </c>
    </row>
    <row r="17" spans="1:12" ht="15.75" thickBot="1" x14ac:dyDescent="0.3">
      <c r="A17" s="25"/>
      <c r="B17" s="71"/>
      <c r="C17" s="4"/>
      <c r="D17" s="25"/>
      <c r="E17" s="5"/>
      <c r="G17" s="2"/>
      <c r="H17" s="16"/>
    </row>
    <row r="18" spans="1:12" ht="15.75" thickBot="1" x14ac:dyDescent="0.3">
      <c r="A18" s="68" t="s">
        <v>15</v>
      </c>
      <c r="B18" s="70">
        <v>10400</v>
      </c>
      <c r="C18" s="11"/>
      <c r="D18" s="68" t="s">
        <v>18</v>
      </c>
      <c r="E18" s="12" t="s">
        <v>24</v>
      </c>
      <c r="G18" s="81" t="s">
        <v>50</v>
      </c>
      <c r="H18" s="40">
        <v>0.37</v>
      </c>
    </row>
    <row r="19" spans="1:12" ht="15.75" thickBot="1" x14ac:dyDescent="0.3">
      <c r="A19" s="25"/>
      <c r="B19" s="25"/>
      <c r="C19" s="4"/>
      <c r="D19" s="25"/>
      <c r="E19" s="5"/>
      <c r="G19" s="1"/>
      <c r="K19" s="28"/>
      <c r="L19" s="16" t="s">
        <v>68</v>
      </c>
    </row>
    <row r="20" spans="1:12" ht="15.75" thickBot="1" x14ac:dyDescent="0.3">
      <c r="A20" s="38" t="s">
        <v>23</v>
      </c>
      <c r="B20" s="72">
        <f>(B16*365)+(B18*80)</f>
        <v>6754125</v>
      </c>
      <c r="C20" s="74">
        <f>B20/1000</f>
        <v>6754.125</v>
      </c>
      <c r="D20" s="26"/>
      <c r="E20" s="10"/>
      <c r="G20" s="1"/>
      <c r="K20" s="27"/>
      <c r="L20" s="16" t="s">
        <v>69</v>
      </c>
    </row>
    <row r="21" spans="1:12" ht="15.75" thickBot="1" x14ac:dyDescent="0.3">
      <c r="G21" s="1"/>
      <c r="I21" s="14"/>
    </row>
    <row r="22" spans="1:12" ht="21" customHeight="1" thickBot="1" x14ac:dyDescent="0.3">
      <c r="A22" s="81" t="s">
        <v>35</v>
      </c>
      <c r="B22" s="29">
        <v>3600</v>
      </c>
      <c r="G22" s="1"/>
    </row>
    <row r="23" spans="1:12" ht="21" customHeight="1" thickBot="1" x14ac:dyDescent="0.3">
      <c r="A23" s="81" t="s">
        <v>43</v>
      </c>
      <c r="B23" s="30">
        <v>2500</v>
      </c>
      <c r="C23" s="83" t="str">
        <f>IF(B23&lt;B22,"Sous-dimensionnement!","")</f>
        <v>Sous-dimensionnement!</v>
      </c>
      <c r="D23" s="83" t="s">
        <v>48</v>
      </c>
      <c r="E23" s="28">
        <f>B22/B23</f>
        <v>1.44</v>
      </c>
      <c r="G23" s="1"/>
    </row>
    <row r="24" spans="1:12" s="15" customFormat="1" ht="21" customHeight="1" thickBot="1" x14ac:dyDescent="0.3">
      <c r="A24" s="81" t="s">
        <v>66</v>
      </c>
      <c r="B24" s="40">
        <v>0.95</v>
      </c>
      <c r="D24" s="83" t="s">
        <v>56</v>
      </c>
      <c r="E24" s="46">
        <f>VLOOKUP(B22,O3:Q11,3,FALSE)+VLOOKUP(B23,T3:V7,3,FALSE)</f>
        <v>4180</v>
      </c>
      <c r="G24" s="83" t="s">
        <v>60</v>
      </c>
      <c r="H24" s="46">
        <f>H13*(B23/1000)</f>
        <v>225</v>
      </c>
    </row>
    <row r="25" spans="1:12" s="15" customFormat="1" ht="21" customHeight="1" thickBot="1" x14ac:dyDescent="0.3">
      <c r="A25" s="82" t="s">
        <v>70</v>
      </c>
      <c r="B25" s="86">
        <f>IF(B23&lt;B22,B24-5%,B24)</f>
        <v>0.89999999999999991</v>
      </c>
      <c r="C25" s="87"/>
      <c r="D25" s="88"/>
      <c r="E25" s="89"/>
      <c r="F25" s="90"/>
      <c r="G25" s="88"/>
      <c r="H25" s="89"/>
    </row>
    <row r="26" spans="1:12" ht="21" customHeight="1" thickBot="1" x14ac:dyDescent="0.3">
      <c r="A26" s="82" t="s">
        <v>51</v>
      </c>
      <c r="B26" s="39">
        <f>B22*B25</f>
        <v>3239.9999999999995</v>
      </c>
    </row>
    <row r="27" spans="1:12" s="15" customFormat="1" ht="21" customHeight="1" thickBot="1" x14ac:dyDescent="0.3">
      <c r="A27" s="81" t="s">
        <v>54</v>
      </c>
      <c r="B27" s="45">
        <v>4000</v>
      </c>
    </row>
    <row r="28" spans="1:12" s="15" customFormat="1" ht="21" customHeight="1" thickBot="1" x14ac:dyDescent="0.3">
      <c r="A28" s="82" t="s">
        <v>55</v>
      </c>
      <c r="B28" s="39">
        <f>B27-B26</f>
        <v>760.00000000000045</v>
      </c>
      <c r="C28" s="82" t="s">
        <v>40</v>
      </c>
      <c r="D28" s="46">
        <f>B28*H10</f>
        <v>182.40000000000009</v>
      </c>
    </row>
    <row r="29" spans="1:12" ht="15.75" thickBot="1" x14ac:dyDescent="0.3"/>
    <row r="30" spans="1:12" ht="16.5" thickBot="1" x14ac:dyDescent="0.3">
      <c r="B30" s="20" t="s">
        <v>41</v>
      </c>
      <c r="C30" s="54"/>
      <c r="D30" s="54"/>
      <c r="E30" s="54"/>
      <c r="F30" s="54"/>
      <c r="G30" s="21"/>
    </row>
    <row r="31" spans="1:12" ht="15.75" thickBot="1" x14ac:dyDescent="0.3">
      <c r="B31" s="22" t="s">
        <v>39</v>
      </c>
      <c r="C31" s="24" t="s">
        <v>40</v>
      </c>
      <c r="D31" s="24" t="s">
        <v>65</v>
      </c>
      <c r="E31" s="24" t="s">
        <v>62</v>
      </c>
      <c r="F31" s="24" t="s">
        <v>64</v>
      </c>
      <c r="G31" s="23" t="s">
        <v>52</v>
      </c>
    </row>
    <row r="32" spans="1:12" x14ac:dyDescent="0.25">
      <c r="A32" s="16" t="str">
        <f>IF(ABS(E32)=$E$58,"Année de rentabilité","")</f>
        <v/>
      </c>
      <c r="B32" s="17">
        <v>1</v>
      </c>
      <c r="C32" s="47">
        <f>E24+H24</f>
        <v>4405</v>
      </c>
      <c r="D32" s="49">
        <f>B26*H10</f>
        <v>777.59999999999991</v>
      </c>
      <c r="E32" s="47">
        <f>D32-C32</f>
        <v>-3627.4</v>
      </c>
      <c r="F32" s="47">
        <f>B28*H10</f>
        <v>182.40000000000009</v>
      </c>
      <c r="G32" s="52" t="s">
        <v>57</v>
      </c>
    </row>
    <row r="33" spans="1:7" x14ac:dyDescent="0.25">
      <c r="A33" s="16" t="str">
        <f t="shared" ref="A33:A56" si="0">IF(ABS(E33)=$E$58,"Année de rentabilité","")</f>
        <v/>
      </c>
      <c r="B33" s="17">
        <v>2</v>
      </c>
      <c r="C33" s="42">
        <f>C32+($H$24+($H$24*$H$14))</f>
        <v>4636.75</v>
      </c>
      <c r="D33" s="50">
        <f>D32+(($B$26-($B$26*$H$16))*($H$10+($H$10*$H$11)))</f>
        <v>1572.9215039999999</v>
      </c>
      <c r="E33" s="42">
        <f>D33-C33</f>
        <v>-3063.8284960000001</v>
      </c>
      <c r="F33" s="42">
        <f>F32+($B$28*($H$10+($H$10*$H$11)))</f>
        <v>370.27200000000022</v>
      </c>
      <c r="G33" s="52" t="s">
        <v>58</v>
      </c>
    </row>
    <row r="34" spans="1:7" x14ac:dyDescent="0.25">
      <c r="A34" s="16" t="str">
        <f t="shared" si="0"/>
        <v/>
      </c>
      <c r="B34" s="17">
        <v>3</v>
      </c>
      <c r="C34" s="42">
        <f t="shared" ref="C34:C40" si="1">C33+($H$24+($H$24*$H$14))</f>
        <v>4868.5</v>
      </c>
      <c r="D34" s="50">
        <f>D33+(($B$26-($B$26*$H$16))*($H$10+($H$10*$H$11)))</f>
        <v>2368.2430079999999</v>
      </c>
      <c r="E34" s="42">
        <f>D34-C34</f>
        <v>-2500.2569920000001</v>
      </c>
      <c r="F34" s="42">
        <f>F33+($B$28*($H$10+($H$10*$H$11)))</f>
        <v>558.14400000000035</v>
      </c>
      <c r="G34" s="52" t="s">
        <v>58</v>
      </c>
    </row>
    <row r="35" spans="1:7" x14ac:dyDescent="0.25">
      <c r="A35" s="16" t="str">
        <f t="shared" si="0"/>
        <v/>
      </c>
      <c r="B35" s="17">
        <v>4</v>
      </c>
      <c r="C35" s="42">
        <f t="shared" si="1"/>
        <v>5100.25</v>
      </c>
      <c r="D35" s="50">
        <f>D34+(($B$26-($B$26*$H$16))*($H$10+($H$10*$H$11)))</f>
        <v>3163.5645119999999</v>
      </c>
      <c r="E35" s="42">
        <f>D35-C35</f>
        <v>-1936.6854880000001</v>
      </c>
      <c r="F35" s="42">
        <f>F34+($B$28*($H$10+($H$10*$H$11)))</f>
        <v>746.01600000000053</v>
      </c>
      <c r="G35" s="52" t="s">
        <v>58</v>
      </c>
    </row>
    <row r="36" spans="1:7" x14ac:dyDescent="0.25">
      <c r="A36" s="16" t="str">
        <f t="shared" si="0"/>
        <v/>
      </c>
      <c r="B36" s="17">
        <v>5</v>
      </c>
      <c r="C36" s="42">
        <f t="shared" si="1"/>
        <v>5332</v>
      </c>
      <c r="D36" s="50">
        <f>D35+(($B$26-($B$26*$H$16))*($H$10+($H$10*$H$11)))</f>
        <v>3958.8860159999999</v>
      </c>
      <c r="E36" s="42">
        <f>D36-C36</f>
        <v>-1373.1139840000001</v>
      </c>
      <c r="F36" s="42">
        <f>F35+($B$28*($H$10+($H$10*$H$11)))</f>
        <v>933.8880000000006</v>
      </c>
      <c r="G36" s="52" t="s">
        <v>59</v>
      </c>
    </row>
    <row r="37" spans="1:7" x14ac:dyDescent="0.25">
      <c r="A37" s="16" t="str">
        <f t="shared" si="0"/>
        <v/>
      </c>
      <c r="B37" s="17">
        <v>6</v>
      </c>
      <c r="C37" s="42">
        <f t="shared" si="1"/>
        <v>5563.75</v>
      </c>
      <c r="D37" s="50">
        <f>D36+(($B$26-($B$26*$H$16))*($H$10+($H$10*$H$11)))</f>
        <v>4754.2075199999999</v>
      </c>
      <c r="E37" s="42">
        <f>D37-C37</f>
        <v>-809.54248000000007</v>
      </c>
      <c r="F37" s="42">
        <f>F36+($B$28*($H$10+($H$10*$H$11)))</f>
        <v>1121.7600000000007</v>
      </c>
      <c r="G37" s="52"/>
    </row>
    <row r="38" spans="1:7" x14ac:dyDescent="0.25">
      <c r="A38" s="16" t="str">
        <f t="shared" si="0"/>
        <v>Année de rentabilité</v>
      </c>
      <c r="B38" s="17">
        <v>7</v>
      </c>
      <c r="C38" s="42">
        <f t="shared" si="1"/>
        <v>5795.5</v>
      </c>
      <c r="D38" s="50">
        <f>D37+(($B$26-($B$26*$H$16))*($H$10+($H$10*$H$11)))</f>
        <v>5549.5290239999995</v>
      </c>
      <c r="E38" s="42">
        <f>D38-C38</f>
        <v>-245.97097600000052</v>
      </c>
      <c r="F38" s="42">
        <f>F37+($B$28*($H$10+($H$10*$H$11)))</f>
        <v>1309.6320000000007</v>
      </c>
      <c r="G38" s="52"/>
    </row>
    <row r="39" spans="1:7" x14ac:dyDescent="0.25">
      <c r="A39" s="16" t="str">
        <f t="shared" si="0"/>
        <v/>
      </c>
      <c r="B39" s="17">
        <v>8</v>
      </c>
      <c r="C39" s="42">
        <f t="shared" si="1"/>
        <v>6027.25</v>
      </c>
      <c r="D39" s="50">
        <f>D38+(($B$26-($B$26*$H$16))*($H$10+($H$10*$H$11)))</f>
        <v>6344.850527999999</v>
      </c>
      <c r="E39" s="42">
        <f>D39-C39</f>
        <v>317.60052799999903</v>
      </c>
      <c r="F39" s="42">
        <f>F38+($B$28*($H$10+($H$10*$H$11)))</f>
        <v>1497.5040000000008</v>
      </c>
      <c r="G39" s="52"/>
    </row>
    <row r="40" spans="1:7" x14ac:dyDescent="0.25">
      <c r="A40" s="16" t="str">
        <f t="shared" si="0"/>
        <v/>
      </c>
      <c r="B40" s="17">
        <v>9</v>
      </c>
      <c r="C40" s="42">
        <f t="shared" si="1"/>
        <v>6259</v>
      </c>
      <c r="D40" s="50">
        <f>D39+(($B$26-($B$26*$H$16))*($H$10+($H$10*$H$11)))</f>
        <v>7140.1720319999986</v>
      </c>
      <c r="E40" s="42">
        <f>D40-C40</f>
        <v>881.17203199999858</v>
      </c>
      <c r="F40" s="42">
        <f>F39+($B$28*($H$10+($H$10*$H$11)))</f>
        <v>1685.3760000000009</v>
      </c>
      <c r="G40" s="52"/>
    </row>
    <row r="41" spans="1:7" x14ac:dyDescent="0.25">
      <c r="A41" s="16" t="str">
        <f t="shared" si="0"/>
        <v/>
      </c>
      <c r="B41" s="17">
        <v>10</v>
      </c>
      <c r="C41" s="42">
        <f>C40+($H$24+($H$24*$H$14))+(VLOOKUP(B23,T3:V7,3,FALSE))</f>
        <v>7290.75</v>
      </c>
      <c r="D41" s="50">
        <f>D40+(($B$26-($B$26*$H$16))*($H$10+($H$10*$H$11)))</f>
        <v>7935.4935359999981</v>
      </c>
      <c r="E41" s="42">
        <f>D41-C41</f>
        <v>644.74353599999813</v>
      </c>
      <c r="F41" s="42">
        <f>F40+($B$28*($H$10+($H$10*$H$11)))</f>
        <v>1873.248000000001</v>
      </c>
      <c r="G41" s="52" t="s">
        <v>61</v>
      </c>
    </row>
    <row r="42" spans="1:7" x14ac:dyDescent="0.25">
      <c r="A42" s="16" t="str">
        <f t="shared" si="0"/>
        <v/>
      </c>
      <c r="B42" s="17">
        <v>11</v>
      </c>
      <c r="C42" s="42">
        <f t="shared" ref="C42:C56" si="2">C41+$H$24</f>
        <v>7515.75</v>
      </c>
      <c r="D42" s="50">
        <f>D41+(($B$26-($B$26*$H$16))*($H$10+($H$10*$H$11)))</f>
        <v>8730.8150399999977</v>
      </c>
      <c r="E42" s="42">
        <f>D42-C42</f>
        <v>1215.0650399999977</v>
      </c>
      <c r="F42" s="42">
        <f>F41+($B$28*($H$10+($H$10*$H$11)))</f>
        <v>2061.1200000000013</v>
      </c>
      <c r="G42" s="52"/>
    </row>
    <row r="43" spans="1:7" x14ac:dyDescent="0.25">
      <c r="A43" s="16" t="str">
        <f t="shared" si="0"/>
        <v/>
      </c>
      <c r="B43" s="17">
        <v>12</v>
      </c>
      <c r="C43" s="42">
        <f t="shared" si="2"/>
        <v>7740.75</v>
      </c>
      <c r="D43" s="50">
        <f>D42+(($B$26-($B$26*$H$16))*($H$10+($H$10*$H$11)))</f>
        <v>9526.1365439999972</v>
      </c>
      <c r="E43" s="42">
        <f>D43-C43</f>
        <v>1785.3865439999972</v>
      </c>
      <c r="F43" s="42">
        <f>F42+($B$28*($H$10+($H$10*$H$11)))</f>
        <v>2248.9920000000016</v>
      </c>
      <c r="G43" s="52"/>
    </row>
    <row r="44" spans="1:7" x14ac:dyDescent="0.25">
      <c r="A44" s="16" t="str">
        <f t="shared" si="0"/>
        <v/>
      </c>
      <c r="B44" s="17">
        <v>13</v>
      </c>
      <c r="C44" s="42">
        <f t="shared" si="2"/>
        <v>7965.75</v>
      </c>
      <c r="D44" s="50">
        <f>D43+(($B$26-($B$26*$H$16))*($H$10+($H$10*$H$11)))</f>
        <v>10321.458047999997</v>
      </c>
      <c r="E44" s="42">
        <f>D44-C44</f>
        <v>2355.7080479999968</v>
      </c>
      <c r="F44" s="42">
        <f>F43+($B$28*($H$10+($H$10*$H$11)))</f>
        <v>2436.8640000000019</v>
      </c>
      <c r="G44" s="52"/>
    </row>
    <row r="45" spans="1:7" x14ac:dyDescent="0.25">
      <c r="A45" s="16" t="str">
        <f t="shared" si="0"/>
        <v/>
      </c>
      <c r="B45" s="17">
        <v>14</v>
      </c>
      <c r="C45" s="42">
        <f t="shared" si="2"/>
        <v>8190.75</v>
      </c>
      <c r="D45" s="50">
        <f>D44+(($B$26-($B$26*$H$16))*($H$10+($H$10*$H$11)))</f>
        <v>11116.779551999996</v>
      </c>
      <c r="E45" s="42">
        <f>D45-C45</f>
        <v>2926.0295519999963</v>
      </c>
      <c r="F45" s="42">
        <f>F44+($B$28*($H$10+($H$10*$H$11)))</f>
        <v>2624.7360000000022</v>
      </c>
      <c r="G45" s="52"/>
    </row>
    <row r="46" spans="1:7" x14ac:dyDescent="0.25">
      <c r="A46" s="16" t="str">
        <f t="shared" si="0"/>
        <v/>
      </c>
      <c r="B46" s="17">
        <v>15</v>
      </c>
      <c r="C46" s="42">
        <f t="shared" si="2"/>
        <v>8415.75</v>
      </c>
      <c r="D46" s="50">
        <f>D45+(($B$26-($B$26*$H$16))*($H$10+($H$10*$H$11)))</f>
        <v>11912.101055999996</v>
      </c>
      <c r="E46" s="42">
        <f>D46-C46</f>
        <v>3496.3510559999959</v>
      </c>
      <c r="F46" s="42">
        <f>F45+($B$28*($H$10+($H$10*$H$11)))</f>
        <v>2812.6080000000024</v>
      </c>
      <c r="G46" s="52"/>
    </row>
    <row r="47" spans="1:7" x14ac:dyDescent="0.25">
      <c r="A47" s="16" t="str">
        <f t="shared" si="0"/>
        <v/>
      </c>
      <c r="B47" s="17">
        <v>16</v>
      </c>
      <c r="C47" s="42">
        <f t="shared" si="2"/>
        <v>8640.75</v>
      </c>
      <c r="D47" s="50">
        <f>D46+(($B$26-($B$26*$H$16))*($H$10+($H$10*$H$11)))</f>
        <v>12707.422559999995</v>
      </c>
      <c r="E47" s="42">
        <f>D47-C47</f>
        <v>4066.6725599999954</v>
      </c>
      <c r="F47" s="42">
        <f>F46+($B$28*($H$10+($H$10*$H$11)))</f>
        <v>3000.4800000000027</v>
      </c>
      <c r="G47" s="52"/>
    </row>
    <row r="48" spans="1:7" x14ac:dyDescent="0.25">
      <c r="A48" s="16" t="str">
        <f t="shared" si="0"/>
        <v/>
      </c>
      <c r="B48" s="17">
        <v>17</v>
      </c>
      <c r="C48" s="42">
        <f t="shared" si="2"/>
        <v>8865.75</v>
      </c>
      <c r="D48" s="50">
        <f>D47+(($B$26-($B$26*$H$16))*($H$10+($H$10*$H$11)))</f>
        <v>13502.744063999995</v>
      </c>
      <c r="E48" s="42">
        <f>D48-C48</f>
        <v>4636.994063999995</v>
      </c>
      <c r="F48" s="42">
        <f>F47+($B$28*($H$10+($H$10*$H$11)))</f>
        <v>3188.352000000003</v>
      </c>
      <c r="G48" s="52"/>
    </row>
    <row r="49" spans="1:7" x14ac:dyDescent="0.25">
      <c r="A49" s="16" t="str">
        <f t="shared" si="0"/>
        <v/>
      </c>
      <c r="B49" s="17">
        <v>18</v>
      </c>
      <c r="C49" s="42">
        <f t="shared" si="2"/>
        <v>9090.75</v>
      </c>
      <c r="D49" s="50">
        <f>D48+(($B$26-($B$26*$H$16))*($H$10+($H$10*$H$11)))</f>
        <v>14298.065567999995</v>
      </c>
      <c r="E49" s="42">
        <f>D49-C49</f>
        <v>5207.3155679999945</v>
      </c>
      <c r="F49" s="42">
        <f>F48+($B$28*($H$10+($H$10*$H$11)))</f>
        <v>3376.2240000000033</v>
      </c>
      <c r="G49" s="52"/>
    </row>
    <row r="50" spans="1:7" x14ac:dyDescent="0.25">
      <c r="A50" s="16" t="str">
        <f t="shared" si="0"/>
        <v/>
      </c>
      <c r="B50" s="17">
        <v>19</v>
      </c>
      <c r="C50" s="42">
        <f t="shared" si="2"/>
        <v>9315.75</v>
      </c>
      <c r="D50" s="50">
        <f>D49+(($B$26-($B$26*$H$16))*($H$10+($H$10*$H$11)))</f>
        <v>15093.387071999994</v>
      </c>
      <c r="E50" s="42">
        <f>D50-C50</f>
        <v>5777.6370719999941</v>
      </c>
      <c r="F50" s="42">
        <f>F49+($B$28*($H$10+($H$10*$H$11)))</f>
        <v>3564.0960000000036</v>
      </c>
      <c r="G50" s="52"/>
    </row>
    <row r="51" spans="1:7" x14ac:dyDescent="0.25">
      <c r="A51" s="16" t="str">
        <f t="shared" si="0"/>
        <v/>
      </c>
      <c r="B51" s="17">
        <v>20</v>
      </c>
      <c r="C51" s="42">
        <f>C50+($H$24+($H$24*$H$14))+(VLOOKUP(B23,T3:V7,3,FALSE))</f>
        <v>10347.5</v>
      </c>
      <c r="D51" s="50">
        <f>D50+(($B$26-($B$26*$H$16))*($H$10+($H$10*$H$11)))</f>
        <v>15888.708575999994</v>
      </c>
      <c r="E51" s="42">
        <f>D51-C51</f>
        <v>5541.2085759999936</v>
      </c>
      <c r="F51" s="42">
        <f>F50+($B$28*($H$10+($H$10*$H$11)))</f>
        <v>3751.9680000000039</v>
      </c>
      <c r="G51" s="52" t="s">
        <v>61</v>
      </c>
    </row>
    <row r="52" spans="1:7" x14ac:dyDescent="0.25">
      <c r="A52" s="16" t="str">
        <f t="shared" si="0"/>
        <v/>
      </c>
      <c r="B52" s="17">
        <v>21</v>
      </c>
      <c r="C52" s="42">
        <f t="shared" si="2"/>
        <v>10572.5</v>
      </c>
      <c r="D52" s="50">
        <f>D51+(($B$26-($B$26*$H$16))*($H$10+($H$10*$H$11)))</f>
        <v>16684.030079999993</v>
      </c>
      <c r="E52" s="42">
        <f>D52-C52</f>
        <v>6111.5300799999932</v>
      </c>
      <c r="F52" s="42">
        <f>F51+($B$28*($H$10+($H$10*$H$11)))</f>
        <v>3939.8400000000042</v>
      </c>
      <c r="G52" s="52"/>
    </row>
    <row r="53" spans="1:7" x14ac:dyDescent="0.25">
      <c r="A53" s="16" t="str">
        <f t="shared" si="0"/>
        <v/>
      </c>
      <c r="B53" s="17">
        <v>22</v>
      </c>
      <c r="C53" s="42">
        <f t="shared" si="2"/>
        <v>10797.5</v>
      </c>
      <c r="D53" s="50">
        <f>D52+(($B$26-($B$26*$H$16))*($H$10+($H$10*$H$11)))</f>
        <v>17479.351583999993</v>
      </c>
      <c r="E53" s="42">
        <f>D53-C53</f>
        <v>6681.8515839999927</v>
      </c>
      <c r="F53" s="42">
        <f>F52+($B$28*($H$10+($H$10*$H$11)))</f>
        <v>4127.7120000000041</v>
      </c>
      <c r="G53" s="52"/>
    </row>
    <row r="54" spans="1:7" x14ac:dyDescent="0.25">
      <c r="A54" s="16" t="str">
        <f t="shared" si="0"/>
        <v/>
      </c>
      <c r="B54" s="17">
        <v>23</v>
      </c>
      <c r="C54" s="42">
        <f t="shared" si="2"/>
        <v>11022.5</v>
      </c>
      <c r="D54" s="50">
        <f>D53+(($B$26-($B$26*$H$16))*($H$10+($H$10*$H$11)))</f>
        <v>18274.673087999992</v>
      </c>
      <c r="E54" s="42">
        <f>D54-C54</f>
        <v>7252.1730879999923</v>
      </c>
      <c r="F54" s="42">
        <f>F53+($B$28*($H$10+($H$10*$H$11)))</f>
        <v>4315.5840000000044</v>
      </c>
      <c r="G54" s="52"/>
    </row>
    <row r="55" spans="1:7" x14ac:dyDescent="0.25">
      <c r="A55" s="16" t="str">
        <f t="shared" si="0"/>
        <v/>
      </c>
      <c r="B55" s="17">
        <v>24</v>
      </c>
      <c r="C55" s="42">
        <f t="shared" si="2"/>
        <v>11247.5</v>
      </c>
      <c r="D55" s="50">
        <f>D54+(($B$26-($B$26*$H$16))*($H$10+($H$10*$H$11)))</f>
        <v>19069.994591999992</v>
      </c>
      <c r="E55" s="42">
        <f>D55-C55</f>
        <v>7822.4945919999918</v>
      </c>
      <c r="F55" s="42">
        <f>F54+($B$28*($H$10+($H$10*$H$11)))</f>
        <v>4503.4560000000047</v>
      </c>
      <c r="G55" s="52"/>
    </row>
    <row r="56" spans="1:7" ht="15.75" thickBot="1" x14ac:dyDescent="0.3">
      <c r="A56" s="16" t="str">
        <f t="shared" si="0"/>
        <v/>
      </c>
      <c r="B56" s="18">
        <v>25</v>
      </c>
      <c r="C56" s="48">
        <f t="shared" si="2"/>
        <v>11472.5</v>
      </c>
      <c r="D56" s="51">
        <f>D55+(($B$26-($B$26*$H$16))*($H$10+($H$10*$H$11)))</f>
        <v>19865.316095999991</v>
      </c>
      <c r="E56" s="55">
        <f>D56-C56</f>
        <v>8392.8160959999914</v>
      </c>
      <c r="F56" s="48">
        <f>F55+($B$28*($H$10+($H$10*$H$11)))</f>
        <v>4691.328000000005</v>
      </c>
      <c r="G56" s="53"/>
    </row>
    <row r="58" spans="1:7" x14ac:dyDescent="0.25">
      <c r="E58" s="19">
        <f t="array" ref="E58">MIN(ABS(E32:E56))</f>
        <v>245.97097600000052</v>
      </c>
    </row>
  </sheetData>
  <sortState ref="A2:D15">
    <sortCondition descending="1" ref="B2:B15"/>
  </sortState>
  <mergeCells count="9">
    <mergeCell ref="S2:U2"/>
    <mergeCell ref="O13:P13"/>
    <mergeCell ref="O14:P14"/>
    <mergeCell ref="O15:P15"/>
    <mergeCell ref="O16:P16"/>
    <mergeCell ref="O2:P2"/>
    <mergeCell ref="B30:G30"/>
    <mergeCell ref="A1:E1"/>
    <mergeCell ref="G2:J2"/>
  </mergeCells>
  <conditionalFormatting sqref="A32:G56">
    <cfRule type="expression" dxfId="0" priority="2" stopIfTrue="1">
      <formula>ABS($E32)=$E$58</formula>
    </cfRule>
  </conditionalFormatting>
  <dataValidations count="3">
    <dataValidation type="list" allowBlank="1" showInputMessage="1" showErrorMessage="1" sqref="B22" xr:uid="{97646B60-4C9F-4B31-B79B-436DD31EE9B0}">
      <formula1>$O$3:$O$11</formula1>
    </dataValidation>
    <dataValidation type="list" allowBlank="1" showInputMessage="1" showErrorMessage="1" sqref="B23" xr:uid="{B3DF17E4-B774-482F-9DE9-BE7CA0500173}">
      <formula1>$T$3:$T$12</formula1>
    </dataValidation>
    <dataValidation type="list" allowBlank="1" showInputMessage="1" showErrorMessage="1" sqref="B27" xr:uid="{64AA57C4-F9F5-46CD-ABA7-024A39AF2650}">
      <formula1>$L$3:$L$12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Cheetah</dc:creator>
  <cp:lastModifiedBy>Cheetah</cp:lastModifiedBy>
  <dcterms:created xsi:type="dcterms:W3CDTF">2019-01-25T20:51:29Z</dcterms:created>
  <dcterms:modified xsi:type="dcterms:W3CDTF">2019-01-26T00:08:21Z</dcterms:modified>
</cp:coreProperties>
</file>