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\data\Data\Projects\Maison\"/>
    </mc:Choice>
  </mc:AlternateContent>
  <xr:revisionPtr revIDLastSave="0" documentId="13_ncr:1_{2E9C1E97-860E-4F33-BE9A-D374DC29A923}" xr6:coauthVersionLast="40" xr6:coauthVersionMax="40" xr10:uidLastSave="{00000000-0000-0000-0000-000000000000}"/>
  <bookViews>
    <workbookView xWindow="0" yWindow="0" windowWidth="38400" windowHeight="12225" activeTab="1" xr2:uid="{F36A6213-7BCC-44FF-B9B4-9BB21A477311}"/>
  </bookViews>
  <sheets>
    <sheet name="Consommation" sheetId="2" r:id="rId1"/>
    <sheet name="Calcul" sheetId="1" r:id="rId2"/>
    <sheet name="Graphique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2" l="1"/>
  <c r="G14" i="1"/>
  <c r="C10" i="1"/>
  <c r="B12" i="1"/>
  <c r="B13" i="1" s="1"/>
  <c r="B15" i="1" s="1"/>
  <c r="D15" i="1" s="1"/>
  <c r="G13" i="1"/>
  <c r="E11" i="1"/>
  <c r="E10" i="1"/>
  <c r="K3" i="1"/>
  <c r="K4" i="1"/>
  <c r="K5" i="1"/>
  <c r="K6" i="1"/>
  <c r="K7" i="1"/>
  <c r="K8" i="1"/>
  <c r="K9" i="1"/>
  <c r="K10" i="1"/>
  <c r="K2" i="1"/>
  <c r="C21" i="1" l="1"/>
  <c r="C22" i="1" s="1"/>
  <c r="C23" i="1" s="1"/>
  <c r="C24" i="1" s="1"/>
  <c r="C25" i="1" s="1"/>
  <c r="C26" i="1" s="1"/>
  <c r="C27" i="1" s="1"/>
  <c r="C28" i="1" s="1"/>
  <c r="C29" i="1" s="1"/>
  <c r="C30" i="1" s="1"/>
  <c r="F21" i="1"/>
  <c r="D21" i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B5" i="2"/>
  <c r="B16" i="2" s="1"/>
  <c r="C16" i="2" s="1"/>
  <c r="B20" i="2" l="1"/>
  <c r="C20" i="2" s="1"/>
  <c r="F22" i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G15" i="1"/>
  <c r="G17" i="1" s="1"/>
  <c r="E21" i="1"/>
  <c r="E22" i="1"/>
  <c r="E23" i="1"/>
  <c r="E25" i="1"/>
  <c r="E27" i="1"/>
  <c r="E24" i="1"/>
  <c r="E29" i="1"/>
  <c r="E26" i="1"/>
  <c r="E28" i="1"/>
  <c r="E30" i="1"/>
  <c r="C31" i="1"/>
  <c r="C32" i="1" s="1"/>
  <c r="E31" i="1" l="1"/>
  <c r="C33" i="1"/>
  <c r="E32" i="1"/>
  <c r="G2" i="1"/>
  <c r="C34" i="1" l="1"/>
  <c r="E33" i="1"/>
  <c r="C35" i="1" l="1"/>
  <c r="E34" i="1"/>
  <c r="C36" i="1" l="1"/>
  <c r="E35" i="1"/>
  <c r="C37" i="1" l="1"/>
  <c r="E36" i="1"/>
  <c r="C38" i="1" l="1"/>
  <c r="E37" i="1"/>
  <c r="C39" i="1" l="1"/>
  <c r="C40" i="1" s="1"/>
  <c r="E38" i="1"/>
  <c r="E39" i="1" l="1"/>
  <c r="C41" i="1" l="1"/>
  <c r="E40" i="1"/>
  <c r="C42" i="1" l="1"/>
  <c r="E41" i="1"/>
  <c r="C43" i="1" l="1"/>
  <c r="E42" i="1"/>
  <c r="C44" i="1" l="1"/>
  <c r="E43" i="1"/>
  <c r="C45" i="1" l="1"/>
  <c r="E45" i="1" s="1"/>
  <c r="E44" i="1"/>
  <c r="E47" i="1" l="1" a="1"/>
  <c r="E47" i="1" s="1"/>
  <c r="A22" i="1" l="1"/>
  <c r="A21" i="1"/>
  <c r="A26" i="1"/>
  <c r="A24" i="1"/>
  <c r="A23" i="1"/>
  <c r="A25" i="1"/>
  <c r="A30" i="1"/>
  <c r="A28" i="1"/>
  <c r="A29" i="1"/>
  <c r="A27" i="1"/>
  <c r="A32" i="1"/>
  <c r="A31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</calcChain>
</file>

<file path=xl/sharedStrings.xml><?xml version="1.0" encoding="utf-8"?>
<sst xmlns="http://schemas.openxmlformats.org/spreadsheetml/2006/main" count="96" uniqueCount="76">
  <si>
    <t>Estimation de la consommation</t>
  </si>
  <si>
    <t>Leds</t>
  </si>
  <si>
    <t>Taque</t>
  </si>
  <si>
    <t>Four</t>
  </si>
  <si>
    <t>Boiler thermodynamique</t>
  </si>
  <si>
    <t>Congélateur</t>
  </si>
  <si>
    <t>Grand réfrigérateur</t>
  </si>
  <si>
    <t>Home-cinéma</t>
  </si>
  <si>
    <t>PC/imprimante</t>
  </si>
  <si>
    <t>Armoire réseau</t>
  </si>
  <si>
    <t>Boiler cuisine</t>
  </si>
  <si>
    <t>Machine à laver</t>
  </si>
  <si>
    <t>Sèchoir</t>
  </si>
  <si>
    <t>Lave-vaisselle</t>
  </si>
  <si>
    <t>1h par jour</t>
  </si>
  <si>
    <t>PAC chauffage</t>
  </si>
  <si>
    <t>Chauffage SDB x 2</t>
  </si>
  <si>
    <t>3h par jour</t>
  </si>
  <si>
    <t>8h par jour</t>
  </si>
  <si>
    <t>1 x par jour</t>
  </si>
  <si>
    <t>1 x par 2 jours</t>
  </si>
  <si>
    <t>24h</t>
  </si>
  <si>
    <t>Total journalier :</t>
  </si>
  <si>
    <t>Total annuel :</t>
  </si>
  <si>
    <t>2 mois et demi</t>
  </si>
  <si>
    <t>4h par jour</t>
  </si>
  <si>
    <t>2 x RPI 3</t>
  </si>
  <si>
    <t>Serveur</t>
  </si>
  <si>
    <t>1h par 3 jours</t>
  </si>
  <si>
    <t>Switch</t>
  </si>
  <si>
    <t>NAS</t>
  </si>
  <si>
    <t>1/2h par jour</t>
  </si>
  <si>
    <t>Prix kwh</t>
  </si>
  <si>
    <t>Inflation par an</t>
  </si>
  <si>
    <t>Puissance de l'installation PV :</t>
  </si>
  <si>
    <t>Puissance PV</t>
  </si>
  <si>
    <t>Prix</t>
  </si>
  <si>
    <t>Taxe prosumer par Kwc</t>
  </si>
  <si>
    <t>Année</t>
  </si>
  <si>
    <t>Coût</t>
  </si>
  <si>
    <t>Calculs</t>
  </si>
  <si>
    <t>Perte de rendement par an</t>
  </si>
  <si>
    <t>Puissance onduleur :</t>
  </si>
  <si>
    <t>Puissance Onduleur</t>
  </si>
  <si>
    <t>Prix fixation</t>
  </si>
  <si>
    <t>Puissance panneau</t>
  </si>
  <si>
    <t>Prix panneau</t>
  </si>
  <si>
    <t>Facteur :</t>
  </si>
  <si>
    <t>Ores Namur</t>
  </si>
  <si>
    <t>Production estimée :</t>
  </si>
  <si>
    <t>Remarques</t>
  </si>
  <si>
    <t xml:space="preserve">Exemples Consommation </t>
  </si>
  <si>
    <t>Consommation estimée :</t>
  </si>
  <si>
    <t>Electricité à acheter :</t>
  </si>
  <si>
    <t>Prix estimé installation :</t>
  </si>
  <si>
    <t>Achat + taxe</t>
  </si>
  <si>
    <t>Taxe</t>
  </si>
  <si>
    <t>…</t>
  </si>
  <si>
    <t>Taxe Prosumer :</t>
  </si>
  <si>
    <t>Remplacement onduleur</t>
  </si>
  <si>
    <t>Différence</t>
  </si>
  <si>
    <t>Inflation Taxe prosumer par Kwc</t>
  </si>
  <si>
    <t>Electricité à acheter</t>
  </si>
  <si>
    <t>Economie PV</t>
  </si>
  <si>
    <t>Rendement total estimé :</t>
  </si>
  <si>
    <t>Frais de port</t>
  </si>
  <si>
    <t>Automatique</t>
  </si>
  <si>
    <t>A remplir/changer</t>
  </si>
  <si>
    <t>Rendement estimé calculé :</t>
  </si>
  <si>
    <t>Coût :</t>
  </si>
  <si>
    <t>2 x Wifi AP</t>
  </si>
  <si>
    <t>Coût electricité sans PV :</t>
  </si>
  <si>
    <t>Coût electricité avec PV :</t>
  </si>
  <si>
    <t>par mois</t>
  </si>
  <si>
    <t>Prêt énergie :</t>
  </si>
  <si>
    <t>Différence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</si>
</sst>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\ &quot;w&quot;"/>
    <numFmt numFmtId="165" formatCode="0\ &quot;wh&quot;"/>
    <numFmt numFmtId="166" formatCode="00.00\ &quot;kwh&quot;"/>
    <numFmt numFmtId="168" formatCode="00\ &quot;kwh&quot;"/>
    <numFmt numFmtId="169" formatCode="00\ &quot;wc&quot;"/>
    <numFmt numFmtId="170" formatCode="#,##0\ &quot;€&quot;"/>
    <numFmt numFmtId="177" formatCode="#,##0.00\ &quot;€&quot;"/>
    <numFmt numFmtId="178" formatCode="0.0%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2">
    <xf numFmtId="0" fontId="0" fillId="0" borderId="0" xfId="0"/>
    <xf numFmtId="0" fontId="2" fillId="0" borderId="0" xfId="0" applyFont="1"/>
    <xf numFmtId="0" fontId="0" fillId="0" borderId="4" xfId="0" applyBorder="1"/>
    <xf numFmtId="0" fontId="0" fillId="0" borderId="0" xfId="0" applyBorder="1"/>
    <xf numFmtId="0" fontId="0" fillId="0" borderId="5" xfId="0" applyBorder="1"/>
    <xf numFmtId="165" fontId="0" fillId="0" borderId="0" xfId="0" applyNumberFormat="1" applyBorder="1"/>
    <xf numFmtId="0" fontId="4" fillId="0" borderId="6" xfId="0" applyFont="1" applyBorder="1"/>
    <xf numFmtId="165" fontId="0" fillId="0" borderId="7" xfId="0" applyNumberFormat="1" applyBorder="1"/>
    <xf numFmtId="0" fontId="0" fillId="0" borderId="7" xfId="0" applyBorder="1"/>
    <xf numFmtId="0" fontId="0" fillId="0" borderId="8" xfId="0" applyBorder="1"/>
    <xf numFmtId="0" fontId="0" fillId="2" borderId="0" xfId="0" applyFill="1" applyBorder="1"/>
    <xf numFmtId="0" fontId="0" fillId="2" borderId="5" xfId="0" applyFill="1" applyBorder="1"/>
    <xf numFmtId="168" fontId="0" fillId="0" borderId="0" xfId="0" applyNumberFormat="1"/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69" fontId="0" fillId="3" borderId="1" xfId="0" applyNumberForma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9" fontId="0" fillId="0" borderId="4" xfId="0" applyNumberFormat="1" applyBorder="1"/>
    <xf numFmtId="169" fontId="0" fillId="0" borderId="6" xfId="0" applyNumberFormat="1" applyBorder="1"/>
    <xf numFmtId="164" fontId="0" fillId="0" borderId="0" xfId="0" applyNumberFormat="1" applyBorder="1"/>
    <xf numFmtId="0" fontId="0" fillId="0" borderId="6" xfId="0" applyBorder="1"/>
    <xf numFmtId="164" fontId="0" fillId="0" borderId="7" xfId="0" applyNumberFormat="1" applyBorder="1"/>
    <xf numFmtId="170" fontId="0" fillId="0" borderId="0" xfId="0" applyNumberFormat="1" applyBorder="1"/>
    <xf numFmtId="0" fontId="4" fillId="4" borderId="1" xfId="0" applyFont="1" applyFill="1" applyBorder="1"/>
    <xf numFmtId="168" fontId="0" fillId="4" borderId="1" xfId="0" applyNumberFormat="1" applyFill="1" applyBorder="1" applyAlignment="1">
      <alignment horizontal="center" vertical="center"/>
    </xf>
    <xf numFmtId="9" fontId="0" fillId="3" borderId="1" xfId="0" applyNumberFormat="1" applyFill="1" applyBorder="1" applyAlignment="1">
      <alignment horizontal="center" vertical="center"/>
    </xf>
    <xf numFmtId="0" fontId="0" fillId="0" borderId="9" xfId="0" applyBorder="1"/>
    <xf numFmtId="177" fontId="0" fillId="0" borderId="10" xfId="0" applyNumberFormat="1" applyBorder="1" applyAlignment="1">
      <alignment horizontal="center" vertical="center"/>
    </xf>
    <xf numFmtId="168" fontId="0" fillId="0" borderId="10" xfId="0" applyNumberFormat="1" applyBorder="1" applyAlignment="1">
      <alignment horizontal="center" vertical="center"/>
    </xf>
    <xf numFmtId="168" fontId="0" fillId="0" borderId="11" xfId="0" applyNumberFormat="1" applyBorder="1" applyAlignment="1">
      <alignment horizontal="center" vertical="center"/>
    </xf>
    <xf numFmtId="168" fontId="0" fillId="3" borderId="1" xfId="0" applyNumberFormat="1" applyFill="1" applyBorder="1" applyAlignment="1">
      <alignment horizontal="center" vertical="center"/>
    </xf>
    <xf numFmtId="170" fontId="0" fillId="4" borderId="1" xfId="0" applyNumberFormat="1" applyFill="1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77" fontId="0" fillId="4" borderId="11" xfId="0" applyNumberFormat="1" applyFill="1" applyBorder="1" applyAlignment="1">
      <alignment horizontal="center" vertical="center"/>
    </xf>
    <xf numFmtId="0" fontId="0" fillId="0" borderId="14" xfId="0" applyBorder="1"/>
    <xf numFmtId="177" fontId="0" fillId="3" borderId="1" xfId="0" applyNumberFormat="1" applyFill="1" applyBorder="1" applyAlignment="1">
      <alignment horizontal="center" vertical="center"/>
    </xf>
    <xf numFmtId="170" fontId="0" fillId="3" borderId="1" xfId="0" applyNumberForma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center" vertical="center"/>
    </xf>
    <xf numFmtId="170" fontId="0" fillId="3" borderId="5" xfId="0" applyNumberFormat="1" applyFill="1" applyBorder="1"/>
    <xf numFmtId="170" fontId="0" fillId="3" borderId="8" xfId="0" applyNumberFormat="1" applyFill="1" applyBorder="1"/>
    <xf numFmtId="0" fontId="2" fillId="0" borderId="1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2" borderId="10" xfId="0" applyFill="1" applyBorder="1"/>
    <xf numFmtId="165" fontId="0" fillId="0" borderId="9" xfId="0" applyNumberFormat="1" applyBorder="1"/>
    <xf numFmtId="165" fontId="0" fillId="2" borderId="10" xfId="0" applyNumberFormat="1" applyFill="1" applyBorder="1"/>
    <xf numFmtId="165" fontId="0" fillId="0" borderId="10" xfId="0" applyNumberFormat="1" applyBorder="1"/>
    <xf numFmtId="166" fontId="0" fillId="4" borderId="15" xfId="0" applyNumberFormat="1" applyFill="1" applyBorder="1"/>
    <xf numFmtId="168" fontId="1" fillId="4" borderId="15" xfId="0" applyNumberFormat="1" applyFont="1" applyFill="1" applyBorder="1"/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2" fillId="5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9" fontId="0" fillId="4" borderId="12" xfId="0" applyNumberFormat="1" applyFill="1" applyBorder="1" applyAlignment="1">
      <alignment horizontal="center" vertical="center"/>
    </xf>
    <xf numFmtId="9" fontId="0" fillId="0" borderId="0" xfId="0" applyNumberForma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0" fontId="0" fillId="0" borderId="0" xfId="0" applyNumberFormat="1" applyFill="1" applyBorder="1" applyAlignment="1">
      <alignment horizontal="center" vertical="center"/>
    </xf>
    <xf numFmtId="170" fontId="0" fillId="4" borderId="9" xfId="0" applyNumberFormat="1" applyFill="1" applyBorder="1"/>
    <xf numFmtId="170" fontId="0" fillId="4" borderId="10" xfId="0" applyNumberFormat="1" applyFill="1" applyBorder="1"/>
    <xf numFmtId="170" fontId="0" fillId="4" borderId="11" xfId="0" applyNumberFormat="1" applyFill="1" applyBorder="1"/>
    <xf numFmtId="165" fontId="0" fillId="4" borderId="1" xfId="0" applyNumberFormat="1" applyFill="1" applyBorder="1"/>
    <xf numFmtId="0" fontId="2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70C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BE" sz="1800" b="1" u="sng"/>
              <a:t>Rentabilité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Calcul!$C$20</c:f>
              <c:strCache>
                <c:ptCount val="1"/>
                <c:pt idx="0">
                  <c:v>Coût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Calcul!$C$21:$C$45</c:f>
              <c:numCache>
                <c:formatCode>#,##0.00\ "€"</c:formatCode>
                <c:ptCount val="25"/>
                <c:pt idx="0">
                  <c:v>4884</c:v>
                </c:pt>
                <c:pt idx="1">
                  <c:v>5162.1000000000004</c:v>
                </c:pt>
                <c:pt idx="2">
                  <c:v>5440.2000000000007</c:v>
                </c:pt>
                <c:pt idx="3">
                  <c:v>5718.3000000000011</c:v>
                </c:pt>
                <c:pt idx="4">
                  <c:v>5996.4000000000015</c:v>
                </c:pt>
                <c:pt idx="5">
                  <c:v>6274.5000000000018</c:v>
                </c:pt>
                <c:pt idx="6">
                  <c:v>6552.6000000000022</c:v>
                </c:pt>
                <c:pt idx="7">
                  <c:v>6830.7000000000025</c:v>
                </c:pt>
                <c:pt idx="8">
                  <c:v>7108.8000000000029</c:v>
                </c:pt>
                <c:pt idx="9">
                  <c:v>8355.9000000000033</c:v>
                </c:pt>
                <c:pt idx="10">
                  <c:v>8625.9000000000033</c:v>
                </c:pt>
                <c:pt idx="11">
                  <c:v>8895.9000000000033</c:v>
                </c:pt>
                <c:pt idx="12">
                  <c:v>9165.9000000000033</c:v>
                </c:pt>
                <c:pt idx="13">
                  <c:v>9435.9000000000033</c:v>
                </c:pt>
                <c:pt idx="14">
                  <c:v>9705.9000000000033</c:v>
                </c:pt>
                <c:pt idx="15">
                  <c:v>9975.9000000000033</c:v>
                </c:pt>
                <c:pt idx="16">
                  <c:v>10245.900000000003</c:v>
                </c:pt>
                <c:pt idx="17">
                  <c:v>10515.900000000003</c:v>
                </c:pt>
                <c:pt idx="18">
                  <c:v>10785.900000000003</c:v>
                </c:pt>
                <c:pt idx="19">
                  <c:v>12033.000000000004</c:v>
                </c:pt>
                <c:pt idx="20">
                  <c:v>12303.000000000004</c:v>
                </c:pt>
                <c:pt idx="21">
                  <c:v>12573.000000000004</c:v>
                </c:pt>
                <c:pt idx="22">
                  <c:v>12843.000000000004</c:v>
                </c:pt>
                <c:pt idx="23">
                  <c:v>13113.000000000004</c:v>
                </c:pt>
                <c:pt idx="24">
                  <c:v>13383.000000000004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96-4E2D-BCB2-7898AEC396CD}"/>
            </c:ext>
          </c:extLst>
        </c:ser>
        <c:ser>
          <c:idx val="1"/>
          <c:order val="1"/>
          <c:tx>
            <c:strRef>
              <c:f>Calcul!$D$20</c:f>
              <c:strCache>
                <c:ptCount val="1"/>
                <c:pt idx="0">
                  <c:v>Economie PV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Calcul!$D$21:$D$45</c:f>
              <c:numCache>
                <c:formatCode>#,##0.00\ "€"</c:formatCode>
                <c:ptCount val="25"/>
                <c:pt idx="0">
                  <c:v>889.19999999999993</c:v>
                </c:pt>
                <c:pt idx="1">
                  <c:v>1798.6648679999998</c:v>
                </c:pt>
                <c:pt idx="2">
                  <c:v>2708.1297359999999</c:v>
                </c:pt>
                <c:pt idx="3">
                  <c:v>3617.5946039999999</c:v>
                </c:pt>
                <c:pt idx="4">
                  <c:v>4527.0594719999999</c:v>
                </c:pt>
                <c:pt idx="5">
                  <c:v>5436.5243399999999</c:v>
                </c:pt>
                <c:pt idx="6">
                  <c:v>6345.989208</c:v>
                </c:pt>
                <c:pt idx="7">
                  <c:v>7255.454076</c:v>
                </c:pt>
                <c:pt idx="8">
                  <c:v>8164.918944</c:v>
                </c:pt>
                <c:pt idx="9">
                  <c:v>9074.383812</c:v>
                </c:pt>
                <c:pt idx="10">
                  <c:v>9983.8486799999991</c:v>
                </c:pt>
                <c:pt idx="11">
                  <c:v>10893.313547999998</c:v>
                </c:pt>
                <c:pt idx="12">
                  <c:v>11802.778415999997</c:v>
                </c:pt>
                <c:pt idx="13">
                  <c:v>12712.243283999996</c:v>
                </c:pt>
                <c:pt idx="14">
                  <c:v>13621.708151999996</c:v>
                </c:pt>
                <c:pt idx="15">
                  <c:v>14531.173019999995</c:v>
                </c:pt>
                <c:pt idx="16">
                  <c:v>15440.637887999994</c:v>
                </c:pt>
                <c:pt idx="17">
                  <c:v>16350.102755999993</c:v>
                </c:pt>
                <c:pt idx="18">
                  <c:v>17259.567623999992</c:v>
                </c:pt>
                <c:pt idx="19">
                  <c:v>18169.032491999991</c:v>
                </c:pt>
                <c:pt idx="20">
                  <c:v>19078.49735999999</c:v>
                </c:pt>
                <c:pt idx="21">
                  <c:v>19987.962227999989</c:v>
                </c:pt>
                <c:pt idx="22">
                  <c:v>20897.427095999989</c:v>
                </c:pt>
                <c:pt idx="23">
                  <c:v>21806.891963999988</c:v>
                </c:pt>
                <c:pt idx="24">
                  <c:v>22716.356831999987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396-4E2D-BCB2-7898AEC396CD}"/>
            </c:ext>
          </c:extLst>
        </c:ser>
        <c:ser>
          <c:idx val="2"/>
          <c:order val="2"/>
          <c:tx>
            <c:strRef>
              <c:f>Calcul!$F$20</c:f>
              <c:strCache>
                <c:ptCount val="1"/>
                <c:pt idx="0">
                  <c:v>Electricité à acheter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Calcul!$F$21:$F$45</c:f>
              <c:numCache>
                <c:formatCode>#,##0.00\ "€"</c:formatCode>
                <c:ptCount val="25"/>
                <c:pt idx="0">
                  <c:v>731.79</c:v>
                </c:pt>
                <c:pt idx="1">
                  <c:v>1485.5337</c:v>
                </c:pt>
                <c:pt idx="2">
                  <c:v>2239.2773999999999</c:v>
                </c:pt>
                <c:pt idx="3">
                  <c:v>2993.0210999999999</c:v>
                </c:pt>
                <c:pt idx="4">
                  <c:v>3746.7647999999999</c:v>
                </c:pt>
                <c:pt idx="5">
                  <c:v>4500.5084999999999</c:v>
                </c:pt>
                <c:pt idx="6">
                  <c:v>5254.2521999999999</c:v>
                </c:pt>
                <c:pt idx="7">
                  <c:v>6007.9958999999999</c:v>
                </c:pt>
                <c:pt idx="8">
                  <c:v>6761.7395999999999</c:v>
                </c:pt>
                <c:pt idx="9">
                  <c:v>7515.4832999999999</c:v>
                </c:pt>
                <c:pt idx="10">
                  <c:v>8269.226999999999</c:v>
                </c:pt>
                <c:pt idx="11">
                  <c:v>9022.970699999998</c:v>
                </c:pt>
                <c:pt idx="12">
                  <c:v>9776.7143999999971</c:v>
                </c:pt>
                <c:pt idx="13">
                  <c:v>10530.458099999996</c:v>
                </c:pt>
                <c:pt idx="14">
                  <c:v>11284.201799999995</c:v>
                </c:pt>
                <c:pt idx="15">
                  <c:v>12037.945499999994</c:v>
                </c:pt>
                <c:pt idx="16">
                  <c:v>12791.689199999993</c:v>
                </c:pt>
                <c:pt idx="17">
                  <c:v>13545.432899999993</c:v>
                </c:pt>
                <c:pt idx="18">
                  <c:v>14299.176599999992</c:v>
                </c:pt>
                <c:pt idx="19">
                  <c:v>15052.920299999991</c:v>
                </c:pt>
                <c:pt idx="20">
                  <c:v>15806.66399999999</c:v>
                </c:pt>
                <c:pt idx="21">
                  <c:v>16560.407699999989</c:v>
                </c:pt>
                <c:pt idx="22">
                  <c:v>17314.151399999988</c:v>
                </c:pt>
                <c:pt idx="23">
                  <c:v>18067.895099999987</c:v>
                </c:pt>
                <c:pt idx="24">
                  <c:v>18821.638799999986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396-4E2D-BCB2-7898AEC396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9593896"/>
        <c:axId val="599594552"/>
      </c:lineChart>
      <c:catAx>
        <c:axId val="5995938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9594552"/>
        <c:crosses val="autoZero"/>
        <c:auto val="1"/>
        <c:lblAlgn val="ctr"/>
        <c:lblOffset val="100"/>
        <c:noMultiLvlLbl val="0"/>
      </c:catAx>
      <c:valAx>
        <c:axId val="599594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\ &quot;€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9593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0</xdr:rowOff>
    </xdr:from>
    <xdr:to>
      <xdr:col>20</xdr:col>
      <xdr:colOff>258356</xdr:colOff>
      <xdr:row>42</xdr:row>
      <xdr:rowOff>54427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7A0968A-F0C6-4CCA-81D0-50A677E9A9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FC810-0A99-4E36-B272-067B501D1EAB}">
  <sheetPr>
    <pageSetUpPr fitToPage="1"/>
  </sheetPr>
  <dimension ref="A1:J20"/>
  <sheetViews>
    <sheetView workbookViewId="0">
      <selection activeCell="G2" sqref="G2:J8"/>
    </sheetView>
  </sheetViews>
  <sheetFormatPr defaultRowHeight="15" x14ac:dyDescent="0.25"/>
  <cols>
    <col min="1" max="1" width="23.7109375" bestFit="1" customWidth="1"/>
    <col min="2" max="2" width="11.140625" bestFit="1" customWidth="1"/>
    <col min="3" max="3" width="9.7109375" bestFit="1" customWidth="1"/>
    <col min="4" max="4" width="13.140625" bestFit="1" customWidth="1"/>
    <col min="5" max="5" width="14.140625" bestFit="1" customWidth="1"/>
    <col min="10" max="10" width="12.7109375" bestFit="1" customWidth="1"/>
  </cols>
  <sheetData>
    <row r="1" spans="1:10" ht="16.5" thickBot="1" x14ac:dyDescent="0.3">
      <c r="A1" s="63" t="s">
        <v>0</v>
      </c>
      <c r="B1" s="64"/>
      <c r="C1" s="64"/>
      <c r="D1" s="64"/>
      <c r="E1" s="65"/>
    </row>
    <row r="2" spans="1:10" ht="15.75" thickBot="1" x14ac:dyDescent="0.3">
      <c r="A2" s="39" t="s">
        <v>4</v>
      </c>
      <c r="B2" s="67">
        <v>3350</v>
      </c>
      <c r="C2" s="3"/>
      <c r="D2" s="39" t="s">
        <v>21</v>
      </c>
      <c r="E2" s="4"/>
      <c r="G2" s="60" t="s">
        <v>9</v>
      </c>
      <c r="H2" s="61"/>
      <c r="I2" s="61"/>
      <c r="J2" s="62"/>
    </row>
    <row r="3" spans="1:10" x14ac:dyDescent="0.25">
      <c r="A3" s="66" t="s">
        <v>2</v>
      </c>
      <c r="B3" s="68">
        <v>2500</v>
      </c>
      <c r="C3" s="10"/>
      <c r="D3" s="66" t="s">
        <v>31</v>
      </c>
      <c r="E3" s="11"/>
      <c r="G3" s="2" t="s">
        <v>27</v>
      </c>
      <c r="H3" s="5">
        <v>100</v>
      </c>
      <c r="I3" s="3"/>
      <c r="J3" s="4" t="s">
        <v>28</v>
      </c>
    </row>
    <row r="4" spans="1:10" x14ac:dyDescent="0.25">
      <c r="A4" s="66" t="s">
        <v>16</v>
      </c>
      <c r="B4" s="68">
        <v>2500</v>
      </c>
      <c r="C4" s="10"/>
      <c r="D4" s="66" t="s">
        <v>14</v>
      </c>
      <c r="E4" s="11"/>
      <c r="G4" s="2" t="s">
        <v>29</v>
      </c>
      <c r="H4" s="5">
        <v>600</v>
      </c>
      <c r="I4" s="3"/>
      <c r="J4" s="4" t="s">
        <v>21</v>
      </c>
    </row>
    <row r="5" spans="1:10" x14ac:dyDescent="0.25">
      <c r="A5" s="23" t="s">
        <v>9</v>
      </c>
      <c r="B5" s="69">
        <f>Consommation!$H$8</f>
        <v>2200</v>
      </c>
      <c r="C5" s="3"/>
      <c r="D5" s="23" t="s">
        <v>21</v>
      </c>
      <c r="E5" s="4"/>
      <c r="G5" s="2" t="s">
        <v>30</v>
      </c>
      <c r="H5" s="5">
        <v>1000</v>
      </c>
      <c r="I5" s="3"/>
      <c r="J5" s="4" t="s">
        <v>21</v>
      </c>
    </row>
    <row r="6" spans="1:10" x14ac:dyDescent="0.25">
      <c r="A6" s="23" t="s">
        <v>5</v>
      </c>
      <c r="B6" s="69">
        <v>900</v>
      </c>
      <c r="C6" s="3"/>
      <c r="D6" s="23" t="s">
        <v>21</v>
      </c>
      <c r="E6" s="4"/>
      <c r="G6" s="2" t="s">
        <v>70</v>
      </c>
      <c r="H6" s="5">
        <v>300</v>
      </c>
      <c r="I6" s="3"/>
      <c r="J6" s="4" t="s">
        <v>21</v>
      </c>
    </row>
    <row r="7" spans="1:10" x14ac:dyDescent="0.25">
      <c r="A7" s="66" t="s">
        <v>11</v>
      </c>
      <c r="B7" s="68">
        <v>825</v>
      </c>
      <c r="C7" s="10"/>
      <c r="D7" s="66" t="s">
        <v>19</v>
      </c>
      <c r="E7" s="11"/>
      <c r="G7" s="2" t="s">
        <v>26</v>
      </c>
      <c r="H7" s="5">
        <v>200</v>
      </c>
      <c r="I7" s="3"/>
      <c r="J7" s="4" t="s">
        <v>21</v>
      </c>
    </row>
    <row r="8" spans="1:10" ht="15.75" thickBot="1" x14ac:dyDescent="0.3">
      <c r="A8" s="66" t="s">
        <v>3</v>
      </c>
      <c r="B8" s="68">
        <v>750</v>
      </c>
      <c r="C8" s="10"/>
      <c r="D8" s="66" t="s">
        <v>14</v>
      </c>
      <c r="E8" s="11"/>
      <c r="G8" s="6" t="s">
        <v>22</v>
      </c>
      <c r="H8" s="7">
        <f>SUM(H3:H7)</f>
        <v>2200</v>
      </c>
      <c r="I8" s="8"/>
      <c r="J8" s="9"/>
    </row>
    <row r="9" spans="1:10" x14ac:dyDescent="0.25">
      <c r="A9" s="66" t="s">
        <v>12</v>
      </c>
      <c r="B9" s="68">
        <v>570</v>
      </c>
      <c r="C9" s="10"/>
      <c r="D9" s="66" t="s">
        <v>19</v>
      </c>
      <c r="E9" s="11"/>
    </row>
    <row r="10" spans="1:10" x14ac:dyDescent="0.25">
      <c r="A10" s="66" t="s">
        <v>7</v>
      </c>
      <c r="B10" s="68">
        <v>500</v>
      </c>
      <c r="C10" s="10"/>
      <c r="D10" s="66" t="s">
        <v>14</v>
      </c>
      <c r="E10" s="11"/>
    </row>
    <row r="11" spans="1:10" x14ac:dyDescent="0.25">
      <c r="A11" s="66" t="s">
        <v>1</v>
      </c>
      <c r="B11" s="68">
        <v>500</v>
      </c>
      <c r="C11" s="10"/>
      <c r="D11" s="66" t="s">
        <v>25</v>
      </c>
      <c r="E11" s="11"/>
    </row>
    <row r="12" spans="1:10" x14ac:dyDescent="0.25">
      <c r="A12" s="66" t="s">
        <v>8</v>
      </c>
      <c r="B12" s="68">
        <v>500</v>
      </c>
      <c r="C12" s="10"/>
      <c r="D12" s="66" t="s">
        <v>17</v>
      </c>
      <c r="E12" s="11"/>
    </row>
    <row r="13" spans="1:10" x14ac:dyDescent="0.25">
      <c r="A13" s="23" t="s">
        <v>10</v>
      </c>
      <c r="B13" s="69">
        <v>400</v>
      </c>
      <c r="C13" s="3"/>
      <c r="D13" s="23" t="s">
        <v>21</v>
      </c>
      <c r="E13" s="4"/>
    </row>
    <row r="14" spans="1:10" x14ac:dyDescent="0.25">
      <c r="A14" s="23" t="s">
        <v>6</v>
      </c>
      <c r="B14" s="69">
        <v>380</v>
      </c>
      <c r="C14" s="3"/>
      <c r="D14" s="23" t="s">
        <v>21</v>
      </c>
      <c r="E14" s="4"/>
    </row>
    <row r="15" spans="1:10" ht="15.75" thickBot="1" x14ac:dyDescent="0.3">
      <c r="A15" s="66" t="s">
        <v>13</v>
      </c>
      <c r="B15" s="68">
        <v>350</v>
      </c>
      <c r="C15" s="10"/>
      <c r="D15" s="66" t="s">
        <v>20</v>
      </c>
      <c r="E15" s="11"/>
    </row>
    <row r="16" spans="1:10" ht="15.75" thickBot="1" x14ac:dyDescent="0.3">
      <c r="A16" s="36" t="s">
        <v>22</v>
      </c>
      <c r="B16" s="90">
        <f>SUM(B2:B15)</f>
        <v>16225</v>
      </c>
      <c r="C16" s="70">
        <f>B16/1000</f>
        <v>16.225000000000001</v>
      </c>
      <c r="D16" s="23"/>
      <c r="E16" s="4"/>
    </row>
    <row r="17" spans="1:5" x14ac:dyDescent="0.25">
      <c r="A17" s="23"/>
      <c r="B17" s="69"/>
      <c r="C17" s="3"/>
      <c r="D17" s="23"/>
      <c r="E17" s="4"/>
    </row>
    <row r="18" spans="1:5" x14ac:dyDescent="0.25">
      <c r="A18" s="66" t="s">
        <v>15</v>
      </c>
      <c r="B18" s="68">
        <v>10400</v>
      </c>
      <c r="C18" s="10"/>
      <c r="D18" s="66" t="s">
        <v>18</v>
      </c>
      <c r="E18" s="11" t="s">
        <v>24</v>
      </c>
    </row>
    <row r="19" spans="1:5" ht="15.75" thickBot="1" x14ac:dyDescent="0.3">
      <c r="A19" s="23"/>
      <c r="B19" s="23"/>
      <c r="C19" s="3"/>
      <c r="D19" s="23"/>
      <c r="E19" s="4"/>
    </row>
    <row r="20" spans="1:5" ht="15.75" thickBot="1" x14ac:dyDescent="0.3">
      <c r="A20" s="36" t="s">
        <v>23</v>
      </c>
      <c r="B20" s="90">
        <f>(B16*365)+(B18*80)</f>
        <v>6754125</v>
      </c>
      <c r="C20" s="71">
        <f>B20/1000</f>
        <v>6754.125</v>
      </c>
      <c r="D20" s="24"/>
      <c r="E20" s="9"/>
    </row>
  </sheetData>
  <mergeCells count="2">
    <mergeCell ref="A1:E1"/>
    <mergeCell ref="G2:J2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F978B-4DEF-413F-939C-9558B20704E3}">
  <sheetPr>
    <pageSetUpPr fitToPage="1"/>
  </sheetPr>
  <dimension ref="A1:P51"/>
  <sheetViews>
    <sheetView tabSelected="1" zoomScaleNormal="100" workbookViewId="0">
      <selection activeCell="K2" sqref="K2:K10"/>
    </sheetView>
  </sheetViews>
  <sheetFormatPr defaultRowHeight="15" x14ac:dyDescent="0.25"/>
  <cols>
    <col min="1" max="1" width="28.28515625" bestFit="1" customWidth="1"/>
    <col min="2" max="2" width="21.85546875" customWidth="1"/>
    <col min="3" max="3" width="23.42578125" bestFit="1" customWidth="1"/>
    <col min="4" max="4" width="28.85546875" bestFit="1" customWidth="1"/>
    <col min="5" max="5" width="13.42578125" bestFit="1" customWidth="1"/>
    <col min="6" max="6" width="31" bestFit="1" customWidth="1"/>
    <col min="7" max="7" width="30.140625" bestFit="1" customWidth="1"/>
    <col min="9" max="9" width="11.5703125" bestFit="1" customWidth="1"/>
    <col min="10" max="10" width="12.7109375" bestFit="1" customWidth="1"/>
    <col min="11" max="11" width="11.140625" customWidth="1"/>
    <col min="12" max="12" width="24.28515625" bestFit="1" customWidth="1"/>
    <col min="15" max="15" width="17.42578125" customWidth="1"/>
  </cols>
  <sheetData>
    <row r="1" spans="1:16" ht="18.75" customHeight="1" thickBot="1" x14ac:dyDescent="0.3">
      <c r="A1" s="78" t="s">
        <v>32</v>
      </c>
      <c r="B1" s="55">
        <v>0.24</v>
      </c>
      <c r="G1" s="74" t="s">
        <v>51</v>
      </c>
      <c r="I1" s="72" t="s">
        <v>35</v>
      </c>
      <c r="J1" s="73"/>
      <c r="K1" s="29" t="s">
        <v>36</v>
      </c>
      <c r="M1" s="75" t="s">
        <v>43</v>
      </c>
      <c r="N1" s="76"/>
      <c r="O1" s="77"/>
      <c r="P1" s="74" t="s">
        <v>36</v>
      </c>
    </row>
    <row r="2" spans="1:16" ht="18.75" customHeight="1" thickBot="1" x14ac:dyDescent="0.3">
      <c r="A2" s="78" t="s">
        <v>33</v>
      </c>
      <c r="B2" s="38">
        <v>0.03</v>
      </c>
      <c r="G2" s="41">
        <f>Consommation!C20</f>
        <v>6754.125</v>
      </c>
      <c r="I2" s="30">
        <v>3000</v>
      </c>
      <c r="J2" s="3"/>
      <c r="K2" s="87">
        <f>((I2/$K$12)*($K$13+$K$14))+$K$15</f>
        <v>2850</v>
      </c>
      <c r="M2" s="2"/>
      <c r="N2" s="32">
        <v>2500</v>
      </c>
      <c r="O2" s="3"/>
      <c r="P2" s="58">
        <v>800</v>
      </c>
    </row>
    <row r="3" spans="1:16" ht="18.75" customHeight="1" thickBot="1" x14ac:dyDescent="0.3">
      <c r="A3" s="1"/>
      <c r="B3" s="14"/>
      <c r="G3" s="41">
        <v>3000</v>
      </c>
      <c r="I3" s="30">
        <v>3600</v>
      </c>
      <c r="J3" s="3"/>
      <c r="K3" s="88">
        <f>((I3/$K$12)*($K$13+$K$14))+$K$15</f>
        <v>3380</v>
      </c>
      <c r="M3" s="2"/>
      <c r="N3" s="32">
        <v>3000</v>
      </c>
      <c r="O3" s="3"/>
      <c r="P3" s="58">
        <v>969</v>
      </c>
    </row>
    <row r="4" spans="1:16" ht="18.75" customHeight="1" thickBot="1" x14ac:dyDescent="0.3">
      <c r="A4" s="78" t="s">
        <v>37</v>
      </c>
      <c r="B4" s="56">
        <v>90</v>
      </c>
      <c r="C4" s="54" t="s">
        <v>48</v>
      </c>
      <c r="G4" s="41">
        <v>3500</v>
      </c>
      <c r="I4" s="30">
        <v>3900</v>
      </c>
      <c r="J4" s="3"/>
      <c r="K4" s="88">
        <f>((I4/$K$12)*($K$13+$K$14))+$K$15</f>
        <v>3645</v>
      </c>
      <c r="M4" s="2"/>
      <c r="N4" s="32">
        <v>3600</v>
      </c>
      <c r="O4" s="3"/>
      <c r="P4" s="58">
        <v>1025</v>
      </c>
    </row>
    <row r="5" spans="1:16" ht="18.75" customHeight="1" thickBot="1" x14ac:dyDescent="0.3">
      <c r="A5" s="78" t="s">
        <v>61</v>
      </c>
      <c r="B5" s="38">
        <v>0.03</v>
      </c>
      <c r="E5" s="26"/>
      <c r="F5" s="14" t="s">
        <v>66</v>
      </c>
      <c r="G5" s="41">
        <v>4000</v>
      </c>
      <c r="I5" s="30">
        <v>4500</v>
      </c>
      <c r="J5" s="3"/>
      <c r="K5" s="88">
        <f>((I5/$K$12)*($K$13+$K$14))+$K$15</f>
        <v>4175</v>
      </c>
      <c r="M5" s="2"/>
      <c r="N5" s="32">
        <v>4000</v>
      </c>
      <c r="O5" s="3"/>
      <c r="P5" s="58">
        <v>1075</v>
      </c>
    </row>
    <row r="6" spans="1:16" ht="18.75" customHeight="1" thickBot="1" x14ac:dyDescent="0.3">
      <c r="A6" s="1"/>
      <c r="B6" s="14"/>
      <c r="E6" s="25"/>
      <c r="F6" s="14" t="s">
        <v>67</v>
      </c>
      <c r="G6" s="41">
        <v>4500</v>
      </c>
      <c r="I6" s="30">
        <v>4800</v>
      </c>
      <c r="J6" s="3"/>
      <c r="K6" s="88">
        <f>((I6/$K$12)*($K$13+$K$14))+$K$15</f>
        <v>4440</v>
      </c>
      <c r="M6" s="33"/>
      <c r="N6" s="34">
        <v>5000</v>
      </c>
      <c r="O6" s="8"/>
      <c r="P6" s="59">
        <v>1155</v>
      </c>
    </row>
    <row r="7" spans="1:16" ht="18.75" customHeight="1" thickBot="1" x14ac:dyDescent="0.3">
      <c r="A7" s="78" t="s">
        <v>41</v>
      </c>
      <c r="B7" s="57">
        <v>7.0000000000000001E-3</v>
      </c>
      <c r="G7" s="41">
        <v>5000</v>
      </c>
      <c r="I7" s="30">
        <v>5400</v>
      </c>
      <c r="J7" s="3"/>
      <c r="K7" s="88">
        <f>((I7/$K$12)*($K$13+$K$14))+$K$15</f>
        <v>4970</v>
      </c>
      <c r="M7" s="3"/>
      <c r="N7" s="3"/>
      <c r="O7" s="3"/>
      <c r="P7" s="3"/>
    </row>
    <row r="8" spans="1:16" ht="18.75" customHeight="1" thickBot="1" x14ac:dyDescent="0.3">
      <c r="A8" s="1"/>
      <c r="B8" s="14"/>
      <c r="G8" s="41">
        <v>5500</v>
      </c>
      <c r="I8" s="30">
        <v>6000</v>
      </c>
      <c r="J8" s="3"/>
      <c r="K8" s="88">
        <f>((I8/$K$12)*($K$13+$K$14))+$K$15</f>
        <v>5500</v>
      </c>
      <c r="M8" s="3"/>
      <c r="N8" s="32"/>
      <c r="O8" s="3"/>
      <c r="P8" s="35"/>
    </row>
    <row r="9" spans="1:16" ht="18.75" customHeight="1" thickBot="1" x14ac:dyDescent="0.3">
      <c r="A9" s="78" t="s">
        <v>34</v>
      </c>
      <c r="B9" s="27">
        <v>3900</v>
      </c>
      <c r="G9" s="41">
        <v>6000</v>
      </c>
      <c r="I9" s="30">
        <v>6600</v>
      </c>
      <c r="J9" s="3"/>
      <c r="K9" s="88">
        <f>((I9/$K$12)*($K$13+$K$14))+$K$15</f>
        <v>6030</v>
      </c>
      <c r="M9" s="3"/>
      <c r="N9" s="32"/>
      <c r="O9" s="3"/>
      <c r="P9" s="35"/>
    </row>
    <row r="10" spans="1:16" ht="18.75" customHeight="1" thickBot="1" x14ac:dyDescent="0.3">
      <c r="A10" s="78" t="s">
        <v>42</v>
      </c>
      <c r="B10" s="28">
        <v>3000</v>
      </c>
      <c r="C10" s="80" t="str">
        <f>IF(B10&lt;B9,"Sous-dimensionnement!","")</f>
        <v>Sous-dimensionnement!</v>
      </c>
      <c r="D10" s="80" t="s">
        <v>47</v>
      </c>
      <c r="E10" s="26">
        <f>B9/B10</f>
        <v>1.3</v>
      </c>
      <c r="G10" s="41">
        <v>6500</v>
      </c>
      <c r="I10" s="31">
        <v>7200</v>
      </c>
      <c r="J10" s="8"/>
      <c r="K10" s="89">
        <f>((I10/$K$12)*($K$13+$K$14))+$K$15</f>
        <v>6560</v>
      </c>
      <c r="M10" s="3"/>
      <c r="N10" s="32"/>
      <c r="O10" s="3"/>
      <c r="P10" s="35"/>
    </row>
    <row r="11" spans="1:16" ht="18.75" customHeight="1" thickBot="1" x14ac:dyDescent="0.3">
      <c r="A11" s="78" t="s">
        <v>64</v>
      </c>
      <c r="B11" s="38">
        <v>1</v>
      </c>
      <c r="C11" s="13"/>
      <c r="D11" s="80" t="s">
        <v>54</v>
      </c>
      <c r="E11" s="44">
        <f>VLOOKUP(B9,I2:K10,3,FALSE)+VLOOKUP(B10,N2:P6,3,FALSE)</f>
        <v>4614</v>
      </c>
      <c r="G11" s="42">
        <v>7000</v>
      </c>
      <c r="J11" s="12"/>
      <c r="M11" s="3"/>
      <c r="N11" s="32"/>
      <c r="O11" s="3"/>
      <c r="P11" s="35"/>
    </row>
    <row r="12" spans="1:16" ht="18.75" customHeight="1" thickBot="1" x14ac:dyDescent="0.3">
      <c r="A12" s="79" t="s">
        <v>68</v>
      </c>
      <c r="B12" s="83">
        <f>IF(B10&lt;B9,B11-5%,B11)</f>
        <v>0.95</v>
      </c>
      <c r="C12" s="84"/>
      <c r="D12" s="85"/>
      <c r="E12" s="86"/>
      <c r="I12" s="81" t="s">
        <v>45</v>
      </c>
      <c r="J12" s="82"/>
      <c r="K12" s="27">
        <v>300</v>
      </c>
    </row>
    <row r="13" spans="1:16" ht="18.75" customHeight="1" thickBot="1" x14ac:dyDescent="0.3">
      <c r="A13" s="79" t="s">
        <v>49</v>
      </c>
      <c r="B13" s="37">
        <f>B9*B12</f>
        <v>3705</v>
      </c>
      <c r="F13" s="80" t="s">
        <v>58</v>
      </c>
      <c r="G13" s="44">
        <f>B4*(B10/1000)</f>
        <v>270</v>
      </c>
      <c r="H13" s="13"/>
      <c r="I13" s="81" t="s">
        <v>46</v>
      </c>
      <c r="J13" s="82"/>
      <c r="K13" s="56">
        <v>145</v>
      </c>
    </row>
    <row r="14" spans="1:16" ht="18.75" customHeight="1" thickBot="1" x14ac:dyDescent="0.3">
      <c r="A14" s="78" t="s">
        <v>52</v>
      </c>
      <c r="B14" s="43">
        <v>6754.125</v>
      </c>
      <c r="C14" s="13"/>
      <c r="D14" s="13"/>
      <c r="E14" s="13"/>
      <c r="F14" s="80" t="s">
        <v>71</v>
      </c>
      <c r="G14" s="44">
        <f>(B14*B1)/12</f>
        <v>135.08250000000001</v>
      </c>
      <c r="H14" s="14" t="s">
        <v>73</v>
      </c>
      <c r="I14" s="81" t="s">
        <v>44</v>
      </c>
      <c r="J14" s="82"/>
      <c r="K14" s="56">
        <v>120</v>
      </c>
    </row>
    <row r="15" spans="1:16" ht="18.75" customHeight="1" thickBot="1" x14ac:dyDescent="0.3">
      <c r="A15" s="79" t="s">
        <v>53</v>
      </c>
      <c r="B15" s="37">
        <f>B14-B13</f>
        <v>3049.125</v>
      </c>
      <c r="C15" s="91" t="s">
        <v>69</v>
      </c>
      <c r="D15" s="44">
        <f>B15*B1</f>
        <v>731.79</v>
      </c>
      <c r="E15" s="13"/>
      <c r="F15" s="80" t="s">
        <v>72</v>
      </c>
      <c r="G15" s="44">
        <f>F21/12</f>
        <v>60.982499999999995</v>
      </c>
      <c r="H15" s="14" t="s">
        <v>73</v>
      </c>
      <c r="I15" s="81" t="s">
        <v>65</v>
      </c>
      <c r="J15" s="82"/>
      <c r="K15" s="56">
        <v>200</v>
      </c>
    </row>
    <row r="16" spans="1:16" ht="18.75" customHeight="1" thickBot="1" x14ac:dyDescent="0.3">
      <c r="F16" s="80" t="s">
        <v>74</v>
      </c>
      <c r="G16" s="56">
        <v>120</v>
      </c>
      <c r="H16" s="14" t="s">
        <v>73</v>
      </c>
    </row>
    <row r="17" spans="1:8" ht="18.75" customHeight="1" thickBot="1" x14ac:dyDescent="0.3">
      <c r="F17" s="80" t="s">
        <v>75</v>
      </c>
      <c r="G17" s="44">
        <f>G16+G15-G14</f>
        <v>45.899999999999977</v>
      </c>
      <c r="H17" s="14" t="s">
        <v>73</v>
      </c>
    </row>
    <row r="18" spans="1:8" ht="18.75" customHeight="1" thickBot="1" x14ac:dyDescent="0.3"/>
    <row r="19" spans="1:8" ht="18.75" customHeight="1" thickBot="1" x14ac:dyDescent="0.3">
      <c r="B19" s="18" t="s">
        <v>40</v>
      </c>
      <c r="C19" s="52"/>
      <c r="D19" s="52"/>
      <c r="E19" s="52"/>
      <c r="F19" s="52"/>
      <c r="G19" s="19"/>
    </row>
    <row r="20" spans="1:8" ht="18.75" customHeight="1" thickBot="1" x14ac:dyDescent="0.3">
      <c r="B20" s="20" t="s">
        <v>38</v>
      </c>
      <c r="C20" s="22" t="s">
        <v>39</v>
      </c>
      <c r="D20" s="22" t="s">
        <v>63</v>
      </c>
      <c r="E20" s="22" t="s">
        <v>60</v>
      </c>
      <c r="F20" s="22" t="s">
        <v>62</v>
      </c>
      <c r="G20" s="21" t="s">
        <v>50</v>
      </c>
    </row>
    <row r="21" spans="1:8" ht="18.75" customHeight="1" x14ac:dyDescent="0.25">
      <c r="A21" s="14" t="str">
        <f>IF(ABS(E21)=$E$47,"Année de rentabilité","")</f>
        <v/>
      </c>
      <c r="B21" s="15">
        <v>1</v>
      </c>
      <c r="C21" s="45">
        <f>E11+G13</f>
        <v>4884</v>
      </c>
      <c r="D21" s="47">
        <f>B13*B1</f>
        <v>889.19999999999993</v>
      </c>
      <c r="E21" s="45">
        <f>D21-C21</f>
        <v>-3994.8</v>
      </c>
      <c r="F21" s="45">
        <f>B15*B1</f>
        <v>731.79</v>
      </c>
      <c r="G21" s="50" t="s">
        <v>55</v>
      </c>
    </row>
    <row r="22" spans="1:8" ht="18.75" customHeight="1" x14ac:dyDescent="0.25">
      <c r="A22" s="14" t="str">
        <f>IF(ABS(E22)=$E$47,"Année de rentabilité","")</f>
        <v/>
      </c>
      <c r="B22" s="15">
        <v>2</v>
      </c>
      <c r="C22" s="40">
        <f>C21+($G$13+($G$13*$B$5))</f>
        <v>5162.1000000000004</v>
      </c>
      <c r="D22" s="48">
        <f>D21+(($B$13-($B$13*$B$7))*($B$1+($B$1*$B$2)))</f>
        <v>1798.6648679999998</v>
      </c>
      <c r="E22" s="40">
        <f>D22-C22</f>
        <v>-3363.4351320000005</v>
      </c>
      <c r="F22" s="40">
        <f>F21+($B$15*($B$1+($B$1*$B$2)))</f>
        <v>1485.5337</v>
      </c>
      <c r="G22" s="50" t="s">
        <v>56</v>
      </c>
    </row>
    <row r="23" spans="1:8" ht="18.75" customHeight="1" x14ac:dyDescent="0.25">
      <c r="A23" s="14" t="str">
        <f>IF(ABS(E23)=$E$47,"Année de rentabilité","")</f>
        <v/>
      </c>
      <c r="B23" s="15">
        <v>3</v>
      </c>
      <c r="C23" s="40">
        <f>C22+($G$13+($G$13*$B$5))</f>
        <v>5440.2000000000007</v>
      </c>
      <c r="D23" s="48">
        <f>D22+(($B$13-($B$13*$B$7))*($B$1+($B$1*$B$2)))</f>
        <v>2708.1297359999999</v>
      </c>
      <c r="E23" s="40">
        <f>D23-C23</f>
        <v>-2732.0702640000009</v>
      </c>
      <c r="F23" s="40">
        <f>F22+($B$15*($B$1+($B$1*$B$2)))</f>
        <v>2239.2773999999999</v>
      </c>
      <c r="G23" s="50" t="s">
        <v>56</v>
      </c>
    </row>
    <row r="24" spans="1:8" s="13" customFormat="1" ht="18.75" customHeight="1" x14ac:dyDescent="0.25">
      <c r="A24" s="14" t="str">
        <f>IF(ABS(E24)=$E$47,"Année de rentabilité","")</f>
        <v/>
      </c>
      <c r="B24" s="15">
        <v>4</v>
      </c>
      <c r="C24" s="40">
        <f>C23+($G$13+($G$13*$B$5))</f>
        <v>5718.3000000000011</v>
      </c>
      <c r="D24" s="48">
        <f>D23+(($B$13-($B$13*$B$7))*($B$1+($B$1*$B$2)))</f>
        <v>3617.5946039999999</v>
      </c>
      <c r="E24" s="40">
        <f>D24-C24</f>
        <v>-2100.7053960000012</v>
      </c>
      <c r="F24" s="40">
        <f>F23+($B$15*($B$1+($B$1*$B$2)))</f>
        <v>2993.0210999999999</v>
      </c>
      <c r="G24" s="50" t="s">
        <v>56</v>
      </c>
    </row>
    <row r="25" spans="1:8" s="13" customFormat="1" ht="18.75" customHeight="1" x14ac:dyDescent="0.25">
      <c r="A25" s="14" t="str">
        <f>IF(ABS(E25)=$E$47,"Année de rentabilité","")</f>
        <v/>
      </c>
      <c r="B25" s="15">
        <v>5</v>
      </c>
      <c r="C25" s="40">
        <f>C24+($G$13+($G$13*$B$5))</f>
        <v>5996.4000000000015</v>
      </c>
      <c r="D25" s="48">
        <f>D24+(($B$13-($B$13*$B$7))*($B$1+($B$1*$B$2)))</f>
        <v>4527.0594719999999</v>
      </c>
      <c r="E25" s="40">
        <f>D25-C25</f>
        <v>-1469.3405280000015</v>
      </c>
      <c r="F25" s="40">
        <f>F24+($B$15*($B$1+($B$1*$B$2)))</f>
        <v>3746.7647999999999</v>
      </c>
      <c r="G25" s="50" t="s">
        <v>57</v>
      </c>
    </row>
    <row r="26" spans="1:8" ht="18.75" customHeight="1" x14ac:dyDescent="0.25">
      <c r="A26" s="14" t="str">
        <f>IF(ABS(E26)=$E$47,"Année de rentabilité","")</f>
        <v/>
      </c>
      <c r="B26" s="15">
        <v>6</v>
      </c>
      <c r="C26" s="40">
        <f>C25+($G$13+($G$13*$B$5))</f>
        <v>6274.5000000000018</v>
      </c>
      <c r="D26" s="48">
        <f>D25+(($B$13-($B$13*$B$7))*($B$1+($B$1*$B$2)))</f>
        <v>5436.5243399999999</v>
      </c>
      <c r="E26" s="40">
        <f>D26-C26</f>
        <v>-837.97566000000188</v>
      </c>
      <c r="F26" s="40">
        <f>F25+($B$15*($B$1+($B$1*$B$2)))</f>
        <v>4500.5084999999999</v>
      </c>
      <c r="G26" s="50"/>
    </row>
    <row r="27" spans="1:8" s="13" customFormat="1" ht="18.75" customHeight="1" x14ac:dyDescent="0.25">
      <c r="A27" s="14" t="str">
        <f>IF(ABS(E27)=$E$47,"Année de rentabilité","")</f>
        <v>Année de rentabilité</v>
      </c>
      <c r="B27" s="15">
        <v>7</v>
      </c>
      <c r="C27" s="40">
        <f>C26+($G$13+($G$13*$B$5))</f>
        <v>6552.6000000000022</v>
      </c>
      <c r="D27" s="48">
        <f>D26+(($B$13-($B$13*$B$7))*($B$1+($B$1*$B$2)))</f>
        <v>6345.989208</v>
      </c>
      <c r="E27" s="40">
        <f>D27-C27</f>
        <v>-206.61079200000222</v>
      </c>
      <c r="F27" s="40">
        <f>F26+($B$15*($B$1+($B$1*$B$2)))</f>
        <v>5254.2521999999999</v>
      </c>
      <c r="G27" s="50"/>
    </row>
    <row r="28" spans="1:8" s="13" customFormat="1" ht="18.75" customHeight="1" x14ac:dyDescent="0.25">
      <c r="A28" s="14" t="str">
        <f>IF(ABS(E28)=$E$47,"Année de rentabilité","")</f>
        <v/>
      </c>
      <c r="B28" s="15">
        <v>8</v>
      </c>
      <c r="C28" s="40">
        <f>C27+($G$13+($G$13*$B$5))</f>
        <v>6830.7000000000025</v>
      </c>
      <c r="D28" s="48">
        <f>D27+(($B$13-($B$13*$B$7))*($B$1+($B$1*$B$2)))</f>
        <v>7255.454076</v>
      </c>
      <c r="E28" s="40">
        <f>D28-C28</f>
        <v>424.75407599999744</v>
      </c>
      <c r="F28" s="40">
        <f>F27+($B$15*($B$1+($B$1*$B$2)))</f>
        <v>6007.9958999999999</v>
      </c>
      <c r="G28" s="50"/>
    </row>
    <row r="29" spans="1:8" ht="18.75" customHeight="1" x14ac:dyDescent="0.25">
      <c r="A29" s="14" t="str">
        <f>IF(ABS(E29)=$E$47,"Année de rentabilité","")</f>
        <v/>
      </c>
      <c r="B29" s="15">
        <v>9</v>
      </c>
      <c r="C29" s="40">
        <f>C28+($G$13+($G$13*$B$5))</f>
        <v>7108.8000000000029</v>
      </c>
      <c r="D29" s="48">
        <f>D28+(($B$13-($B$13*$B$7))*($B$1+($B$1*$B$2)))</f>
        <v>8164.918944</v>
      </c>
      <c r="E29" s="40">
        <f>D29-C29</f>
        <v>1056.1189439999971</v>
      </c>
      <c r="F29" s="40">
        <f>F28+($B$15*($B$1+($B$1*$B$2)))</f>
        <v>6761.7395999999999</v>
      </c>
      <c r="G29" s="50"/>
    </row>
    <row r="30" spans="1:8" ht="18.75" customHeight="1" x14ac:dyDescent="0.25">
      <c r="A30" s="14" t="str">
        <f>IF(ABS(E30)=$E$47,"Année de rentabilité","")</f>
        <v/>
      </c>
      <c r="B30" s="15">
        <v>10</v>
      </c>
      <c r="C30" s="40">
        <f>C29+($G$13+($G$13*$B$5))+(VLOOKUP(B10,N2:P6,3,FALSE))</f>
        <v>8355.9000000000033</v>
      </c>
      <c r="D30" s="48">
        <f>D29+(($B$13-($B$13*$B$7))*($B$1+($B$1*$B$2)))</f>
        <v>9074.383812</v>
      </c>
      <c r="E30" s="40">
        <f>D30-C30</f>
        <v>718.48381199999676</v>
      </c>
      <c r="F30" s="40">
        <f>F29+($B$15*($B$1+($B$1*$B$2)))</f>
        <v>7515.4832999999999</v>
      </c>
      <c r="G30" s="50" t="s">
        <v>59</v>
      </c>
    </row>
    <row r="31" spans="1:8" ht="18.75" customHeight="1" x14ac:dyDescent="0.25">
      <c r="A31" s="14" t="str">
        <f>IF(ABS(E31)=$E$47,"Année de rentabilité","")</f>
        <v/>
      </c>
      <c r="B31" s="15">
        <v>11</v>
      </c>
      <c r="C31" s="40">
        <f>C30+$G$13</f>
        <v>8625.9000000000033</v>
      </c>
      <c r="D31" s="48">
        <f>D30+(($B$13-($B$13*$B$7))*($B$1+($B$1*$B$2)))</f>
        <v>9983.8486799999991</v>
      </c>
      <c r="E31" s="40">
        <f>D31-C31</f>
        <v>1357.9486799999959</v>
      </c>
      <c r="F31" s="40">
        <f>F30+($B$15*($B$1+($B$1*$B$2)))</f>
        <v>8269.226999999999</v>
      </c>
      <c r="G31" s="50"/>
    </row>
    <row r="32" spans="1:8" ht="18.75" customHeight="1" x14ac:dyDescent="0.25">
      <c r="A32" s="14" t="str">
        <f>IF(ABS(E32)=$E$47,"Année de rentabilité","")</f>
        <v/>
      </c>
      <c r="B32" s="15">
        <v>12</v>
      </c>
      <c r="C32" s="40">
        <f>C31+$G$13</f>
        <v>8895.9000000000033</v>
      </c>
      <c r="D32" s="48">
        <f>D31+(($B$13-($B$13*$B$7))*($B$1+($B$1*$B$2)))</f>
        <v>10893.313547999998</v>
      </c>
      <c r="E32" s="40">
        <f>D32-C32</f>
        <v>1997.413547999995</v>
      </c>
      <c r="F32" s="40">
        <f>F31+($B$15*($B$1+($B$1*$B$2)))</f>
        <v>9022.970699999998</v>
      </c>
      <c r="G32" s="50"/>
    </row>
    <row r="33" spans="1:7" ht="18.75" customHeight="1" x14ac:dyDescent="0.25">
      <c r="A33" s="14" t="str">
        <f>IF(ABS(E33)=$E$47,"Année de rentabilité","")</f>
        <v/>
      </c>
      <c r="B33" s="15">
        <v>13</v>
      </c>
      <c r="C33" s="40">
        <f>C32+$G$13</f>
        <v>9165.9000000000033</v>
      </c>
      <c r="D33" s="48">
        <f>D32+(($B$13-($B$13*$B$7))*($B$1+($B$1*$B$2)))</f>
        <v>11802.778415999997</v>
      </c>
      <c r="E33" s="40">
        <f>D33-C33</f>
        <v>2636.8784159999941</v>
      </c>
      <c r="F33" s="40">
        <f>F32+($B$15*($B$1+($B$1*$B$2)))</f>
        <v>9776.7143999999971</v>
      </c>
      <c r="G33" s="50"/>
    </row>
    <row r="34" spans="1:7" ht="18.75" customHeight="1" x14ac:dyDescent="0.25">
      <c r="A34" s="14" t="str">
        <f>IF(ABS(E34)=$E$47,"Année de rentabilité","")</f>
        <v/>
      </c>
      <c r="B34" s="15">
        <v>14</v>
      </c>
      <c r="C34" s="40">
        <f>C33+$G$13</f>
        <v>9435.9000000000033</v>
      </c>
      <c r="D34" s="48">
        <f>D33+(($B$13-($B$13*$B$7))*($B$1+($B$1*$B$2)))</f>
        <v>12712.243283999996</v>
      </c>
      <c r="E34" s="40">
        <f>D34-C34</f>
        <v>3276.3432839999932</v>
      </c>
      <c r="F34" s="40">
        <f>F33+($B$15*($B$1+($B$1*$B$2)))</f>
        <v>10530.458099999996</v>
      </c>
      <c r="G34" s="50"/>
    </row>
    <row r="35" spans="1:7" ht="18.75" customHeight="1" x14ac:dyDescent="0.25">
      <c r="A35" s="14" t="str">
        <f>IF(ABS(E35)=$E$47,"Année de rentabilité","")</f>
        <v/>
      </c>
      <c r="B35" s="15">
        <v>15</v>
      </c>
      <c r="C35" s="40">
        <f>C34+$G$13</f>
        <v>9705.9000000000033</v>
      </c>
      <c r="D35" s="48">
        <f>D34+(($B$13-($B$13*$B$7))*($B$1+($B$1*$B$2)))</f>
        <v>13621.708151999996</v>
      </c>
      <c r="E35" s="40">
        <f>D35-C35</f>
        <v>3915.8081519999923</v>
      </c>
      <c r="F35" s="40">
        <f>F34+($B$15*($B$1+($B$1*$B$2)))</f>
        <v>11284.201799999995</v>
      </c>
      <c r="G35" s="50"/>
    </row>
    <row r="36" spans="1:7" ht="18.75" customHeight="1" x14ac:dyDescent="0.25">
      <c r="A36" s="14" t="str">
        <f>IF(ABS(E36)=$E$47,"Année de rentabilité","")</f>
        <v/>
      </c>
      <c r="B36" s="15">
        <v>16</v>
      </c>
      <c r="C36" s="40">
        <f>C35+$G$13</f>
        <v>9975.9000000000033</v>
      </c>
      <c r="D36" s="48">
        <f>D35+(($B$13-($B$13*$B$7))*($B$1+($B$1*$B$2)))</f>
        <v>14531.173019999995</v>
      </c>
      <c r="E36" s="40">
        <f>D36-C36</f>
        <v>4555.2730199999914</v>
      </c>
      <c r="F36" s="40">
        <f>F35+($B$15*($B$1+($B$1*$B$2)))</f>
        <v>12037.945499999994</v>
      </c>
      <c r="G36" s="50"/>
    </row>
    <row r="37" spans="1:7" ht="18.75" customHeight="1" x14ac:dyDescent="0.25">
      <c r="A37" s="14" t="str">
        <f>IF(ABS(E37)=$E$47,"Année de rentabilité","")</f>
        <v/>
      </c>
      <c r="B37" s="15">
        <v>17</v>
      </c>
      <c r="C37" s="40">
        <f>C36+$G$13</f>
        <v>10245.900000000003</v>
      </c>
      <c r="D37" s="48">
        <f>D36+(($B$13-($B$13*$B$7))*($B$1+($B$1*$B$2)))</f>
        <v>15440.637887999994</v>
      </c>
      <c r="E37" s="40">
        <f>D37-C37</f>
        <v>5194.7378879999906</v>
      </c>
      <c r="F37" s="40">
        <f>F36+($B$15*($B$1+($B$1*$B$2)))</f>
        <v>12791.689199999993</v>
      </c>
      <c r="G37" s="50"/>
    </row>
    <row r="38" spans="1:7" ht="18.75" customHeight="1" x14ac:dyDescent="0.25">
      <c r="A38" s="14" t="str">
        <f>IF(ABS(E38)=$E$47,"Année de rentabilité","")</f>
        <v/>
      </c>
      <c r="B38" s="15">
        <v>18</v>
      </c>
      <c r="C38" s="40">
        <f>C37+$G$13</f>
        <v>10515.900000000003</v>
      </c>
      <c r="D38" s="48">
        <f>D37+(($B$13-($B$13*$B$7))*($B$1+($B$1*$B$2)))</f>
        <v>16350.102755999993</v>
      </c>
      <c r="E38" s="40">
        <f>D38-C38</f>
        <v>5834.2027559999897</v>
      </c>
      <c r="F38" s="40">
        <f>F37+($B$15*($B$1+($B$1*$B$2)))</f>
        <v>13545.432899999993</v>
      </c>
      <c r="G38" s="50"/>
    </row>
    <row r="39" spans="1:7" ht="18.75" customHeight="1" x14ac:dyDescent="0.25">
      <c r="A39" s="14" t="str">
        <f>IF(ABS(E39)=$E$47,"Année de rentabilité","")</f>
        <v/>
      </c>
      <c r="B39" s="15">
        <v>19</v>
      </c>
      <c r="C39" s="40">
        <f>C38+$G$13</f>
        <v>10785.900000000003</v>
      </c>
      <c r="D39" s="48">
        <f>D38+(($B$13-($B$13*$B$7))*($B$1+($B$1*$B$2)))</f>
        <v>17259.567623999992</v>
      </c>
      <c r="E39" s="40">
        <f>D39-C39</f>
        <v>6473.6676239999888</v>
      </c>
      <c r="F39" s="40">
        <f>F38+($B$15*($B$1+($B$1*$B$2)))</f>
        <v>14299.176599999992</v>
      </c>
      <c r="G39" s="50"/>
    </row>
    <row r="40" spans="1:7" ht="18.75" customHeight="1" x14ac:dyDescent="0.25">
      <c r="A40" s="14" t="str">
        <f>IF(ABS(E40)=$E$47,"Année de rentabilité","")</f>
        <v/>
      </c>
      <c r="B40" s="15">
        <v>20</v>
      </c>
      <c r="C40" s="40">
        <f>C39+($G$13+($G$13*$B$5))+(VLOOKUP(B10,N2:P6,3,FALSE))</f>
        <v>12033.000000000004</v>
      </c>
      <c r="D40" s="48">
        <f>D39+(($B$13-($B$13*$B$7))*($B$1+($B$1*$B$2)))</f>
        <v>18169.032491999991</v>
      </c>
      <c r="E40" s="40">
        <f>D40-C40</f>
        <v>6136.0324919999875</v>
      </c>
      <c r="F40" s="40">
        <f>F39+($B$15*($B$1+($B$1*$B$2)))</f>
        <v>15052.920299999991</v>
      </c>
      <c r="G40" s="50" t="s">
        <v>59</v>
      </c>
    </row>
    <row r="41" spans="1:7" ht="18.75" customHeight="1" x14ac:dyDescent="0.25">
      <c r="A41" s="14" t="str">
        <f>IF(ABS(E41)=$E$47,"Année de rentabilité","")</f>
        <v/>
      </c>
      <c r="B41" s="15">
        <v>21</v>
      </c>
      <c r="C41" s="40">
        <f>C40+$G$13</f>
        <v>12303.000000000004</v>
      </c>
      <c r="D41" s="48">
        <f>D40+(($B$13-($B$13*$B$7))*($B$1+($B$1*$B$2)))</f>
        <v>19078.49735999999</v>
      </c>
      <c r="E41" s="40">
        <f>D41-C41</f>
        <v>6775.4973599999867</v>
      </c>
      <c r="F41" s="40">
        <f>F40+($B$15*($B$1+($B$1*$B$2)))</f>
        <v>15806.66399999999</v>
      </c>
      <c r="G41" s="50"/>
    </row>
    <row r="42" spans="1:7" ht="18.75" customHeight="1" x14ac:dyDescent="0.25">
      <c r="A42" s="14" t="str">
        <f>IF(ABS(E42)=$E$47,"Année de rentabilité","")</f>
        <v/>
      </c>
      <c r="B42" s="15">
        <v>22</v>
      </c>
      <c r="C42" s="40">
        <f>C41+$G$13</f>
        <v>12573.000000000004</v>
      </c>
      <c r="D42" s="48">
        <f>D41+(($B$13-($B$13*$B$7))*($B$1+($B$1*$B$2)))</f>
        <v>19987.962227999989</v>
      </c>
      <c r="E42" s="40">
        <f>D42-C42</f>
        <v>7414.9622279999858</v>
      </c>
      <c r="F42" s="40">
        <f>F41+($B$15*($B$1+($B$1*$B$2)))</f>
        <v>16560.407699999989</v>
      </c>
      <c r="G42" s="50"/>
    </row>
    <row r="43" spans="1:7" ht="18.75" customHeight="1" x14ac:dyDescent="0.25">
      <c r="A43" s="14" t="str">
        <f>IF(ABS(E43)=$E$47,"Année de rentabilité","")</f>
        <v/>
      </c>
      <c r="B43" s="15">
        <v>23</v>
      </c>
      <c r="C43" s="40">
        <f>C42+$G$13</f>
        <v>12843.000000000004</v>
      </c>
      <c r="D43" s="48">
        <f>D42+(($B$13-($B$13*$B$7))*($B$1+($B$1*$B$2)))</f>
        <v>20897.427095999989</v>
      </c>
      <c r="E43" s="40">
        <f>D43-C43</f>
        <v>8054.4270959999849</v>
      </c>
      <c r="F43" s="40">
        <f>F42+($B$15*($B$1+($B$1*$B$2)))</f>
        <v>17314.151399999988</v>
      </c>
      <c r="G43" s="50"/>
    </row>
    <row r="44" spans="1:7" ht="18.75" customHeight="1" x14ac:dyDescent="0.25">
      <c r="A44" s="14" t="str">
        <f>IF(ABS(E44)=$E$47,"Année de rentabilité","")</f>
        <v/>
      </c>
      <c r="B44" s="15">
        <v>24</v>
      </c>
      <c r="C44" s="40">
        <f>C43+$G$13</f>
        <v>13113.000000000004</v>
      </c>
      <c r="D44" s="48">
        <f>D43+(($B$13-($B$13*$B$7))*($B$1+($B$1*$B$2)))</f>
        <v>21806.891963999988</v>
      </c>
      <c r="E44" s="40">
        <f>D44-C44</f>
        <v>8693.891963999984</v>
      </c>
      <c r="F44" s="40">
        <f>F43+($B$15*($B$1+($B$1*$B$2)))</f>
        <v>18067.895099999987</v>
      </c>
      <c r="G44" s="50"/>
    </row>
    <row r="45" spans="1:7" ht="18.75" customHeight="1" thickBot="1" x14ac:dyDescent="0.3">
      <c r="A45" s="14" t="str">
        <f>IF(ABS(E45)=$E$47,"Année de rentabilité","")</f>
        <v/>
      </c>
      <c r="B45" s="16">
        <v>25</v>
      </c>
      <c r="C45" s="46">
        <f>C44+$G$13</f>
        <v>13383.000000000004</v>
      </c>
      <c r="D45" s="49">
        <f>D44+(($B$13-($B$13*$B$7))*($B$1+($B$1*$B$2)))</f>
        <v>22716.356831999987</v>
      </c>
      <c r="E45" s="53">
        <f>D45-C45</f>
        <v>9333.3568319999831</v>
      </c>
      <c r="F45" s="46">
        <f>F44+($B$15*($B$1+($B$1*$B$2)))</f>
        <v>18821.638799999986</v>
      </c>
      <c r="G45" s="51"/>
    </row>
    <row r="46" spans="1:7" ht="18.75" customHeight="1" x14ac:dyDescent="0.25"/>
    <row r="47" spans="1:7" ht="18.75" customHeight="1" x14ac:dyDescent="0.25">
      <c r="E47" s="17">
        <f t="array" ref="E47">MIN(ABS(E21:E45))</f>
        <v>206.61079200000222</v>
      </c>
    </row>
    <row r="48" spans="1:7" ht="18.75" customHeight="1" x14ac:dyDescent="0.25"/>
    <row r="49" ht="18.75" customHeight="1" x14ac:dyDescent="0.25"/>
    <row r="50" ht="18.75" customHeight="1" x14ac:dyDescent="0.25"/>
    <row r="51" ht="18.75" customHeight="1" x14ac:dyDescent="0.25"/>
  </sheetData>
  <sortState ref="A2:D15">
    <sortCondition descending="1" ref="B2:B15"/>
  </sortState>
  <mergeCells count="7">
    <mergeCell ref="M1:O1"/>
    <mergeCell ref="I12:J12"/>
    <mergeCell ref="I13:J13"/>
    <mergeCell ref="I14:J14"/>
    <mergeCell ref="I15:J15"/>
    <mergeCell ref="I1:J1"/>
    <mergeCell ref="B19:G19"/>
  </mergeCells>
  <conditionalFormatting sqref="E10">
    <cfRule type="cellIs" dxfId="1" priority="1" operator="greaterThan">
      <formula>1.3</formula>
    </cfRule>
  </conditionalFormatting>
  <conditionalFormatting sqref="A21:G45">
    <cfRule type="expression" dxfId="0" priority="7" stopIfTrue="1">
      <formula>ABS($E21)=$E$47</formula>
    </cfRule>
  </conditionalFormatting>
  <dataValidations count="3">
    <dataValidation type="list" allowBlank="1" showInputMessage="1" showErrorMessage="1" sqref="B9" xr:uid="{97646B60-4C9F-4B31-B79B-436DD31EE9B0}">
      <formula1>$I$2:$I$10</formula1>
    </dataValidation>
    <dataValidation type="list" allowBlank="1" showInputMessage="1" showErrorMessage="1" sqref="B10" xr:uid="{B3DF17E4-B774-482F-9DE9-BE7CA0500173}">
      <formula1>$N$2:$N$11</formula1>
    </dataValidation>
    <dataValidation type="list" allowBlank="1" showInputMessage="1" showErrorMessage="1" sqref="B14" xr:uid="{64AA57C4-F9F5-46CD-ABA7-024A39AF2650}">
      <formula1>$G$2:$G$11</formula1>
    </dataValidation>
  </dataValidations>
  <pageMargins left="0.25" right="0.25" top="0.75" bottom="0.75" header="0.3" footer="0.3"/>
  <pageSetup paperSize="9" scale="4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8399C-E7CE-47C1-94B1-05B8D060E950}">
  <sheetPr>
    <pageSetUpPr fitToPage="1"/>
  </sheetPr>
  <dimension ref="A1"/>
  <sheetViews>
    <sheetView workbookViewId="0">
      <selection activeCell="C3" sqref="C3"/>
    </sheetView>
  </sheetViews>
  <sheetFormatPr defaultRowHeight="15" x14ac:dyDescent="0.25"/>
  <sheetData/>
  <pageMargins left="0.7" right="0.7" top="0.75" bottom="0.75" header="0.3" footer="0.3"/>
  <pageSetup paperSize="9" scale="6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Consommation</vt:lpstr>
      <vt:lpstr>Calcul</vt:lpstr>
      <vt:lpstr>Graphique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Cheetah</dc:creator>
  <cp:lastModifiedBy>Cheetah</cp:lastModifiedBy>
  <cp:lastPrinted>2019-01-26T09:18:44Z</cp:lastPrinted>
  <dcterms:created xsi:type="dcterms:W3CDTF">2019-01-25T20:51:29Z</dcterms:created>
  <dcterms:modified xsi:type="dcterms:W3CDTF">2019-01-26T09:19:13Z</dcterms:modified>
</cp:coreProperties>
</file>