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14" firstSheet="0" activeTab="5"/>
  </bookViews>
  <sheets>
    <sheet name="Planètes" sheetId="1" state="visible" r:id="rId2"/>
    <sheet name="Lunes" sheetId="2" state="visible" r:id="rId3"/>
    <sheet name="Production" sheetId="3" state="visible" r:id="rId4"/>
    <sheet name="Technologies" sheetId="4" state="visible" r:id="rId5"/>
    <sheet name="Coût" sheetId="5" state="visible" r:id="rId6"/>
    <sheet name="Projet Minier" sheetId="6" state="visible" r:id="rId7"/>
    <sheet name="Astrophysique" sheetId="7" state="visible" r:id="rId8"/>
    <sheet name="Autres options" sheetId="8" state="visible" r:id="rId9"/>
    <sheet name="Points" sheetId="9" state="visible" r:id="rId10"/>
    <sheet name="Feuille10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<sst xmlns="http://schemas.openxmlformats.org/spreadsheetml/2006/main" count="1116" uniqueCount="368">
  <si>
    <t>Général</t>
  </si>
  <si>
    <t>Points</t>
  </si>
  <si>
    <t>Planètes</t>
  </si>
  <si>
    <t>Mines</t>
  </si>
  <si>
    <t>Coordonnées</t>
  </si>
  <si>
    <t>Total</t>
  </si>
  <si>
    <t>Bâtiments</t>
  </si>
  <si>
    <t>Cases initiales</t>
  </si>
  <si>
    <t>0</t>
  </si>
  <si>
    <t>Flotte</t>
  </si>
  <si>
    <t>Cases totales</t>
  </si>
  <si>
    <t>Défenses</t>
  </si>
  <si>
    <t>Cases utilisées</t>
  </si>
  <si>
    <t>Lunes</t>
  </si>
  <si>
    <t>Cases disponibles</t>
  </si>
  <si>
    <t>Recherche</t>
  </si>
  <si>
    <t>Température min</t>
  </si>
  <si>
    <t>TOTAL POINTS</t>
  </si>
  <si>
    <t>Température max</t>
  </si>
  <si>
    <t>Énergie</t>
  </si>
  <si>
    <t>Production en direct</t>
  </si>
  <si>
    <t>Métal</t>
  </si>
  <si>
    <t>Recherches</t>
  </si>
  <si>
    <t>Cristal</t>
  </si>
  <si>
    <t>Deutérium</t>
  </si>
  <si>
    <t>Ions</t>
  </si>
  <si>
    <t>TOTAL</t>
  </si>
  <si>
    <t>Plasma</t>
  </si>
  <si>
    <t>NOMBRE DE GT</t>
  </si>
  <si>
    <t>Armes</t>
  </si>
  <si>
    <t>Bouclier</t>
  </si>
  <si>
    <t>Mine métal</t>
  </si>
  <si>
    <t>Coque</t>
  </si>
  <si>
    <t>Mine cristal</t>
  </si>
  <si>
    <t>Espionnage</t>
  </si>
  <si>
    <t>Synthétiseur Deut</t>
  </si>
  <si>
    <t>Ordinateur</t>
  </si>
  <si>
    <t>CES</t>
  </si>
  <si>
    <t>Astrophysique</t>
  </si>
  <si>
    <t>CEF</t>
  </si>
  <si>
    <t>RRI</t>
  </si>
  <si>
    <t>Hangar métal</t>
  </si>
  <si>
    <t>Graviton</t>
  </si>
  <si>
    <t>Hangar Cristal</t>
  </si>
  <si>
    <t>Combustion</t>
  </si>
  <si>
    <t>Réservoir Deut</t>
  </si>
  <si>
    <t>Impulsion</t>
  </si>
  <si>
    <t>Usine robots</t>
  </si>
  <si>
    <t>Propulsion</t>
  </si>
  <si>
    <t>Usine nanites</t>
  </si>
  <si>
    <t>Techno hyperes</t>
  </si>
  <si>
    <t>Chantier spatial</t>
  </si>
  <si>
    <t>Laser</t>
  </si>
  <si>
    <t>Dock spatial</t>
  </si>
  <si>
    <t>Laboratoire</t>
  </si>
  <si>
    <t>Terraformeur</t>
  </si>
  <si>
    <t>Date et heure d'évacuation</t>
  </si>
  <si>
    <t>Silo missiles</t>
  </si>
  <si>
    <t>Date et heure actuelle</t>
  </si>
  <si>
    <t>Sat. Solaires</t>
  </si>
  <si>
    <t>Prod par Satellite</t>
  </si>
  <si>
    <t>Différence (en heure)</t>
  </si>
  <si>
    <t>Nb sat Energie &gt;0</t>
  </si>
  <si>
    <t>Coût Cristal</t>
  </si>
  <si>
    <t>Coût Deut</t>
  </si>
  <si>
    <t>Commandant</t>
  </si>
  <si>
    <t>Flottes</t>
  </si>
  <si>
    <t>PTS</t>
  </si>
  <si>
    <t>GTS</t>
  </si>
  <si>
    <t>Clés</t>
  </si>
  <si>
    <t>Rien = 0</t>
  </si>
  <si>
    <t>Clos</t>
  </si>
  <si>
    <t>Ingé = 1</t>
  </si>
  <si>
    <t>Croiseurs</t>
  </si>
  <si>
    <t>Tous = 2</t>
  </si>
  <si>
    <t>Vaisseaux Bataille</t>
  </si>
  <si>
    <t>Vaisseaux Colo</t>
  </si>
  <si>
    <t>Pourcentage de Points indestructibles</t>
  </si>
  <si>
    <t>Recycleurs</t>
  </si>
  <si>
    <t>Sondes</t>
  </si>
  <si>
    <t>Bombardier</t>
  </si>
  <si>
    <t>Pourcentage de Points destructibles</t>
  </si>
  <si>
    <t>Destructeur</t>
  </si>
  <si>
    <t>RIP</t>
  </si>
  <si>
    <t>Traqueur</t>
  </si>
  <si>
    <t>LM</t>
  </si>
  <si>
    <t>ALLégères</t>
  </si>
  <si>
    <t>ALLourdes</t>
  </si>
  <si>
    <t>Canon Gauss</t>
  </si>
  <si>
    <t>PB</t>
  </si>
  <si>
    <t>GB</t>
  </si>
  <si>
    <t>MI</t>
  </si>
  <si>
    <t>MIP</t>
  </si>
  <si>
    <t>Hangars et capacités</t>
  </si>
  <si>
    <t>Capacité</t>
  </si>
  <si>
    <t>Tps pour remplir (j)</t>
  </si>
  <si>
    <t>Diamètre</t>
  </si>
  <si>
    <t>Cases max théorique</t>
  </si>
  <si>
    <t>Base lunaire</t>
  </si>
  <si>
    <t>Phalange</t>
  </si>
  <si>
    <t>Porte de Saut</t>
  </si>
  <si>
    <t>Satellite solaire</t>
  </si>
  <si>
    <t>Production détaillée</t>
  </si>
  <si>
    <t>Production</t>
  </si>
  <si>
    <t>Mine de Métal</t>
  </si>
  <si>
    <t>Mine de Cristal</t>
  </si>
  <si>
    <t>Synthétiseur de Deutérium</t>
  </si>
  <si>
    <t>T°C</t>
  </si>
  <si>
    <t>Niveau</t>
  </si>
  <si>
    <t>Base</t>
  </si>
  <si>
    <t>Géologue</t>
  </si>
  <si>
    <t>Total heure</t>
  </si>
  <si>
    <t>Total Heure</t>
  </si>
  <si>
    <t>Total Jour</t>
  </si>
  <si>
    <t>Par heure</t>
  </si>
  <si>
    <t>Par jour</t>
  </si>
  <si>
    <t>Par semaine</t>
  </si>
  <si>
    <t>Par mois</t>
  </si>
  <si>
    <t>Par an</t>
  </si>
  <si>
    <t>%</t>
  </si>
  <si>
    <t>Rentabilité</t>
  </si>
  <si>
    <t>Mine de …</t>
  </si>
  <si>
    <t>Niveau (n)</t>
  </si>
  <si>
    <t>Total ressources</t>
  </si>
  <si>
    <t>Astro + colo</t>
  </si>
  <si>
    <t>Métal1</t>
  </si>
  <si>
    <t>Cristal7</t>
  </si>
  <si>
    <t>Deut10</t>
  </si>
  <si>
    <t>Nb jours prod pour lancer mine (jours)</t>
  </si>
  <si>
    <t>Coût d'évolution</t>
  </si>
  <si>
    <t>Cristal1</t>
  </si>
  <si>
    <t>Métal9</t>
  </si>
  <si>
    <t>Cristal12</t>
  </si>
  <si>
    <t>Sans commerce</t>
  </si>
  <si>
    <t>Prix mine</t>
  </si>
  <si>
    <t>Augmentation production</t>
  </si>
  <si>
    <t>Consommation Énergie</t>
  </si>
  <si>
    <t>Métal2</t>
  </si>
  <si>
    <t>Deut4</t>
  </si>
  <si>
    <t>deut11</t>
  </si>
  <si>
    <t>Cristal2</t>
  </si>
  <si>
    <t>Métal10</t>
  </si>
  <si>
    <t>Métal15</t>
  </si>
  <si>
    <t>n-1 → n</t>
  </si>
  <si>
    <t>Métal3</t>
  </si>
  <si>
    <t>Cristal8</t>
  </si>
  <si>
    <t>Deut12</t>
  </si>
  <si>
    <t>Cristal3</t>
  </si>
  <si>
    <t>Deut5</t>
  </si>
  <si>
    <t>Métal16</t>
  </si>
  <si>
    <t>Métal4</t>
  </si>
  <si>
    <t>Deut6</t>
  </si>
  <si>
    <t>Cristal13</t>
  </si>
  <si>
    <t>Cristal4</t>
  </si>
  <si>
    <t>Métal11</t>
  </si>
  <si>
    <t>Deut13</t>
  </si>
  <si>
    <t>Métal5</t>
  </si>
  <si>
    <t>Cristal9</t>
  </si>
  <si>
    <t>Métal17</t>
  </si>
  <si>
    <t>Vitesse uni</t>
  </si>
  <si>
    <t>Cristal5</t>
  </si>
  <si>
    <t>Deut7</t>
  </si>
  <si>
    <t>Cristal14</t>
  </si>
  <si>
    <t>Métal6</t>
  </si>
  <si>
    <t>Métal12</t>
  </si>
  <si>
    <t>Deut14</t>
  </si>
  <si>
    <t>Géologue = 1</t>
  </si>
  <si>
    <t>Cristal6</t>
  </si>
  <si>
    <t>Deut8</t>
  </si>
  <si>
    <t>Métal18</t>
  </si>
  <si>
    <t>Métal7</t>
  </si>
  <si>
    <t>Cristal10</t>
  </si>
  <si>
    <t>Cristal15</t>
  </si>
  <si>
    <t>Deut1</t>
  </si>
  <si>
    <t>Métal13</t>
  </si>
  <si>
    <t>Deut15</t>
  </si>
  <si>
    <t>Métal8</t>
  </si>
  <si>
    <t>Deut9</t>
  </si>
  <si>
    <t>Métal19</t>
  </si>
  <si>
    <t>Deut2</t>
  </si>
  <si>
    <t>Cristal11</t>
  </si>
  <si>
    <t>Deut16</t>
  </si>
  <si>
    <t>Deut3</t>
  </si>
  <si>
    <t>Métal14</t>
  </si>
  <si>
    <t>Cristal16</t>
  </si>
  <si>
    <t>TECHNOLOGIES</t>
  </si>
  <si>
    <t>Espio</t>
  </si>
  <si>
    <t>Ordi</t>
  </si>
  <si>
    <t>Protection</t>
  </si>
  <si>
    <t>Techno Hyper</t>
  </si>
  <si>
    <t>Astro</t>
  </si>
  <si>
    <t>PT</t>
  </si>
  <si>
    <t>GT</t>
  </si>
  <si>
    <t>Clo</t>
  </si>
  <si>
    <t>VB</t>
  </si>
  <si>
    <t>VC</t>
  </si>
  <si>
    <t>SE</t>
  </si>
  <si>
    <t>Sat.solaire</t>
  </si>
  <si>
    <t>Recycleur</t>
  </si>
  <si>
    <t>Llé</t>
  </si>
  <si>
    <t>Llo</t>
  </si>
  <si>
    <t>Gauss</t>
  </si>
  <si>
    <t>Nanites</t>
  </si>
  <si>
    <t>CS</t>
  </si>
  <si>
    <t>Dock</t>
  </si>
  <si>
    <t>RECHERCHES</t>
  </si>
  <si>
    <t>Labo</t>
  </si>
  <si>
    <t>Niveau de l'usine de robots de la planète en question</t>
  </si>
  <si>
    <t>Niveau du Chantier spatial de la planète en question</t>
  </si>
  <si>
    <t>Niveau de l'usine de nanites de la planète en question</t>
  </si>
  <si>
    <t>Niveau du laboratoire de la planète en question</t>
  </si>
  <si>
    <t>VAISSEAUX ET DÉFENSES</t>
  </si>
  <si>
    <t>Croiseur</t>
  </si>
  <si>
    <t>Coût d'un bâtiment</t>
  </si>
  <si>
    <t>Coût du Fast-Clic</t>
  </si>
  <si>
    <t>Coût cumulé bâtiment</t>
  </si>
  <si>
    <t>Coût de démolition cumulé</t>
  </si>
  <si>
    <t>Temps</t>
  </si>
  <si>
    <t>Achever</t>
  </si>
  <si>
    <t>N actuel</t>
  </si>
  <si>
    <t>Niveau voulu</t>
  </si>
  <si>
    <t>Deut</t>
  </si>
  <si>
    <t>Temps(j)</t>
  </si>
  <si>
    <t>Synthé Deut</t>
  </si>
  <si>
    <t>Coût d'une recherche</t>
  </si>
  <si>
    <t>Coût cumulé d'une recherche</t>
  </si>
  <si>
    <t>N voulu</t>
  </si>
  <si>
    <t>Usines robots</t>
  </si>
  <si>
    <t>Labo Cumulé</t>
  </si>
  <si>
    <t>Tech hyperesp</t>
  </si>
  <si>
    <t>Technocrate</t>
  </si>
  <si>
    <t>Coût vaisseau</t>
  </si>
  <si>
    <t>Nombre</t>
  </si>
  <si>
    <t>Vitesse</t>
  </si>
  <si>
    <t>Coût d'un bâtiment lunaire</t>
  </si>
  <si>
    <t>Coût cumulé bâtiment lunaire</t>
  </si>
  <si>
    <t>Satellites</t>
  </si>
  <si>
    <t>Coût défense</t>
  </si>
  <si>
    <t>COUT D'UN PROJET MINIER</t>
  </si>
  <si>
    <t>Coût</t>
  </si>
  <si>
    <t>Centrale Électrique Solaire</t>
  </si>
  <si>
    <t>Coût total</t>
  </si>
  <si>
    <t>niveau n</t>
  </si>
  <si>
    <t>niveau voulu</t>
  </si>
  <si>
    <t>Planète 1</t>
  </si>
  <si>
    <t>Planète 2</t>
  </si>
  <si>
    <t>Planète 3</t>
  </si>
  <si>
    <t>Planète 4</t>
  </si>
  <si>
    <t>Planète 5</t>
  </si>
  <si>
    <t>Planète 6</t>
  </si>
  <si>
    <t>Planète 7</t>
  </si>
  <si>
    <t>Planète 8</t>
  </si>
  <si>
    <t>Planète 9</t>
  </si>
  <si>
    <t>Planète 10</t>
  </si>
  <si>
    <t>Planète 11</t>
  </si>
  <si>
    <t>Planète 12</t>
  </si>
  <si>
    <t>Planète 13</t>
  </si>
  <si>
    <t>Planète 14</t>
  </si>
  <si>
    <t>Planète 15</t>
  </si>
  <si>
    <t>ÉNERGIE</t>
  </si>
  <si>
    <t>Nbre GT</t>
  </si>
  <si>
    <t>CONSOMMÉE</t>
  </si>
  <si>
    <t>PRODUITE</t>
  </si>
  <si>
    <t>TOTALE</t>
  </si>
  <si>
    <t>ASTROPHYSIQUE</t>
  </si>
  <si>
    <t>Nbre GTs à faire pour transport ressources</t>
  </si>
  <si>
    <t>Marchand</t>
  </si>
  <si>
    <t>Joueurs</t>
  </si>
  <si>
    <t>Tps </t>
  </si>
  <si>
    <t>Tech+25 %</t>
  </si>
  <si>
    <t>Taux moyen</t>
  </si>
  <si>
    <t>1c = 1,6m</t>
  </si>
  <si>
    <t>1c = 1,8m</t>
  </si>
  <si>
    <t>1d = 1,7c </t>
  </si>
  <si>
    <t>1d = 1,4c</t>
  </si>
  <si>
    <t>1d = 3m</t>
  </si>
  <si>
    <t>1d = 2,1m</t>
  </si>
  <si>
    <t>Temps pour économiser (mois)</t>
  </si>
  <si>
    <t>Temps pour économiser (avec commerce) (m)</t>
  </si>
  <si>
    <t>Niveau Astro</t>
  </si>
  <si>
    <t>Total (mois)</t>
  </si>
  <si>
    <t>RENTABILITÉ ASTROPHYSIQUE</t>
  </si>
  <si>
    <t>Coût pour Augmenter toutes les colos à niveau +1</t>
  </si>
  <si>
    <t>Coût total Astro + 1 colo niveau actuel</t>
  </si>
  <si>
    <t>Niv +1</t>
  </si>
  <si>
    <t>Nb colos à up</t>
  </si>
  <si>
    <t>Prod en +</t>
  </si>
  <si>
    <t>métal</t>
  </si>
  <si>
    <t>cristal</t>
  </si>
  <si>
    <t>amélioration prod</t>
  </si>
  <si>
    <t>Amélioration prod</t>
  </si>
  <si>
    <t>Équivalent ressources</t>
  </si>
  <si>
    <t>Colo +1 (A)</t>
  </si>
  <si>
    <t>Ratio 1 (A/B)</t>
  </si>
  <si>
    <t>Astro + colo (B)</t>
  </si>
  <si>
    <t>Ratio 2/Ratio 1</t>
  </si>
  <si>
    <t>Si &gt; 1 : mines</t>
  </si>
  <si>
    <t>Si &lt; 1 : astro</t>
  </si>
  <si>
    <t>Équivalent ressources (augmentation prod)</t>
  </si>
  <si>
    <t>Colo +1 (C)</t>
  </si>
  <si>
    <t>Ratio 2 (C/D)</t>
  </si>
  <si>
    <t>Astro + colo (D)</t>
  </si>
  <si>
    <t>COMMERCE</t>
  </si>
  <si>
    <t>RESSOURCES VENDUES</t>
  </si>
  <si>
    <t>Nb GT</t>
  </si>
  <si>
    <t>PROPORTIONS</t>
  </si>
  <si>
    <t>TAUX</t>
  </si>
  <si>
    <t>RESSOURCES ACHETÉES</t>
  </si>
  <si>
    <t>MÉTAL</t>
  </si>
  <si>
    <t>CRISTAL</t>
  </si>
  <si>
    <t>DEUTÉRIUM</t>
  </si>
  <si>
    <t>Pourcentage de destruction de la lune</t>
  </si>
  <si>
    <t>Pourcentage destruction RIP</t>
  </si>
  <si>
    <t>Taille de la lune</t>
  </si>
  <si>
    <t>%age</t>
  </si>
  <si>
    <t>Nombre de RIP</t>
  </si>
  <si>
    <t>TECHNOLOGIE GRAVITON</t>
  </si>
  <si>
    <t>ÉNERGIE NÉCESSAIRE EN FONCTON DU NIVEAU DE GRAVITON</t>
  </si>
  <si>
    <t>Je veux graviton niveau :</t>
  </si>
  <si>
    <t>Niveau CES</t>
  </si>
  <si>
    <t>Il me faut donc :</t>
  </si>
  <si>
    <t>Énergie sans ingé</t>
  </si>
  <si>
    <t>Graviton 1</t>
  </si>
  <si>
    <t>Graviton 5</t>
  </si>
  <si>
    <t>il me faut donc (Énergie) :</t>
  </si>
  <si>
    <t>Niveau CEF</t>
  </si>
  <si>
    <t>Énergie avec ingé</t>
  </si>
  <si>
    <t>Graviton 2</t>
  </si>
  <si>
    <t>Graviton 6</t>
  </si>
  <si>
    <t>La Tmax de ma planète est (°C) :</t>
  </si>
  <si>
    <t>Nombre de Satellites</t>
  </si>
  <si>
    <t>soit :</t>
  </si>
  <si>
    <t>Satellites à faire</t>
  </si>
  <si>
    <t>Graviton 3</t>
  </si>
  <si>
    <t>Graviton 7</t>
  </si>
  <si>
    <t>Ma technologie Énergie est :</t>
  </si>
  <si>
    <t>Niveau Nanites</t>
  </si>
  <si>
    <t>Graviton 4</t>
  </si>
  <si>
    <t>Graviton 8</t>
  </si>
  <si>
    <t>Rien : 0, Ingénieur : 1, Tous : 2</t>
  </si>
  <si>
    <t>Chantier Spatial </t>
  </si>
  <si>
    <t>Vitesse Univers</t>
  </si>
  <si>
    <t>Grands Transp.</t>
  </si>
  <si>
    <t>Durée (heures) =</t>
  </si>
  <si>
    <t>Portée phalange capteur</t>
  </si>
  <si>
    <t>Niveau de la phalange</t>
  </si>
  <si>
    <t>Portée</t>
  </si>
  <si>
    <t>Système solaire de la lune</t>
  </si>
  <si>
    <t>Du SS</t>
  </si>
  <si>
    <t>Au SS</t>
  </si>
  <si>
    <t>Portée MIP</t>
  </si>
  <si>
    <t>Niveau Technologie Impulsion</t>
  </si>
  <si>
    <t>Système solaire de la planète</t>
  </si>
  <si>
    <t>Vitesse des MIP</t>
  </si>
  <si>
    <t>Système solaire le plus petit</t>
  </si>
  <si>
    <t>Système solaire le plus élevé</t>
  </si>
  <si>
    <t>Nombre de SS à parcourir</t>
  </si>
  <si>
    <t>Temps en (s)</t>
  </si>
  <si>
    <t>Points bâtiments</t>
  </si>
  <si>
    <t>Points flotte</t>
  </si>
  <si>
    <t>Vaisseaux colo</t>
  </si>
  <si>
    <t>Bombardiers</t>
  </si>
  <si>
    <t>Points Lunes</t>
  </si>
  <si>
    <t>Points défense</t>
  </si>
  <si>
    <t>Total Colonie</t>
  </si>
  <si>
    <t>Points recherche</t>
  </si>
  <si>
    <t>Combution</t>
  </si>
  <si>
    <t>Prop. Hyperesp</t>
  </si>
</sst>
</file>

<file path=xl/styles.xml><?xml version="1.0" encoding="utf-8"?>
<styleSheet xmlns="http://schemas.openxmlformats.org/spreadsheetml/2006/main">
  <numFmts count="14">
    <numFmt numFmtId="164" formatCode="#,##0"/>
    <numFmt numFmtId="165" formatCode="#,##0;[RED]\-#,##0"/>
    <numFmt numFmtId="166" formatCode="GENERAL"/>
    <numFmt numFmtId="167" formatCode="#,##0.00"/>
    <numFmt numFmtId="168" formatCode="0.00%"/>
    <numFmt numFmtId="169" formatCode="@"/>
    <numFmt numFmtId="170" formatCode="DD/MM/YY\ HH:MM"/>
    <numFmt numFmtId="171" formatCode="0.00"/>
    <numFmt numFmtId="172" formatCode="#,##0.000"/>
    <numFmt numFmtId="173" formatCode="0"/>
    <numFmt numFmtId="174" formatCode="&quot;VRAI&quot;;&quot;VRAI&quot;;&quot;FAUX&quot;"/>
    <numFmt numFmtId="175" formatCode="0&quot;j &quot;00&quot;h &quot;00&quot;m &quot;00\s"/>
    <numFmt numFmtId="176" formatCode="#,##0.0"/>
    <numFmt numFmtId="177" formatCode="#,##0.00000"/>
  </numFmts>
  <fonts count="3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Lohit Hindi"/>
      <family val="2"/>
    </font>
    <font>
      <sz val="10"/>
      <color rgb="FFFF420E"/>
      <name val="Lohit Hindi"/>
      <family val="2"/>
    </font>
    <font>
      <sz val="10"/>
      <color rgb="FF008000"/>
      <name val="Lohit Hindi"/>
      <family val="2"/>
    </font>
    <font>
      <sz val="10"/>
      <color rgb="FFFFFFFF"/>
      <name val="Lohit Hindi"/>
      <family val="2"/>
    </font>
    <font>
      <sz val="10"/>
      <name val="Lohit Hindi"/>
      <family val="2"/>
    </font>
    <font>
      <b val="true"/>
      <sz val="10"/>
      <name val="Arial"/>
      <family val="2"/>
    </font>
    <font>
      <sz val="10"/>
      <color rgb="FF009900"/>
      <name val="Lohit Hindi"/>
      <family val="2"/>
    </font>
    <font>
      <b val="true"/>
      <sz val="7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7"/>
      <color rgb="FFFFFFFF"/>
      <name val="Arial"/>
      <family val="2"/>
    </font>
    <font>
      <sz val="7"/>
      <name val="Arial"/>
      <family val="2"/>
    </font>
    <font>
      <b val="true"/>
      <sz val="7"/>
      <color rgb="FF008000"/>
      <name val="Arial"/>
      <family val="2"/>
    </font>
    <font>
      <b val="true"/>
      <sz val="13"/>
      <color rgb="FF008000"/>
      <name val="Arial"/>
      <family val="2"/>
    </font>
    <font>
      <b val="true"/>
      <sz val="7"/>
      <name val="Arial"/>
      <family val="2"/>
    </font>
    <font>
      <i val="true"/>
      <sz val="7"/>
      <color rgb="FFFFFFFF"/>
      <name val="Arial"/>
      <family val="2"/>
    </font>
    <font>
      <b val="true"/>
      <sz val="8"/>
      <color rgb="FF6B0094"/>
      <name val="Arial"/>
      <family val="2"/>
    </font>
    <font>
      <b val="true"/>
      <i val="true"/>
      <sz val="7"/>
      <color rgb="FFFFFFFF"/>
      <name val="Arial"/>
      <family val="2"/>
    </font>
    <font>
      <i val="true"/>
      <sz val="7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  <font>
      <b val="true"/>
      <sz val="7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7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7"/>
      <color rgb="FFFF3333"/>
      <name val="Arial"/>
      <family val="2"/>
    </font>
    <font>
      <b val="true"/>
      <sz val="7"/>
      <color rgb="FF009900"/>
      <name val="Arial"/>
      <family val="2"/>
    </font>
    <font>
      <b val="true"/>
      <sz val="10"/>
      <color rgb="FFFFFFFF"/>
      <name val="Arial"/>
      <family val="2"/>
    </font>
    <font>
      <b val="true"/>
      <i val="true"/>
      <u val="single"/>
      <sz val="7"/>
      <name val="Arial"/>
      <family val="2"/>
    </font>
    <font>
      <b val="true"/>
      <sz val="8"/>
      <color rgb="FFC5000B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8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66"/>
        <bgColor rgb="FFFFFF99"/>
      </patternFill>
    </fill>
    <fill>
      <patternFill patternType="solid">
        <fgColor rgb="FF008000"/>
        <bgColor rgb="FF009900"/>
      </patternFill>
    </fill>
    <fill>
      <patternFill patternType="solid">
        <fgColor rgb="FFFF0000"/>
        <bgColor rgb="FFC5000B"/>
      </patternFill>
    </fill>
    <fill>
      <patternFill patternType="solid">
        <fgColor rgb="FF00CC00"/>
        <bgColor rgb="FF009900"/>
      </patternFill>
    </fill>
    <fill>
      <patternFill patternType="solid">
        <fgColor rgb="FFC5000B"/>
        <bgColor rgb="FF990000"/>
      </patternFill>
    </fill>
    <fill>
      <patternFill patternType="solid">
        <fgColor rgb="FF009900"/>
        <bgColor rgb="FF008000"/>
      </patternFill>
    </fill>
    <fill>
      <patternFill patternType="solid">
        <fgColor rgb="FFCCCCCC"/>
        <bgColor rgb="FFC0C0C0"/>
      </patternFill>
    </fill>
    <fill>
      <patternFill patternType="solid">
        <fgColor rgb="FFEB613D"/>
        <bgColor rgb="FFFF6666"/>
      </patternFill>
    </fill>
    <fill>
      <patternFill patternType="solid">
        <fgColor rgb="FF7F0002"/>
        <bgColor rgb="FF990000"/>
      </patternFill>
    </fill>
    <fill>
      <patternFill patternType="solid">
        <fgColor rgb="FFC0C0C0"/>
        <bgColor rgb="FFCCCCCC"/>
      </patternFill>
    </fill>
    <fill>
      <patternFill patternType="solid">
        <fgColor rgb="FFE6E64C"/>
        <bgColor rgb="FFFFFF66"/>
      </patternFill>
    </fill>
    <fill>
      <patternFill patternType="solid">
        <fgColor rgb="FFFF9966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DDDDDD"/>
      </patternFill>
    </fill>
    <fill>
      <patternFill patternType="solid">
        <fgColor rgb="FFFFFF99"/>
        <bgColor rgb="FFFFFF66"/>
      </patternFill>
    </fill>
    <fill>
      <patternFill patternType="solid">
        <fgColor rgb="FFCCFFFF"/>
        <bgColor rgb="FFCCFFCC"/>
      </patternFill>
    </fill>
    <fill>
      <patternFill patternType="solid">
        <fgColor rgb="FF9999E9"/>
        <bgColor rgb="FFCC99CC"/>
      </patternFill>
    </fill>
    <fill>
      <patternFill patternType="solid">
        <fgColor rgb="FF000000"/>
        <bgColor rgb="FF333333"/>
      </patternFill>
    </fill>
    <fill>
      <patternFill patternType="solid">
        <fgColor rgb="FF666666"/>
        <bgColor rgb="FF4C4C4C"/>
      </patternFill>
    </fill>
    <fill>
      <patternFill patternType="solid">
        <fgColor rgb="FF333333"/>
        <bgColor rgb="FF4C4C4C"/>
      </patternFill>
    </fill>
    <fill>
      <patternFill patternType="darkGray">
        <fgColor rgb="FFD84807"/>
        <bgColor rgb="FFFF3E10"/>
      </patternFill>
    </fill>
    <fill>
      <patternFill patternType="solid">
        <fgColor rgb="FF669933"/>
        <bgColor rgb="FF5C8526"/>
      </patternFill>
    </fill>
    <fill>
      <patternFill patternType="solid">
        <fgColor rgb="FF95FF6A"/>
        <bgColor rgb="FFCCFF99"/>
      </patternFill>
    </fill>
    <fill>
      <patternFill patternType="solid">
        <fgColor rgb="FFCC9999"/>
        <bgColor rgb="FFCC99CC"/>
      </patternFill>
    </fill>
    <fill>
      <patternFill patternType="solid">
        <fgColor rgb="FFD84807"/>
        <bgColor rgb="FFEB613D"/>
      </patternFill>
    </fill>
    <fill>
      <patternFill patternType="solid">
        <fgColor rgb="FF4C4C4C"/>
        <bgColor rgb="FF333333"/>
      </patternFill>
    </fill>
    <fill>
      <patternFill patternType="solid">
        <fgColor rgb="FF004A4A"/>
        <bgColor rgb="FF006B6B"/>
      </patternFill>
    </fill>
    <fill>
      <patternFill patternType="solid">
        <fgColor rgb="FF355E00"/>
        <bgColor rgb="FF4C4C4C"/>
      </patternFill>
    </fill>
    <fill>
      <patternFill patternType="solid">
        <fgColor rgb="FFB3B3B3"/>
        <bgColor rgb="FFC0C0C0"/>
      </patternFill>
    </fill>
    <fill>
      <patternFill patternType="darkGray">
        <fgColor rgb="FF8F8F8F"/>
        <bgColor rgb="FFB3B3B3"/>
      </patternFill>
    </fill>
    <fill>
      <patternFill patternType="darkGray">
        <fgColor rgb="FF3DC29D"/>
        <bgColor rgb="FF33A3A3"/>
      </patternFill>
    </fill>
    <fill>
      <patternFill patternType="solid">
        <fgColor rgb="FF33A3A3"/>
        <bgColor rgb="FF3DC29D"/>
      </patternFill>
    </fill>
    <fill>
      <patternFill patternType="solid">
        <fgColor rgb="FF198A8A"/>
        <bgColor rgb="FF33A3A3"/>
      </patternFill>
    </fill>
    <fill>
      <patternFill patternType="solid">
        <fgColor rgb="FF006B6B"/>
        <bgColor rgb="FF004A4A"/>
      </patternFill>
    </fill>
    <fill>
      <patternFill patternType="darkGray">
        <fgColor rgb="FF96C676"/>
        <bgColor rgb="FF7DA647"/>
      </patternFill>
    </fill>
    <fill>
      <patternFill patternType="solid">
        <fgColor rgb="FF7DA647"/>
        <bgColor rgb="FF669933"/>
      </patternFill>
    </fill>
    <fill>
      <patternFill patternType="solid">
        <fgColor rgb="FF5C8526"/>
        <bgColor rgb="FF669933"/>
      </patternFill>
    </fill>
    <fill>
      <patternFill patternType="mediumGray">
        <fgColor rgb="FFDDDDDD"/>
        <bgColor rgb="FFE9EBFD"/>
      </patternFill>
    </fill>
    <fill>
      <patternFill patternType="solid">
        <fgColor rgb="FF9966CC"/>
        <bgColor rgb="FF975C8A"/>
      </patternFill>
    </fill>
    <fill>
      <patternFill patternType="solid">
        <fgColor rgb="FFB3B300"/>
        <bgColor rgb="FF7DA647"/>
      </patternFill>
    </fill>
    <fill>
      <patternFill patternType="solid">
        <fgColor rgb="FFCCCCFF"/>
        <bgColor rgb="FFCCCCCC"/>
      </patternFill>
    </fill>
    <fill>
      <patternFill patternType="solid">
        <fgColor rgb="FFCCFFCC"/>
        <bgColor rgb="FFCCFFFF"/>
      </patternFill>
    </fill>
    <fill>
      <patternFill patternType="darkGray">
        <fgColor rgb="FFFF99A8"/>
        <bgColor rgb="FFFF9966"/>
      </patternFill>
    </fill>
    <fill>
      <patternFill patternType="solid">
        <fgColor rgb="FFCC9966"/>
        <bgColor rgb="FFCC9999"/>
      </patternFill>
    </fill>
    <fill>
      <patternFill patternType="darkGray">
        <fgColor rgb="FF9999E9"/>
        <bgColor rgb="FF8F8F8F"/>
      </patternFill>
    </fill>
    <fill>
      <patternFill patternType="darkGray">
        <fgColor rgb="FF96C676"/>
        <bgColor rgb="FFB3B3B3"/>
      </patternFill>
    </fill>
    <fill>
      <patternFill patternType="solid">
        <fgColor rgb="FFFF6666"/>
        <bgColor rgb="FFEB613D"/>
      </patternFill>
    </fill>
    <fill>
      <patternFill patternType="mediumGray">
        <fgColor rgb="FFFF99A8"/>
        <bgColor rgb="FFFF99FF"/>
      </patternFill>
    </fill>
    <fill>
      <patternFill patternType="darkGray">
        <fgColor rgb="FFE9EBFD"/>
        <bgColor rgb="FFFFFFFF"/>
      </patternFill>
    </fill>
    <fill>
      <patternFill patternType="solid">
        <fgColor rgb="FF3DC29D"/>
        <bgColor rgb="FF33A3A3"/>
      </patternFill>
    </fill>
    <fill>
      <patternFill patternType="solid">
        <fgColor rgb="FFFFFFFF"/>
        <bgColor rgb="FFE9EBFD"/>
      </patternFill>
    </fill>
    <fill>
      <patternFill patternType="solid">
        <fgColor rgb="FF990000"/>
        <bgColor rgb="FF7F0002"/>
      </patternFill>
    </fill>
    <fill>
      <patternFill patternType="solid">
        <fgColor rgb="FFFF8080"/>
        <bgColor rgb="FFFF9966"/>
      </patternFill>
    </fill>
    <fill>
      <patternFill patternType="darkGray">
        <fgColor rgb="FF8F8F8F"/>
        <bgColor rgb="FF666666"/>
      </patternFill>
    </fill>
    <fill>
      <patternFill patternType="solid">
        <fgColor rgb="FFCC6699"/>
        <bgColor rgb="FF975C8A"/>
      </patternFill>
    </fill>
    <fill>
      <patternFill patternType="solid">
        <fgColor rgb="FFCC99CC"/>
        <bgColor rgb="FFCC9999"/>
      </patternFill>
    </fill>
    <fill>
      <patternFill patternType="darkGray">
        <fgColor rgb="FF975C8A"/>
        <bgColor rgb="FF9966CC"/>
      </patternFill>
    </fill>
    <fill>
      <patternFill patternType="darkGray">
        <fgColor rgb="FFE9EBFD"/>
        <bgColor rgb="FFDDDDDD"/>
      </patternFill>
    </fill>
    <fill>
      <patternFill patternType="solid">
        <fgColor rgb="FF99FFCC"/>
        <bgColor rgb="FFCCFFCC"/>
      </patternFill>
    </fill>
    <fill>
      <patternFill patternType="mediumGray">
        <fgColor rgb="FF95FF6A"/>
        <bgColor rgb="FF99FFCC"/>
      </patternFill>
    </fill>
    <fill>
      <patternFill patternType="solid">
        <fgColor rgb="FFFF99FF"/>
        <bgColor rgb="FFFF99A8"/>
      </patternFill>
    </fill>
    <fill>
      <patternFill patternType="solid">
        <fgColor rgb="FFCCFF99"/>
        <bgColor rgb="FFCCFFCC"/>
      </patternFill>
    </fill>
    <fill>
      <patternFill patternType="solid">
        <fgColor rgb="FFFFCCFF"/>
        <bgColor rgb="FFDDDDDD"/>
      </patternFill>
    </fill>
    <fill>
      <patternFill patternType="solid">
        <fgColor rgb="FFDDDDDD"/>
        <bgColor rgb="FFE9EBFD"/>
      </patternFill>
    </fill>
    <fill>
      <patternFill patternType="solid">
        <fgColor rgb="FF975C8A"/>
        <bgColor rgb="FF66666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true" diagonalDown="true">
      <left style="hair"/>
      <right style="hair"/>
      <top style="hair"/>
      <bottom style="hair"/>
      <diagonal style="hair"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>
        <color rgb="FF666666"/>
      </right>
      <top/>
      <bottom style="hair"/>
      <diagonal/>
    </border>
    <border diagonalUp="false" diagonalDown="false">
      <left style="hair">
        <color rgb="FF666666"/>
      </left>
      <right/>
      <top/>
      <bottom style="hair"/>
      <diagonal/>
    </border>
    <border diagonalUp="false" diagonalDown="false">
      <left/>
      <right/>
      <top style="hair"/>
      <bottom/>
      <diagonal/>
    </border>
  </borders>
  <cellStyleXfs count="34"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4" fillId="0" borderId="0" applyFont="true" applyBorder="false" applyAlignment="true" applyProtection="false">
      <alignment horizontal="center" vertical="center" textRotation="0" wrapText="false" indent="0" shrinkToFit="false"/>
    </xf>
    <xf numFmtId="166" fontId="5" fillId="0" borderId="0" applyFont="true" applyBorder="false" applyAlignment="true" applyProtection="false">
      <alignment horizontal="center" vertical="center" textRotation="0" wrapText="false" indent="0" shrinkToFit="false"/>
    </xf>
    <xf numFmtId="166" fontId="6" fillId="0" borderId="0" applyFont="true" applyBorder="false" applyAlignment="true" applyProtection="false">
      <alignment horizontal="center" vertical="center" textRotation="0" wrapText="false" indent="0" shrinkToFit="false"/>
    </xf>
    <xf numFmtId="164" fontId="6" fillId="2" borderId="1" applyFont="true" applyBorder="true" applyAlignment="true" applyProtection="false">
      <alignment horizontal="center" vertical="center" textRotation="0" wrapText="false" indent="0" shrinkToFit="false"/>
    </xf>
    <xf numFmtId="164" fontId="4" fillId="2" borderId="1" applyFont="true" applyBorder="true" applyAlignment="true" applyProtection="false">
      <alignment horizontal="center" vertical="center" textRotation="0" wrapText="false" indent="0" shrinkToFit="false"/>
    </xf>
    <xf numFmtId="166" fontId="7" fillId="3" borderId="0" applyFont="true" applyBorder="false" applyAlignment="false" applyProtection="false"/>
    <xf numFmtId="166" fontId="7" fillId="4" borderId="0" applyFont="true" applyBorder="false" applyAlignment="false" applyProtection="false"/>
    <xf numFmtId="166" fontId="8" fillId="4" border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9" fillId="5" borderId="0" applyFont="true" applyBorder="false" applyAlignment="true" applyProtection="false">
      <alignment horizontal="center" vertical="center" textRotation="0" wrapText="false" indent="0" shrinkToFit="false"/>
    </xf>
    <xf numFmtId="166" fontId="8" fillId="6" borderId="0" applyFont="true" applyBorder="false" applyAlignment="true" applyProtection="false">
      <alignment horizontal="center" vertical="center" textRotation="0" wrapText="false" indent="0" shrinkToFit="false"/>
    </xf>
    <xf numFmtId="166" fontId="8" fillId="6" borderId="0" applyFont="true" applyBorder="false" applyAlignment="true" applyProtection="false">
      <alignment horizontal="center" vertical="center" textRotation="0" wrapText="false" indent="0" shrinkToFit="false"/>
    </xf>
    <xf numFmtId="166" fontId="8" fillId="7" borderId="0" applyFont="true" applyBorder="false" applyAlignment="true" applyProtection="false">
      <alignment horizontal="center" vertical="center" textRotation="0" wrapText="false" indent="0" shrinkToFit="false"/>
    </xf>
    <xf numFmtId="164" fontId="10" fillId="8" borderId="0" applyFont="true" applyBorder="false" applyAlignment="true" applyProtection="false">
      <alignment horizontal="center" vertical="center" textRotation="0" wrapText="false" indent="0" shrinkToFit="false"/>
    </xf>
    <xf numFmtId="165" fontId="8" fillId="8" borderId="0" applyFont="true" applyBorder="false" applyAlignment="true" applyProtection="false">
      <alignment horizontal="center" vertical="center" textRotation="0" wrapText="false" indent="0" shrinkToFit="false"/>
    </xf>
  </cellStyleXfs>
  <cellXfs count="289"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11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4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11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2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4" fillId="2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4" fillId="2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1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1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0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8" fillId="2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0" fillId="2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11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17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4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7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6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" borderId="1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6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7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4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4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4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4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1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4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4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5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5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3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3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5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4" fillId="5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2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2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5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5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5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5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4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4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4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4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6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5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4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4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4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4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6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0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6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2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Inférieur à 5" xfId="20" builtinId="54" customBuiltin="true"/>
    <cellStyle name="Inférieur à 15" xfId="21" builtinId="54" customBuiltin="true"/>
    <cellStyle name="Supérieur à 15" xfId="22" builtinId="54" customBuiltin="true"/>
    <cellStyle name="Sup 0" xfId="23" builtinId="54" customBuiltin="true"/>
    <cellStyle name="Inf0" xfId="24" builtinId="54" customBuiltin="true"/>
    <cellStyle name="Supérieur" xfId="25" builtinId="54" customBuiltin="true"/>
    <cellStyle name="Inférieur" xfId="26" builtinId="54" customBuiltin="true"/>
    <cellStyle name="Inf 33" xfId="27" builtinId="54" customBuiltin="true"/>
    <cellStyle name="Vrai" xfId="28" builtinId="54" customBuiltin="true"/>
    <cellStyle name="Faux" xfId="29" builtinId="54" customBuiltin="true"/>
    <cellStyle name="faux1" xfId="30" builtinId="54" customBuiltin="true"/>
    <cellStyle name="Vrai1" xfId="31" builtinId="54" customBuiltin="true"/>
    <cellStyle name="nrjpositive" xfId="32" builtinId="54" customBuiltin="true"/>
    <cellStyle name="nrjnegative" xfId="33" builtinId="54" customBuiltin="true"/>
  </cellStyles>
  <dxfs count="9">
    <dxf>
      <alignment horizontal="center" vertical="center" textRotation="0" wrapText="false" indent="0" shrinkToFit="false"/>
    </dxf>
    <dxf>
      <alignment horizontal="center" vertical="center" textRotation="0" wrapText="false" indent="0" shrinkToFit="false"/>
    </dxf>
    <dxf/>
    <dxf>
      <fill>
        <patternFill>
          <bgColor rgb="FFC5000B"/>
        </patternFill>
      </fill>
      <alignment horizontal="center" vertical="center" textRotation="0" wrapText="false" indent="0" shrinkToFit="false"/>
    </dxf>
    <dxf>
      <font>
        <b val="true"/>
        <sz val="10"/>
        <name val="Arial"/>
        <family val="2"/>
      </font>
      <fill>
        <patternFill>
          <bgColor rgb="FF00CC00"/>
        </patternFill>
      </fill>
      <alignment horizontal="center" vertical="center" textRotation="0" wrapText="false" indent="0" shrinkToFit="false"/>
    </dxf>
    <dxf>
      <fill>
        <patternFill>
          <bgColor rgb="FF009900"/>
        </patternFill>
      </fill>
      <alignment horizontal="center" vertical="center" textRotation="0" wrapText="false" indent="0" shrinkToFit="false"/>
    </dxf>
    <dxf>
      <fill>
        <patternFill>
          <bgColor rgb="FFC5000B"/>
        </patternFill>
      </fill>
      <alignment horizontal="center" vertical="center" textRotation="0" wrapText="false" indent="0" shrinkToFit="false"/>
    </dxf>
    <dxf>
      <numFmt numFmtId="164" formatCode="#,##0"/>
      <fill>
        <patternFill>
          <bgColor rgb="FFCCCCCC"/>
        </patternFill>
      </fill>
      <alignment horizontal="center" vertical="center" textRotation="0" wrapText="false" indent="0" shrinkToFit="false"/>
    </dxf>
    <dxf>
      <numFmt numFmtId="165" formatCode="#,##0;[RED]\-#,##0"/>
      <fill>
        <patternFill>
          <bgColor rgb="FFCCCCCC"/>
        </patternFill>
      </fill>
      <alignment horizontal="center" vertical="center" textRotation="0" wrapText="false" indent="0" shrinkToFit="false"/>
    </dxf>
  </dxfs>
  <colors>
    <indexedColors>
      <rgbColor rgb="FF000000"/>
      <rgbColor rgb="FFFFFFFF"/>
      <rgbColor rgb="FFFF0000"/>
      <rgbColor rgb="FF00CC00"/>
      <rgbColor rgb="FFCCCCCC"/>
      <rgbColor rgb="FFFFFF66"/>
      <rgbColor rgb="FFFF6666"/>
      <rgbColor rgb="FF99FFCC"/>
      <rgbColor rgb="FF7F0002"/>
      <rgbColor rgb="FF008000"/>
      <rgbColor rgb="FFB3B3B3"/>
      <rgbColor rgb="FF5C8526"/>
      <rgbColor rgb="FFC5000B"/>
      <rgbColor rgb="FF198A8A"/>
      <rgbColor rgb="FFC0C0C0"/>
      <rgbColor rgb="FF975C8A"/>
      <rgbColor rgb="FF9999E9"/>
      <rgbColor rgb="FFCC6699"/>
      <rgbColor rgb="FFDDDDDD"/>
      <rgbColor rgb="FFCCFFFF"/>
      <rgbColor rgb="FFCC9999"/>
      <rgbColor rgb="FFFF8080"/>
      <rgbColor rgb="FF009900"/>
      <rgbColor rgb="FFCCCCFF"/>
      <rgbColor rgb="FFCCFF99"/>
      <rgbColor rgb="FFFF99FF"/>
      <rgbColor rgb="FFE6E64C"/>
      <rgbColor rgb="FF95FF6A"/>
      <rgbColor rgb="FFFF3E10"/>
      <rgbColor rgb="FF990000"/>
      <rgbColor rgb="FF006B6B"/>
      <rgbColor rgb="FFFFCCFF"/>
      <rgbColor rgb="FF96C676"/>
      <rgbColor rgb="FFE9EBFD"/>
      <rgbColor rgb="FFCCFFCC"/>
      <rgbColor rgb="FFFFFF99"/>
      <rgbColor rgb="FF99CCFF"/>
      <rgbColor rgb="FFFF99A8"/>
      <rgbColor rgb="FFCC99CC"/>
      <rgbColor rgb="FFFFCC99"/>
      <rgbColor rgb="FF669933"/>
      <rgbColor rgb="FF3DC29D"/>
      <rgbColor rgb="FFB3B300"/>
      <rgbColor rgb="FFCC9966"/>
      <rgbColor rgb="FFFF9966"/>
      <rgbColor rgb="FFEB613D"/>
      <rgbColor rgb="FF666666"/>
      <rgbColor rgb="FF8F8F8F"/>
      <rgbColor rgb="FF004A4A"/>
      <rgbColor rgb="FF33A3A3"/>
      <rgbColor rgb="FF7DA647"/>
      <rgbColor rgb="FF355E00"/>
      <rgbColor rgb="FFD84807"/>
      <rgbColor rgb="FF9966CC"/>
      <rgbColor rgb="FF4C4C4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0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T25" activeCellId="0" sqref="T25"/>
    </sheetView>
  </sheetViews>
  <sheetFormatPr defaultRowHeight="12.8"/>
  <cols>
    <col collapsed="false" hidden="false" max="1" min="1" style="1" width="13.1938775510204"/>
    <col collapsed="false" hidden="false" max="17" min="2" style="1" width="8.31632653061224"/>
    <col collapsed="false" hidden="false" max="18" min="18" style="1" width="1.38775510204082"/>
    <col collapsed="false" hidden="false" max="19" min="19" style="1" width="11.530612244898"/>
    <col collapsed="false" hidden="false" max="20" min="20" style="1" width="9.02551020408163"/>
    <col collapsed="false" hidden="false" max="21" min="21" style="1" width="10"/>
    <col collapsed="false" hidden="false" max="1025" min="22" style="1" width="11.5204081632653"/>
  </cols>
  <sheetData>
    <row r="1" s="4" customFormat="true" ht="8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 t="s">
        <v>1</v>
      </c>
      <c r="T1" s="2"/>
      <c r="U1" s="2"/>
    </row>
    <row r="2" customFormat="false" ht="8.5" hidden="false" customHeight="true" outlineLevel="0" collapsed="false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8" t="s">
        <v>3</v>
      </c>
      <c r="T2" s="9" t="n">
        <f aca="false">SUM(Points!Q4:Q6)</f>
        <v>0</v>
      </c>
      <c r="U2" s="10" t="e">
        <f aca="false">T2/S9</f>
        <v>#DIV/0!</v>
      </c>
    </row>
    <row r="3" customFormat="false" ht="8.5" hidden="false" customHeight="true" outlineLevel="0" collapsed="false">
      <c r="A3" s="5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5</v>
      </c>
      <c r="R3" s="7"/>
      <c r="S3" s="13" t="s">
        <v>6</v>
      </c>
      <c r="T3" s="14" t="n">
        <f aca="false">SUM(Points!Q7:Q18)</f>
        <v>0</v>
      </c>
      <c r="U3" s="15" t="e">
        <f aca="false">T3/S9</f>
        <v>#DIV/0!</v>
      </c>
    </row>
    <row r="4" customFormat="false" ht="8.5" hidden="false" customHeight="true" outlineLevel="0" collapsed="false">
      <c r="A4" s="5" t="s">
        <v>7</v>
      </c>
      <c r="B4" s="11"/>
      <c r="C4" s="11"/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  <c r="O4" s="11" t="s">
        <v>8</v>
      </c>
      <c r="P4" s="11" t="s">
        <v>8</v>
      </c>
      <c r="Q4" s="16" t="n">
        <f aca="false">SUM(B4:N4)</f>
        <v>0</v>
      </c>
      <c r="R4" s="7"/>
      <c r="S4" s="17" t="s">
        <v>9</v>
      </c>
      <c r="T4" s="18" t="n">
        <f aca="false">SUM(Points!Q21:Q34)</f>
        <v>0</v>
      </c>
      <c r="U4" s="19" t="e">
        <f aca="false">T4/S9</f>
        <v>#DIV/0!</v>
      </c>
    </row>
    <row r="5" customFormat="false" ht="8.5" hidden="false" customHeight="true" outlineLevel="0" collapsed="false">
      <c r="A5" s="5" t="s">
        <v>10</v>
      </c>
      <c r="B5" s="20" t="n">
        <f aca="false">B4+ROUNDDOWN ( 5.5 * B31)</f>
        <v>0</v>
      </c>
      <c r="C5" s="20" t="n">
        <f aca="false">C4+ROUNDDOWN ( 5.5 * C31)</f>
        <v>0</v>
      </c>
      <c r="D5" s="20" t="n">
        <f aca="false">D4+ROUNDDOWN ( 5.5 * D31)</f>
        <v>0</v>
      </c>
      <c r="E5" s="20" t="n">
        <f aca="false">E4+ROUNDDOWN ( 5.5 * E31)</f>
        <v>0</v>
      </c>
      <c r="F5" s="20" t="n">
        <f aca="false">F4+ROUNDDOWN ( 5.5 * F31)</f>
        <v>0</v>
      </c>
      <c r="G5" s="20" t="n">
        <f aca="false">G4+ROUNDDOWN ( 5.5 * G31)</f>
        <v>0</v>
      </c>
      <c r="H5" s="20" t="n">
        <f aca="false">H4+ROUNDDOWN ( 5.5 * H31)</f>
        <v>0</v>
      </c>
      <c r="I5" s="20" t="n">
        <f aca="false">I4+ROUNDDOWN ( 5.5 * I31)</f>
        <v>0</v>
      </c>
      <c r="J5" s="20" t="n">
        <f aca="false">J4+ROUNDDOWN ( 5.5 * J31)</f>
        <v>0</v>
      </c>
      <c r="K5" s="20" t="n">
        <f aca="false">K4+ROUNDDOWN ( 5.5 * K31)</f>
        <v>0</v>
      </c>
      <c r="L5" s="20" t="n">
        <f aca="false">L4+ROUNDDOWN ( 5.5 * L31)</f>
        <v>0</v>
      </c>
      <c r="M5" s="20" t="n">
        <f aca="false">M4+ROUNDDOWN ( 5.5 * M31)</f>
        <v>0</v>
      </c>
      <c r="N5" s="20" t="n">
        <f aca="false">N4+ROUNDDOWN ( 5.5 * N31)</f>
        <v>0</v>
      </c>
      <c r="O5" s="20" t="n">
        <f aca="false">O4+ROUNDDOWN ( 5.5 * O31)</f>
        <v>0</v>
      </c>
      <c r="P5" s="20" t="n">
        <f aca="false">P4+ROUNDDOWN ( 5.5 * P31)</f>
        <v>0</v>
      </c>
      <c r="Q5" s="16" t="n">
        <f aca="false">SUM(B5:N5)</f>
        <v>0</v>
      </c>
      <c r="R5" s="7"/>
      <c r="S5" s="21" t="s">
        <v>11</v>
      </c>
      <c r="T5" s="22" t="n">
        <f aca="false">SUM(Points!Q47:Q56)</f>
        <v>0</v>
      </c>
      <c r="U5" s="23" t="e">
        <f aca="false">T5/S9</f>
        <v>#DIV/0!</v>
      </c>
    </row>
    <row r="6" customFormat="false" ht="8.5" hidden="false" customHeight="true" outlineLevel="0" collapsed="false">
      <c r="A6" s="5" t="s">
        <v>12</v>
      </c>
      <c r="B6" s="20" t="n">
        <f aca="false">SUM(B18:B28,B30:B32)</f>
        <v>0</v>
      </c>
      <c r="C6" s="20" t="n">
        <f aca="false">SUM(C18:C28,C30:C32)</f>
        <v>0</v>
      </c>
      <c r="D6" s="20" t="n">
        <f aca="false">SUM(D18:D28,D30:D32)</f>
        <v>0</v>
      </c>
      <c r="E6" s="20" t="n">
        <f aca="false">SUM(E18:E28,E30:E32)</f>
        <v>0</v>
      </c>
      <c r="F6" s="20" t="n">
        <f aca="false">SUM(F18:F28,F30:F32)</f>
        <v>0</v>
      </c>
      <c r="G6" s="20" t="n">
        <f aca="false">SUM(G18:G28,G30:G32)</f>
        <v>0</v>
      </c>
      <c r="H6" s="20" t="n">
        <f aca="false">SUM(H18:H28,H30:H32)</f>
        <v>0</v>
      </c>
      <c r="I6" s="20" t="n">
        <f aca="false">SUM(I18:I28,I30:I32)</f>
        <v>0</v>
      </c>
      <c r="J6" s="20" t="n">
        <f aca="false">SUM(J18:J28,J30:J32)</f>
        <v>0</v>
      </c>
      <c r="K6" s="20" t="n">
        <f aca="false">SUM(K18:K28,K30:K32)</f>
        <v>0</v>
      </c>
      <c r="L6" s="20" t="n">
        <f aca="false">SUM(L18:L28,L30:L32)</f>
        <v>0</v>
      </c>
      <c r="M6" s="20" t="n">
        <f aca="false">SUM(M18:M28,M30:M32)</f>
        <v>0</v>
      </c>
      <c r="N6" s="20" t="n">
        <f aca="false">SUM(N18:N28,N30:N32)</f>
        <v>0</v>
      </c>
      <c r="O6" s="20" t="n">
        <f aca="false">SUM(O18:O28,O30:O32)</f>
        <v>0</v>
      </c>
      <c r="P6" s="20" t="n">
        <f aca="false">SUM(P18:P28,P30:P32)</f>
        <v>0</v>
      </c>
      <c r="Q6" s="16" t="n">
        <f aca="false">SUM(B6:N6)</f>
        <v>0</v>
      </c>
      <c r="R6" s="7"/>
      <c r="S6" s="24" t="s">
        <v>13</v>
      </c>
      <c r="T6" s="25" t="n">
        <f aca="false">SUM(Points!Q37:Q44)</f>
        <v>0</v>
      </c>
      <c r="U6" s="26" t="e">
        <f aca="false">T6/S9</f>
        <v>#DIV/0!</v>
      </c>
    </row>
    <row r="7" customFormat="false" ht="8.5" hidden="false" customHeight="true" outlineLevel="0" collapsed="false">
      <c r="A7" s="5" t="s">
        <v>14</v>
      </c>
      <c r="B7" s="20" t="n">
        <f aca="false">B5-B6</f>
        <v>0</v>
      </c>
      <c r="C7" s="20" t="n">
        <f aca="false">C5-C6</f>
        <v>0</v>
      </c>
      <c r="D7" s="20" t="n">
        <f aca="false">D5-D6</f>
        <v>0</v>
      </c>
      <c r="E7" s="20" t="n">
        <f aca="false">E5-E6</f>
        <v>0</v>
      </c>
      <c r="F7" s="20" t="n">
        <f aca="false">F5-F6</f>
        <v>0</v>
      </c>
      <c r="G7" s="20" t="n">
        <f aca="false">G5-G6</f>
        <v>0</v>
      </c>
      <c r="H7" s="20" t="n">
        <f aca="false">H5-H6</f>
        <v>0</v>
      </c>
      <c r="I7" s="20" t="n">
        <f aca="false">I5-I6</f>
        <v>0</v>
      </c>
      <c r="J7" s="20" t="n">
        <f aca="false">J5-J6</f>
        <v>0</v>
      </c>
      <c r="K7" s="20" t="n">
        <f aca="false">K5-K6</f>
        <v>0</v>
      </c>
      <c r="L7" s="20" t="n">
        <f aca="false">L5-L6</f>
        <v>0</v>
      </c>
      <c r="M7" s="20" t="n">
        <f aca="false">M5-M6</f>
        <v>0</v>
      </c>
      <c r="N7" s="20" t="n">
        <f aca="false">N5-N6</f>
        <v>0</v>
      </c>
      <c r="O7" s="20" t="n">
        <f aca="false">O5-O6</f>
        <v>0</v>
      </c>
      <c r="P7" s="20" t="n">
        <f aca="false">P5-P6</f>
        <v>0</v>
      </c>
      <c r="Q7" s="16" t="n">
        <f aca="false">SUM(B7:N7)</f>
        <v>0</v>
      </c>
      <c r="R7" s="7"/>
      <c r="S7" s="27" t="s">
        <v>15</v>
      </c>
      <c r="T7" s="28" t="n">
        <f aca="false">SUM(Points!A61:O61)</f>
        <v>0</v>
      </c>
      <c r="U7" s="29" t="e">
        <f aca="false">T7/S9</f>
        <v>#DIV/0!</v>
      </c>
    </row>
    <row r="8" customFormat="false" ht="8.5" hidden="false" customHeight="true" outlineLevel="0" collapsed="false">
      <c r="A8" s="5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30" t="s">
        <v>17</v>
      </c>
      <c r="T8" s="30"/>
      <c r="U8" s="30"/>
    </row>
    <row r="9" customFormat="false" ht="8.5" hidden="false" customHeight="true" outlineLevel="0" collapsed="false">
      <c r="A9" s="5" t="s">
        <v>18</v>
      </c>
      <c r="B9" s="20" t="n">
        <f aca="false">B$8+40</f>
        <v>40</v>
      </c>
      <c r="C9" s="20" t="n">
        <f aca="false">C$8+40</f>
        <v>40</v>
      </c>
      <c r="D9" s="20" t="n">
        <f aca="false">D$8+40</f>
        <v>40</v>
      </c>
      <c r="E9" s="20" t="n">
        <f aca="false">E$8+40</f>
        <v>40</v>
      </c>
      <c r="F9" s="20" t="n">
        <f aca="false">F$8+40</f>
        <v>40</v>
      </c>
      <c r="G9" s="20" t="n">
        <f aca="false">G$8+40</f>
        <v>40</v>
      </c>
      <c r="H9" s="20" t="n">
        <f aca="false">H$8+40</f>
        <v>40</v>
      </c>
      <c r="I9" s="20" t="n">
        <f aca="false">I$8+40</f>
        <v>40</v>
      </c>
      <c r="J9" s="20" t="n">
        <f aca="false">J$8+40</f>
        <v>40</v>
      </c>
      <c r="K9" s="20" t="n">
        <f aca="false">K$8+40</f>
        <v>40</v>
      </c>
      <c r="L9" s="20" t="n">
        <f aca="false">L$8+40</f>
        <v>40</v>
      </c>
      <c r="M9" s="20" t="n">
        <f aca="false">M$8+40</f>
        <v>40</v>
      </c>
      <c r="N9" s="20" t="n">
        <f aca="false">N$8+40</f>
        <v>40</v>
      </c>
      <c r="O9" s="20" t="n">
        <f aca="false">O$8+40</f>
        <v>40</v>
      </c>
      <c r="P9" s="20" t="n">
        <f aca="false">P$8+40</f>
        <v>40</v>
      </c>
      <c r="Q9" s="7"/>
      <c r="R9" s="7"/>
      <c r="S9" s="31" t="n">
        <f aca="false">SUM(T2:T7)</f>
        <v>0</v>
      </c>
      <c r="T9" s="31"/>
      <c r="U9" s="31"/>
    </row>
    <row r="10" customFormat="false" ht="8.5" hidden="false" customHeight="true" outlineLevel="0" collapsed="false">
      <c r="A10" s="5" t="s">
        <v>19</v>
      </c>
      <c r="B10" s="32" t="n">
        <f aca="false">(((Planètes!B$34*ROUNDDOWN(((Planètes!B$9+Planètes!B$8)/2+160)/6))+(ROUNDDOWN(20*Planètes!B$21*1.1^Planètes!B$21))+(ROUNDDOWN(30*B$22*(1.05+$T$13*0.01)^B$22))))+(IF($T$38=1,(0.1*((Planètes!B$34*ROUNDDOWN(((Planètes!B$9+Planètes!B$8)/2+160)/6))+(ROUNDDOWN(20*Planètes!B$21*1.1^Planètes!B$21))+(ROUNDDOWN(30*B$22*(1.05+$T$13*0.01)^B$22)))),IF($T$38=2,(0.12*((Planètes!B$34*ROUNDDOWN(((Planètes!B$9+Planètes!B$8)/2+160)/6))+(ROUNDDOWN(20*Planètes!B$21*1.1^Planètes!B$21))+(ROUNDDOWN(30*B$22*(1.05+$T$13*0.01)^B$22)))))))-((((ROUNDUP(10*Planètes!B$18*1.1^Planètes!B$18))+(ROUNDUP(10*Planètes!B$19*1.1^Planètes!B$19)+(ROUNDUP(20*Planètes!B$20*1.1^Planètes!B$20))))))</f>
        <v>0</v>
      </c>
      <c r="C10" s="32" t="n">
        <f aca="false">(((Planètes!C$34*ROUNDDOWN(((Planètes!C$9+Planètes!C$8)/2+160)/6))+(ROUNDDOWN(20*Planètes!C$21*1.1^Planètes!C$21))+(ROUNDDOWN(30*C$22*(1.05+$T$13*0.01)^C$22))))+(IF($T$38=1,(0.1*((Planètes!C$34*ROUNDDOWN(((Planètes!C$9+Planètes!C$8)/2+160)/6))+(ROUNDDOWN(20*Planètes!C$21*1.1^Planètes!C$21))+(ROUNDDOWN(30*C$22*(1.05+$T$13*0.01)^C$22)))),IF($T$38=2,(0.12*((Planètes!C$34*ROUNDDOWN(((Planètes!C$9+Planètes!C$8)/2+160)/6))+(ROUNDDOWN(20*Planètes!C$21*1.1^Planètes!C$21))+(ROUNDDOWN(30*C$22*(1.05+$T$13*0.01)^C$22)))))))-((((ROUNDUP(10*Planètes!C$18*1.1^Planètes!C$18))+(ROUNDUP(10*Planètes!C$19*1.1^Planètes!C$19)+(ROUNDUP(20*Planètes!C$20*1.1^Planètes!C$20))))))</f>
        <v>0</v>
      </c>
      <c r="D10" s="32" t="n">
        <f aca="false">(((Planètes!D$34*ROUNDDOWN(((Planètes!D$9+Planètes!D$8)/2+160)/6))+(ROUNDDOWN(20*Planètes!D$21*1.1^Planètes!D$21))+(ROUNDDOWN(30*D$22*(1.05+$T$13*0.01)^D$22))))+(IF($T$38=1,(0.1*((Planètes!D$34*ROUNDDOWN(((Planètes!D$9+Planètes!D$8)/2+160)/6))+(ROUNDDOWN(20*Planètes!D$21*1.1^Planètes!D$21))+(ROUNDDOWN(30*D$22*(1.05+$T$13*0.01)^D$22)))),IF($T$38=2,(0.12*((Planètes!D$34*ROUNDDOWN(((Planètes!D$9+Planètes!D$8)/2+160)/6))+(ROUNDDOWN(20*Planètes!D$21*1.1^Planètes!D$21))+(ROUNDDOWN(30*D$22*(1.05+$T$13*0.01)^D$22)))))))-((((ROUNDUP(10*Planètes!D$18*1.1^Planètes!D$18))+(ROUNDUP(10*Planètes!D$19*1.1^Planètes!D$19)+(ROUNDUP(20*Planètes!D$20*1.1^Planètes!D$20))))))</f>
        <v>0</v>
      </c>
      <c r="E10" s="32" t="n">
        <f aca="false">(((Planètes!E$34*ROUNDDOWN(((Planètes!E$9+Planètes!E$8)/2+160)/6))+(ROUNDDOWN(20*Planètes!E$21*1.1^Planètes!E$21))+(ROUNDDOWN(30*E$22*(1.05+$T$13*0.01)^E$22))))+(IF($T$38=1,(0.1*((Planètes!E$34*ROUNDDOWN(((Planètes!E$9+Planètes!E$8)/2+160)/6))+(ROUNDDOWN(20*Planètes!E$21*1.1^Planètes!E$21))+(ROUNDDOWN(30*E$22*(1.05+$T$13*0.01)^E$22)))),IF($T$38=2,(0.12*((Planètes!E$34*ROUNDDOWN(((Planètes!E$9+Planètes!E$8)/2+160)/6))+(ROUNDDOWN(20*Planètes!E$21*1.1^Planètes!E$21))+(ROUNDDOWN(30*E$22*(1.05+$T$13*0.01)^E$22)))))))-((((ROUNDUP(10*Planètes!E$18*1.1^Planètes!E$18))+(ROUNDUP(10*Planètes!E$19*1.1^Planètes!E$19)+(ROUNDUP(20*Planètes!E$20*1.1^Planètes!E$20))))))</f>
        <v>0</v>
      </c>
      <c r="F10" s="32" t="n">
        <f aca="false">(((Planètes!F$34*ROUNDDOWN(((Planètes!F$9+Planètes!F$8)/2+160)/6))+(ROUNDDOWN(20*Planètes!F$21*1.1^Planètes!F$21))+(ROUNDDOWN(30*F$22*(1.05+$T$13*0.01)^F$22))))+(IF($T$38=1,(0.1*((Planètes!F$34*ROUNDDOWN(((Planètes!F$9+Planètes!F$8)/2+160)/6))+(ROUNDDOWN(20*Planètes!F$21*1.1^Planètes!F$21))+(ROUNDDOWN(30*F$22*(1.05+$T$13*0.01)^F$22)))),IF($T$38=2,(0.12*((Planètes!F$34*ROUNDDOWN(((Planètes!F$9+Planètes!F$8)/2+160)/6))+(ROUNDDOWN(20*Planètes!F$21*1.1^Planètes!F$21))+(ROUNDDOWN(30*F$22*(1.05+$T$13*0.01)^F$22)))))))-((((ROUNDUP(10*Planètes!F$18*1.1^Planètes!F$18))+(ROUNDUP(10*Planètes!F$19*1.1^Planètes!F$19)+(ROUNDUP(20*Planètes!F$20*1.1^Planètes!F$20))))))</f>
        <v>0</v>
      </c>
      <c r="G10" s="32" t="n">
        <f aca="false">(((Planètes!G$34*ROUNDDOWN(((Planètes!G$9+Planètes!G$8)/2+160)/6))+(ROUNDDOWN(20*Planètes!G$21*1.1^Planètes!G$21))+(ROUNDDOWN(30*G$22*(1.05+$T$13*0.01)^G$22))))+(IF($T$38=1,(0.1*((Planètes!G$34*ROUNDDOWN(((Planètes!G$9+Planètes!G$8)/2+160)/6))+(ROUNDDOWN(20*Planètes!G$21*1.1^Planètes!G$21))+(ROUNDDOWN(30*G$22*(1.05+$T$13*0.01)^G$22)))),IF($T$38=2,(0.12*((Planètes!G$34*ROUNDDOWN(((Planètes!G$9+Planètes!G$8)/2+160)/6))+(ROUNDDOWN(20*Planètes!G$21*1.1^Planètes!G$21))+(ROUNDDOWN(30*G$22*(1.05+$T$13*0.01)^G$22)))))))-((((ROUNDUP(10*Planètes!G$18*1.1^Planètes!G$18))+(ROUNDUP(10*Planètes!G$19*1.1^Planètes!G$19)+(ROUNDUP(20*Planètes!G$20*1.1^Planètes!G$20))))))</f>
        <v>0</v>
      </c>
      <c r="H10" s="32" t="n">
        <f aca="false">(((Planètes!H$34*ROUNDDOWN(((Planètes!H$9+Planètes!H$8)/2+160)/6))+(ROUNDDOWN(20*Planètes!H$21*1.1^Planètes!H$21))+(ROUNDDOWN(30*H$22*(1.05+$T$13*0.01)^H$22))))+(IF($T$38=1,(0.1*((Planètes!H$34*ROUNDDOWN(((Planètes!H$9+Planètes!H$8)/2+160)/6))+(ROUNDDOWN(20*Planètes!H$21*1.1^Planètes!H$21))+(ROUNDDOWN(30*H$22*(1.05+$T$13*0.01)^H$22)))),IF($T$38=2,(0.12*((Planètes!H$34*ROUNDDOWN(((Planètes!H$9+Planètes!H$8)/2+160)/6))+(ROUNDDOWN(20*Planètes!H$21*1.1^Planètes!H$21))+(ROUNDDOWN(30*H$22*(1.05+$T$13*0.01)^H$22)))))))-((((ROUNDUP(10*Planètes!H$18*1.1^Planètes!H$18))+(ROUNDUP(10*Planètes!H$19*1.1^Planètes!H$19)+(ROUNDUP(20*Planètes!H$20*1.1^Planètes!H$20))))))</f>
        <v>0</v>
      </c>
      <c r="I10" s="32" t="n">
        <f aca="false">(((Planètes!I$34*ROUNDDOWN(((Planètes!I$9+Planètes!I$8)/2+160)/6))+(ROUNDDOWN(20*Planètes!I$21*1.1^Planètes!I$21))+(ROUNDDOWN(30*I$22*(1.05+$T$13*0.01)^I$22))))+(IF($T$38=1,(0.1*((Planètes!I$34*ROUNDDOWN(((Planètes!I$9+Planètes!I$8)/2+160)/6))+(ROUNDDOWN(20*Planètes!I$21*1.1^Planètes!I$21))+(ROUNDDOWN(30*I$22*(1.05+$T$13*0.01)^I$22)))),IF($T$38=2,(0.12*((Planètes!I$34*ROUNDDOWN(((Planètes!I$9+Planètes!I$8)/2+160)/6))+(ROUNDDOWN(20*Planètes!I$21*1.1^Planètes!I$21))+(ROUNDDOWN(30*I$22*(1.05+$T$13*0.01)^I$22)))))))-((((ROUNDUP(10*Planètes!I$18*1.1^Planètes!I$18))+(ROUNDUP(10*Planètes!I$19*1.1^Planètes!I$19)+(ROUNDUP(20*Planètes!I$20*1.1^Planètes!I$20))))))</f>
        <v>0</v>
      </c>
      <c r="J10" s="32" t="n">
        <f aca="false">(((Planètes!J$34*ROUNDDOWN(((Planètes!J$9+Planètes!J$8)/2+160)/6))+(ROUNDDOWN(20*Planètes!J$21*1.1^Planètes!J$21))+(ROUNDDOWN(30*J$22*(1.05+$T$13*0.01)^J$22))))+(IF($T$38=1,(0.1*((Planètes!J$34*ROUNDDOWN(((Planètes!J$9+Planètes!J$8)/2+160)/6))+(ROUNDDOWN(20*Planètes!J$21*1.1^Planètes!J$21))+(ROUNDDOWN(30*J$22*(1.05+$T$13*0.01)^J$22)))),IF($T$38=2,(0.12*((Planètes!J$34*ROUNDDOWN(((Planètes!J$9+Planètes!J$8)/2+160)/6))+(ROUNDDOWN(20*Planètes!J$21*1.1^Planètes!J$21))+(ROUNDDOWN(30*J$22*(1.05+$T$13*0.01)^J$22)))))))-((((ROUNDUP(10*Planètes!J$18*1.1^Planètes!J$18))+(ROUNDUP(10*Planètes!J$19*1.1^Planètes!J$19)+(ROUNDUP(20*Planètes!J$20*1.1^Planètes!J$20))))))</f>
        <v>0</v>
      </c>
      <c r="K10" s="32" t="n">
        <f aca="false">(((Planètes!K$34*ROUNDDOWN(((Planètes!K$9+Planètes!K$8)/2+160)/6))+(ROUNDDOWN(20*Planètes!K$21*1.1^Planètes!K$21))+(ROUNDDOWN(30*K$22*(1.05+$T$13*0.01)^K$22))))+(IF($T$38=1,(0.1*((Planètes!K$34*ROUNDDOWN(((Planètes!K$9+Planètes!K$8)/2+160)/6))+(ROUNDDOWN(20*Planètes!K$21*1.1^Planètes!K$21))+(ROUNDDOWN(30*K$22*(1.05+$T$13*0.01)^K$22)))),IF($T$38=2,(0.12*((Planètes!K$34*ROUNDDOWN(((Planètes!K$9+Planètes!K$8)/2+160)/6))+(ROUNDDOWN(20*Planètes!K$21*1.1^Planètes!K$21))+(ROUNDDOWN(30*K$22*(1.05+$T$13*0.01)^K$22)))))))-((((ROUNDUP(10*Planètes!K$18*1.1^Planètes!K$18))+(ROUNDUP(10*Planètes!K$19*1.1^Planètes!K$19)+(ROUNDUP(20*Planètes!K$20*1.1^Planètes!K$20))))))</f>
        <v>0</v>
      </c>
      <c r="L10" s="32" t="n">
        <f aca="false">(((Planètes!L$34*ROUNDDOWN(((Planètes!L$9+Planètes!L$8)/2+160)/6))+(ROUNDDOWN(20*Planètes!L$21*1.1^Planètes!L$21))+(ROUNDDOWN(30*L$22*(1.05+$T$13*0.01)^L$22))))+(IF($T$38=1,(0.1*((Planètes!L$34*ROUNDDOWN(((Planètes!L$9+Planètes!L$8)/2+160)/6))+(ROUNDDOWN(20*Planètes!L$21*1.1^Planètes!L$21))+(ROUNDDOWN(30*L$22*(1.05+$T$13*0.01)^L$22)))),IF($T$38=2,(0.12*((Planètes!L$34*ROUNDDOWN(((Planètes!L$9+Planètes!L$8)/2+160)/6))+(ROUNDDOWN(20*Planètes!L$21*1.1^Planètes!L$21))+(ROUNDDOWN(30*L$22*(1.05+$T$13*0.01)^L$22)))))))-((((ROUNDUP(10*Planètes!L$18*1.1^Planètes!L$18))+(ROUNDUP(10*Planètes!L$19*1.1^Planètes!L$19)+(ROUNDUP(20*Planètes!L$20*1.1^Planètes!L$20))))))</f>
        <v>0</v>
      </c>
      <c r="M10" s="32" t="n">
        <f aca="false">(((Planètes!M$34*ROUNDDOWN(((Planètes!M$9+Planètes!M$8)/2+160)/6))+(ROUNDDOWN(20*Planètes!M$21*1.1^Planètes!M$21))+(ROUNDDOWN(30*M$22*(1.05+$T$13*0.01)^M$22))))+(IF($T$38=1,(0.1*((Planètes!M$34*ROUNDDOWN(((Planètes!M$9+Planètes!M$8)/2+160)/6))+(ROUNDDOWN(20*Planètes!M$21*1.1^Planètes!M$21))+(ROUNDDOWN(30*M$22*(1.05+$T$13*0.01)^M$22)))),IF($T$38=2,(0.12*((Planètes!M$34*ROUNDDOWN(((Planètes!M$9+Planètes!M$8)/2+160)/6))+(ROUNDDOWN(20*Planètes!M$21*1.1^Planètes!M$21))+(ROUNDDOWN(30*M$22*(1.05+$T$13*0.01)^M$22)))))))-((((ROUNDUP(10*Planètes!M$18*1.1^Planètes!M$18))+(ROUNDUP(10*Planètes!M$19*1.1^Planètes!M$19)+(ROUNDUP(20*Planètes!M$20*1.1^Planètes!M$20))))))</f>
        <v>0</v>
      </c>
      <c r="N10" s="32" t="n">
        <f aca="false">(((Planètes!N$34*ROUNDDOWN(((Planètes!N$9+Planètes!N$8)/2+160)/6))+(ROUNDDOWN(20*Planètes!N$21*1.1^Planètes!N$21))+(ROUNDDOWN(30*N$22*(1.05+$T$13*0.01)^N$22))))+(IF($T$38=1,(0.1*((Planètes!N$34*ROUNDDOWN(((Planètes!N$9+Planètes!N$8)/2+160)/6))+(ROUNDDOWN(20*Planètes!N$21*1.1^Planètes!N$21))+(ROUNDDOWN(30*N$22*(1.05+$T$13*0.01)^N$22)))),IF($T$38=2,(0.12*((Planètes!N$34*ROUNDDOWN(((Planètes!N$9+Planètes!N$8)/2+160)/6))+(ROUNDDOWN(20*Planètes!N$21*1.1^Planètes!N$21))+(ROUNDDOWN(30*N$22*(1.05+$T$13*0.01)^N$22)))))))-((((ROUNDUP(10*Planètes!N$18*1.1^Planètes!N$18))+(ROUNDUP(10*Planètes!N$19*1.1^Planètes!N$19)+(ROUNDUP(20*Planètes!N$20*1.1^Planètes!N$20))))))</f>
        <v>0</v>
      </c>
      <c r="O10" s="32" t="n">
        <f aca="false">(((Planètes!O$34*ROUNDDOWN(((Planètes!O$9+Planètes!O$8)/2+160)/6))+(ROUNDDOWN(20*Planètes!O$21*1.1^Planètes!O$21))+(ROUNDDOWN(30*O$22*(1.05+$T$13*0.01)^O$22))))+(IF($T$38=1,(0.1*((Planètes!O$34*ROUNDDOWN(((Planètes!O$9+Planètes!O$8)/2+160)/6))+(ROUNDDOWN(20*Planètes!O$21*1.1^Planètes!O$21))+(ROUNDDOWN(30*O$22*(1.05+$T$13*0.01)^O$22)))),IF($T$38=2,(0.12*((Planètes!O$34*ROUNDDOWN(((Planètes!O$9+Planètes!O$8)/2+160)/6))+(ROUNDDOWN(20*Planètes!O$21*1.1^Planètes!O$21))+(ROUNDDOWN(30*O$22*(1.05+$T$13*0.01)^O$22)))))))-((((ROUNDUP(10*Planètes!O$18*1.1^Planètes!O$18))+(ROUNDUP(10*Planètes!O$19*1.1^Planètes!O$19)+(ROUNDUP(20*Planètes!O$20*1.1^Planètes!O$20))))))</f>
        <v>0</v>
      </c>
      <c r="P10" s="32" t="n">
        <f aca="false">(((Planètes!P$34*ROUNDDOWN(((Planètes!P$9+Planètes!P$8)/2+160)/6))+(ROUNDDOWN(20*Planètes!P$21*1.1^Planètes!P$21))+(ROUNDDOWN(30*P$22*(1.05+$T$13*0.01)^P$22))))+(IF($T$38=1,(0.1*((Planètes!P$34*ROUNDDOWN(((Planètes!P$9+Planètes!P$8)/2+160)/6))+(ROUNDDOWN(20*Planètes!P$21*1.1^Planètes!P$21))+(ROUNDDOWN(30*P$22*(1.05+$T$13*0.01)^P$22)))),IF($T$38=2,(0.12*((Planètes!P$34*ROUNDDOWN(((Planètes!P$9+Planètes!P$8)/2+160)/6))+(ROUNDDOWN(20*Planètes!P$21*1.1^Planètes!P$21))+(ROUNDDOWN(30*P$22*(1.05+$T$13*0.01)^P$22)))))))-((((ROUNDUP(10*Planètes!P$18*1.1^Planètes!P$18))+(ROUNDUP(10*Planètes!P$19*1.1^Planètes!P$19)+(ROUNDUP(20*Planètes!P$20*1.1^Planètes!P$20))))))</f>
        <v>0</v>
      </c>
      <c r="Q10" s="7"/>
      <c r="R10" s="7"/>
      <c r="S10" s="31"/>
      <c r="T10" s="31"/>
      <c r="U10" s="31"/>
    </row>
    <row r="11" customFormat="false" ht="8.5" hidden="false" customHeight="true" outlineLevel="0" collapsed="false">
      <c r="A11" s="33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7"/>
    </row>
    <row r="12" customFormat="false" ht="8.5" hidden="false" customHeight="true" outlineLevel="0" collapsed="false">
      <c r="A12" s="5" t="s">
        <v>21</v>
      </c>
      <c r="B12" s="34" t="n">
        <f aca="false">Production!G4*S36</f>
        <v>3.00000000977889</v>
      </c>
      <c r="C12" s="34" t="n">
        <f aca="false">Production!G5*S36</f>
        <v>0</v>
      </c>
      <c r="D12" s="34" t="n">
        <f aca="false">Production!G6*S36</f>
        <v>0</v>
      </c>
      <c r="E12" s="34" t="n">
        <f aca="false">Production!G7*S36</f>
        <v>0</v>
      </c>
      <c r="F12" s="34" t="n">
        <f aca="false">Production!G8*S36</f>
        <v>0</v>
      </c>
      <c r="G12" s="34" t="n">
        <f aca="false">Production!G9*S36</f>
        <v>0</v>
      </c>
      <c r="H12" s="34" t="n">
        <f aca="false">Production!G10*S36</f>
        <v>0</v>
      </c>
      <c r="I12" s="34" t="n">
        <f aca="false">Production!G11*S36</f>
        <v>0</v>
      </c>
      <c r="J12" s="34" t="n">
        <f aca="false">Production!G12*S36</f>
        <v>0</v>
      </c>
      <c r="K12" s="34" t="n">
        <f aca="false">Production!G13*S36</f>
        <v>0</v>
      </c>
      <c r="L12" s="34" t="n">
        <f aca="false">Production!G14*S36</f>
        <v>0</v>
      </c>
      <c r="M12" s="34" t="n">
        <f aca="false">Production!G15*S36</f>
        <v>0</v>
      </c>
      <c r="N12" s="34" t="n">
        <f aca="false">Production!G16*S36</f>
        <v>0</v>
      </c>
      <c r="O12" s="34" t="n">
        <f aca="false">Production!G17*S36</f>
        <v>0</v>
      </c>
      <c r="P12" s="34" t="n">
        <f aca="false">Production!G18*S36</f>
        <v>0</v>
      </c>
      <c r="Q12" s="35" t="n">
        <f aca="false">SUM(B12:P12)</f>
        <v>3.00000000977889</v>
      </c>
      <c r="R12" s="7"/>
      <c r="S12" s="33" t="s">
        <v>22</v>
      </c>
      <c r="T12" s="33"/>
    </row>
    <row r="13" customFormat="false" ht="8.5" hidden="false" customHeight="true" outlineLevel="0" collapsed="false">
      <c r="A13" s="5" t="s">
        <v>23</v>
      </c>
      <c r="B13" s="34" t="n">
        <f aca="false">Production!L4*S36</f>
        <v>1.50000000488944</v>
      </c>
      <c r="C13" s="34" t="n">
        <f aca="false">Production!L5*S36</f>
        <v>0</v>
      </c>
      <c r="D13" s="34" t="n">
        <f aca="false">Production!L6*S36</f>
        <v>0</v>
      </c>
      <c r="E13" s="34" t="n">
        <f aca="false">Production!L7*S36</f>
        <v>0</v>
      </c>
      <c r="F13" s="34" t="n">
        <f aca="false">Production!L8*S36</f>
        <v>0</v>
      </c>
      <c r="G13" s="34" t="n">
        <f aca="false">Production!L9*S36</f>
        <v>0</v>
      </c>
      <c r="H13" s="34" t="n">
        <f aca="false">Production!L10*S36</f>
        <v>0</v>
      </c>
      <c r="I13" s="34" t="n">
        <f aca="false">Production!L11*S36</f>
        <v>0</v>
      </c>
      <c r="J13" s="34" t="n">
        <f aca="false">Production!L12*S36</f>
        <v>0</v>
      </c>
      <c r="K13" s="34" t="n">
        <f aca="false">Production!L13*S36</f>
        <v>0</v>
      </c>
      <c r="L13" s="34" t="n">
        <f aca="false">Production!L14*S36</f>
        <v>0</v>
      </c>
      <c r="M13" s="34" t="n">
        <f aca="false">Production!L15*S36</f>
        <v>0</v>
      </c>
      <c r="N13" s="34" t="n">
        <f aca="false">Production!L16*S36</f>
        <v>0</v>
      </c>
      <c r="O13" s="34" t="n">
        <f aca="false">Production!L17*S36</f>
        <v>0</v>
      </c>
      <c r="P13" s="34" t="n">
        <f aca="false">Production!L18*S36</f>
        <v>0</v>
      </c>
      <c r="Q13" s="35" t="n">
        <f aca="false">SUM(B13:P13)</f>
        <v>1.50000000488944</v>
      </c>
      <c r="R13" s="7"/>
      <c r="S13" s="36" t="s">
        <v>19</v>
      </c>
      <c r="T13" s="37"/>
    </row>
    <row r="14" customFormat="false" ht="8.5" hidden="false" customHeight="true" outlineLevel="0" collapsed="false">
      <c r="A14" s="5" t="s">
        <v>24</v>
      </c>
      <c r="B14" s="34" t="n">
        <f aca="false">Production!Q4*S36</f>
        <v>0</v>
      </c>
      <c r="C14" s="34" t="n">
        <f aca="false">Production!Q5*S36</f>
        <v>0</v>
      </c>
      <c r="D14" s="34" t="n">
        <f aca="false">Production!Q6*S36</f>
        <v>0</v>
      </c>
      <c r="E14" s="34" t="n">
        <f aca="false">Production!Q7*S36</f>
        <v>0</v>
      </c>
      <c r="F14" s="34" t="n">
        <f aca="false">Production!Q8*S36</f>
        <v>0</v>
      </c>
      <c r="G14" s="34" t="n">
        <f aca="false">Production!Q9*S36</f>
        <v>0</v>
      </c>
      <c r="H14" s="34" t="n">
        <f aca="false">Production!Q10*S36</f>
        <v>0</v>
      </c>
      <c r="I14" s="34" t="n">
        <f aca="false">Production!Q11*S36</f>
        <v>0</v>
      </c>
      <c r="J14" s="34" t="n">
        <f aca="false">Production!Q12*S36</f>
        <v>0</v>
      </c>
      <c r="K14" s="34" t="n">
        <f aca="false">Production!Q13*S36</f>
        <v>0</v>
      </c>
      <c r="L14" s="34" t="n">
        <f aca="false">Production!Q14*S36</f>
        <v>0</v>
      </c>
      <c r="M14" s="34" t="n">
        <f aca="false">Production!Q15*S36</f>
        <v>0</v>
      </c>
      <c r="N14" s="34" t="n">
        <f aca="false">Production!Q16*S36</f>
        <v>0</v>
      </c>
      <c r="O14" s="34" t="n">
        <f aca="false">Production!Q17*S36</f>
        <v>0</v>
      </c>
      <c r="P14" s="34" t="n">
        <f aca="false">Production!Q18*S36</f>
        <v>0</v>
      </c>
      <c r="Q14" s="35" t="n">
        <f aca="false">SUM(B14:P14)</f>
        <v>0</v>
      </c>
      <c r="R14" s="7"/>
      <c r="S14" s="36" t="s">
        <v>25</v>
      </c>
      <c r="T14" s="37"/>
    </row>
    <row r="15" customFormat="false" ht="8.5" hidden="false" customHeight="true" outlineLevel="0" collapsed="false">
      <c r="A15" s="38" t="s">
        <v>26</v>
      </c>
      <c r="B15" s="39" t="n">
        <f aca="false">SUM(B12:B14)</f>
        <v>4.50000001466833</v>
      </c>
      <c r="C15" s="39" t="n">
        <f aca="false">SUM(C12:C14)</f>
        <v>0</v>
      </c>
      <c r="D15" s="39" t="n">
        <f aca="false">SUM(D12:D14)</f>
        <v>0</v>
      </c>
      <c r="E15" s="39" t="n">
        <f aca="false">SUM(E12:E14)</f>
        <v>0</v>
      </c>
      <c r="F15" s="39" t="n">
        <f aca="false">SUM(F12:F14)</f>
        <v>0</v>
      </c>
      <c r="G15" s="39" t="n">
        <f aca="false">SUM(G12:G14)</f>
        <v>0</v>
      </c>
      <c r="H15" s="39" t="n">
        <f aca="false">SUM(H12:H14)</f>
        <v>0</v>
      </c>
      <c r="I15" s="39" t="n">
        <f aca="false">SUM(I12:I14)</f>
        <v>0</v>
      </c>
      <c r="J15" s="39" t="n">
        <f aca="false">SUM(J12:J14)</f>
        <v>0</v>
      </c>
      <c r="K15" s="39" t="n">
        <f aca="false">SUM(K12:K14)</f>
        <v>0</v>
      </c>
      <c r="L15" s="39" t="n">
        <f aca="false">SUM(L12:L14)</f>
        <v>0</v>
      </c>
      <c r="M15" s="39" t="n">
        <f aca="false">SUM(M12:M14)</f>
        <v>0</v>
      </c>
      <c r="N15" s="39" t="n">
        <f aca="false">SUM(N12:N14)</f>
        <v>0</v>
      </c>
      <c r="O15" s="39" t="n">
        <f aca="false">SUM(O12:O14)</f>
        <v>0</v>
      </c>
      <c r="P15" s="39" t="n">
        <f aca="false">SUM(P12:P14)</f>
        <v>0</v>
      </c>
      <c r="Q15" s="39" t="n">
        <f aca="false">SUM(Q12:Q14)</f>
        <v>4.50000001466833</v>
      </c>
      <c r="R15" s="7"/>
      <c r="S15" s="36" t="s">
        <v>27</v>
      </c>
      <c r="T15" s="37"/>
    </row>
    <row r="16" customFormat="false" ht="8.5" hidden="false" customHeight="true" outlineLevel="0" collapsed="false">
      <c r="A16" s="40" t="s">
        <v>28</v>
      </c>
      <c r="B16" s="41" t="n">
        <f aca="false">ROUNDUP(SUM(B12:B14)/25000)</f>
        <v>1</v>
      </c>
      <c r="C16" s="41" t="n">
        <f aca="false">ROUNDUP(SUM(C12:C14)/25000)</f>
        <v>0</v>
      </c>
      <c r="D16" s="41" t="n">
        <f aca="false">ROUNDUP(SUM(D12:D14)/25000)</f>
        <v>0</v>
      </c>
      <c r="E16" s="41" t="n">
        <f aca="false">ROUNDUP(SUM(E12:E14)/25000)</f>
        <v>0</v>
      </c>
      <c r="F16" s="41" t="n">
        <f aca="false">ROUNDUP(SUM(F12:F14)/25000)</f>
        <v>0</v>
      </c>
      <c r="G16" s="41" t="n">
        <f aca="false">ROUNDUP(SUM(G12:G14)/25000)</f>
        <v>0</v>
      </c>
      <c r="H16" s="41" t="n">
        <f aca="false">ROUNDUP(SUM(H12:H14)/25000)</f>
        <v>0</v>
      </c>
      <c r="I16" s="41" t="n">
        <f aca="false">ROUNDUP(SUM(I12:I14)/25000)</f>
        <v>0</v>
      </c>
      <c r="J16" s="41" t="n">
        <f aca="false">ROUNDUP(SUM(J12:J14)/25000)</f>
        <v>0</v>
      </c>
      <c r="K16" s="41" t="n">
        <f aca="false">ROUNDUP(SUM(K12:K14)/25000)</f>
        <v>0</v>
      </c>
      <c r="L16" s="41" t="n">
        <f aca="false">ROUNDUP(SUM(L12:L14)/25000)</f>
        <v>0</v>
      </c>
      <c r="M16" s="41" t="n">
        <f aca="false">ROUNDUP(SUM(M12:M14)/25000)</f>
        <v>0</v>
      </c>
      <c r="N16" s="41" t="n">
        <f aca="false">ROUNDUP(SUM(N12:N14)/25000)</f>
        <v>0</v>
      </c>
      <c r="O16" s="41" t="n">
        <f aca="false">ROUNDUP(SUM(O12:O14)/25000)</f>
        <v>0</v>
      </c>
      <c r="P16" s="41" t="n">
        <f aca="false">ROUNDUP(SUM(P12:P14)/25000)</f>
        <v>0</v>
      </c>
      <c r="R16" s="7"/>
      <c r="S16" s="36" t="s">
        <v>29</v>
      </c>
      <c r="T16" s="37"/>
    </row>
    <row r="17" customFormat="false" ht="8.5" hidden="false" customHeight="true" outlineLevel="0" collapsed="false">
      <c r="A17" s="33" t="s">
        <v>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7"/>
      <c r="S17" s="36" t="s">
        <v>30</v>
      </c>
      <c r="T17" s="37"/>
    </row>
    <row r="18" customFormat="false" ht="8.5" hidden="false" customHeight="true" outlineLevel="0" collapsed="false">
      <c r="A18" s="5" t="s">
        <v>31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12" t="n">
        <f aca="false">SUM(B18:P18)</f>
        <v>0</v>
      </c>
      <c r="R18" s="7"/>
      <c r="S18" s="36" t="s">
        <v>32</v>
      </c>
      <c r="T18" s="37"/>
      <c r="U18" s="7"/>
    </row>
    <row r="19" customFormat="false" ht="8.5" hidden="false" customHeight="true" outlineLevel="0" collapsed="false">
      <c r="A19" s="5" t="s">
        <v>33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12" t="n">
        <f aca="false">SUM(B19:P19)</f>
        <v>0</v>
      </c>
      <c r="R19" s="7"/>
      <c r="S19" s="36" t="s">
        <v>34</v>
      </c>
      <c r="T19" s="37"/>
      <c r="U19" s="43"/>
      <c r="X19" s="7"/>
      <c r="Y19" s="7"/>
      <c r="Z19" s="7"/>
      <c r="AA19" s="7"/>
      <c r="AB19" s="7"/>
      <c r="AC19" s="7"/>
      <c r="AD19" s="7"/>
      <c r="AE19" s="7"/>
      <c r="AF19" s="7"/>
    </row>
    <row r="20" customFormat="false" ht="8.5" hidden="false" customHeight="true" outlineLevel="0" collapsed="false">
      <c r="A20" s="5" t="s">
        <v>35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12" t="n">
        <f aca="false">SUM(B20:P20)</f>
        <v>0</v>
      </c>
      <c r="R20" s="7"/>
      <c r="S20" s="36" t="s">
        <v>36</v>
      </c>
      <c r="T20" s="37"/>
      <c r="U20" s="43"/>
      <c r="AD20" s="7"/>
    </row>
    <row r="21" customFormat="false" ht="8.5" hidden="false" customHeight="true" outlineLevel="0" collapsed="false">
      <c r="A21" s="5" t="s">
        <v>37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12" t="n">
        <f aca="false">SUM(B21:P21)</f>
        <v>0</v>
      </c>
      <c r="R21" s="7"/>
      <c r="S21" s="36" t="s">
        <v>38</v>
      </c>
      <c r="T21" s="37"/>
      <c r="U21" s="43"/>
      <c r="AD21" s="7"/>
    </row>
    <row r="22" customFormat="false" ht="8.5" hidden="false" customHeight="true" outlineLevel="0" collapsed="false">
      <c r="A22" s="5" t="s">
        <v>39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12" t="n">
        <f aca="false">SUM(B22:P22)</f>
        <v>0</v>
      </c>
      <c r="R22" s="7"/>
      <c r="S22" s="36" t="s">
        <v>40</v>
      </c>
      <c r="T22" s="37"/>
      <c r="U22" s="7"/>
    </row>
    <row r="23" customFormat="false" ht="8.5" hidden="false" customHeight="true" outlineLevel="0" collapsed="false">
      <c r="A23" s="5" t="s">
        <v>41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2" t="n">
        <f aca="false">SUM(B23:P23)</f>
        <v>0</v>
      </c>
      <c r="R23" s="7"/>
      <c r="S23" s="36" t="s">
        <v>42</v>
      </c>
      <c r="T23" s="37"/>
      <c r="U23" s="7"/>
    </row>
    <row r="24" customFormat="false" ht="8.5" hidden="false" customHeight="true" outlineLevel="0" collapsed="false">
      <c r="A24" s="5" t="s">
        <v>43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12" t="n">
        <f aca="false">SUM(B24:P24)</f>
        <v>0</v>
      </c>
      <c r="R24" s="7"/>
      <c r="S24" s="36" t="s">
        <v>44</v>
      </c>
      <c r="T24" s="37"/>
      <c r="U24" s="43"/>
    </row>
    <row r="25" customFormat="false" ht="8.5" hidden="false" customHeight="true" outlineLevel="0" collapsed="false">
      <c r="A25" s="5" t="s">
        <v>45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12" t="n">
        <f aca="false">SUM(B25:P25)</f>
        <v>0</v>
      </c>
      <c r="R25" s="7"/>
      <c r="S25" s="36" t="s">
        <v>46</v>
      </c>
      <c r="T25" s="37"/>
      <c r="U25" s="7"/>
    </row>
    <row r="26" customFormat="false" ht="8.5" hidden="false" customHeight="true" outlineLevel="0" collapsed="false">
      <c r="A26" s="5" t="s">
        <v>47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2" t="n">
        <f aca="false">SUM(B26:P26)</f>
        <v>0</v>
      </c>
      <c r="R26" s="7"/>
      <c r="S26" s="36" t="s">
        <v>48</v>
      </c>
      <c r="T26" s="37"/>
      <c r="U26" s="7"/>
    </row>
    <row r="27" customFormat="false" ht="8.5" hidden="false" customHeight="true" outlineLevel="0" collapsed="false">
      <c r="A27" s="5" t="s">
        <v>49</v>
      </c>
      <c r="B27" s="42"/>
      <c r="C27" s="42"/>
      <c r="D27" s="42"/>
      <c r="E27" s="42"/>
      <c r="F27" s="42"/>
      <c r="G27" s="42"/>
      <c r="H27" s="42"/>
      <c r="I27" s="42"/>
      <c r="J27" s="42"/>
      <c r="K27" s="44"/>
      <c r="L27" s="42"/>
      <c r="M27" s="42"/>
      <c r="N27" s="42"/>
      <c r="O27" s="42"/>
      <c r="P27" s="42"/>
      <c r="Q27" s="12" t="n">
        <f aca="false">SUM(B27:P27)</f>
        <v>0</v>
      </c>
      <c r="R27" s="7"/>
      <c r="S27" s="36" t="s">
        <v>50</v>
      </c>
      <c r="T27" s="37"/>
      <c r="U27" s="7"/>
    </row>
    <row r="28" customFormat="false" ht="8.5" hidden="false" customHeight="true" outlineLevel="0" collapsed="false">
      <c r="A28" s="5" t="s">
        <v>51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2" t="n">
        <f aca="false">SUM(B28:P28)</f>
        <v>0</v>
      </c>
      <c r="R28" s="7"/>
      <c r="S28" s="36" t="s">
        <v>52</v>
      </c>
      <c r="T28" s="37"/>
      <c r="U28" s="7"/>
    </row>
    <row r="29" customFormat="false" ht="8.5" hidden="false" customHeight="true" outlineLevel="0" collapsed="false">
      <c r="A29" s="5" t="s">
        <v>53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12" t="n">
        <f aca="false">SUM(B29:P29)</f>
        <v>0</v>
      </c>
      <c r="R29" s="7"/>
      <c r="U29" s="7"/>
    </row>
    <row r="30" customFormat="false" ht="8.5" hidden="false" customHeight="true" outlineLevel="0" collapsed="false">
      <c r="A30" s="5" t="s">
        <v>54</v>
      </c>
      <c r="B30" s="45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2" t="n">
        <f aca="false">SUM(B30:P30)</f>
        <v>0</v>
      </c>
      <c r="R30" s="7"/>
      <c r="U30" s="7"/>
    </row>
    <row r="31" customFormat="false" ht="8.5" hidden="false" customHeight="true" outlineLevel="0" collapsed="false">
      <c r="A31" s="5" t="s">
        <v>55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2" t="n">
        <f aca="false">SUM(B31:P31)</f>
        <v>0</v>
      </c>
      <c r="R31" s="7"/>
      <c r="S31" s="46" t="s">
        <v>56</v>
      </c>
      <c r="T31" s="46"/>
      <c r="U31" s="43"/>
      <c r="AMJ31" s="1" t="n">
        <f aca="false">ROUNDDOWN(((B8+B9)/2+160)/6)</f>
        <v>30</v>
      </c>
    </row>
    <row r="32" customFormat="false" ht="8.5" hidden="false" customHeight="true" outlineLevel="0" collapsed="false">
      <c r="A32" s="5" t="s">
        <v>57</v>
      </c>
      <c r="B32" s="4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12" t="n">
        <f aca="false">SUM(B32:P32)</f>
        <v>0</v>
      </c>
      <c r="R32" s="7"/>
      <c r="S32" s="47" t="n">
        <v>42920.9034722222</v>
      </c>
      <c r="T32" s="47"/>
      <c r="U32" s="7"/>
    </row>
    <row r="33" customFormat="false" ht="8.5" hidden="false" customHeight="true" outlineLevel="0" collapsed="false">
      <c r="A33" s="33" t="s">
        <v>19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7"/>
      <c r="S33" s="46" t="s">
        <v>58</v>
      </c>
      <c r="T33" s="46"/>
      <c r="U33" s="7"/>
    </row>
    <row r="34" customFormat="false" ht="8.5" hidden="false" customHeight="true" outlineLevel="0" collapsed="false">
      <c r="A34" s="5" t="s">
        <v>59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16" t="n">
        <f aca="false">SUM(B34:N34)</f>
        <v>0</v>
      </c>
      <c r="R34" s="7"/>
      <c r="S34" s="47" t="n">
        <v>42920.9048611111</v>
      </c>
      <c r="T34" s="47"/>
      <c r="U34" s="7"/>
    </row>
    <row r="35" customFormat="false" ht="8.5" hidden="false" customHeight="true" outlineLevel="0" collapsed="false">
      <c r="A35" s="5" t="s">
        <v>60</v>
      </c>
      <c r="B35" s="9" t="n">
        <f aca="false">ROUNDDOWN(((B8+B9)/2+160)/6)</f>
        <v>30</v>
      </c>
      <c r="C35" s="9" t="n">
        <f aca="false">ROUNDDOWN(((C8+C9)/2+160)/6)</f>
        <v>30</v>
      </c>
      <c r="D35" s="9" t="n">
        <f aca="false">ROUNDDOWN(((D8+D9)/2+160)/6)</f>
        <v>30</v>
      </c>
      <c r="E35" s="9" t="n">
        <f aca="false">ROUNDDOWN(((E8+E9)/2+160)/6)</f>
        <v>30</v>
      </c>
      <c r="F35" s="9" t="n">
        <f aca="false">ROUNDDOWN(((F8+F9)/2+160)/6)</f>
        <v>30</v>
      </c>
      <c r="G35" s="9" t="n">
        <f aca="false">ROUNDDOWN(((G8+G9)/2+160)/6)</f>
        <v>30</v>
      </c>
      <c r="H35" s="9" t="n">
        <f aca="false">ROUNDDOWN(((H8+H9)/2+160)/6)</f>
        <v>30</v>
      </c>
      <c r="I35" s="9" t="n">
        <f aca="false">ROUNDDOWN(((I8+I9)/2+160)/6)</f>
        <v>30</v>
      </c>
      <c r="J35" s="9" t="n">
        <f aca="false">ROUNDDOWN(((J8+J9)/2+160)/6)</f>
        <v>30</v>
      </c>
      <c r="K35" s="9" t="n">
        <f aca="false">ROUNDDOWN(((K8+K9)/2+160)/6)</f>
        <v>30</v>
      </c>
      <c r="L35" s="9" t="n">
        <f aca="false">ROUNDDOWN(((L8+L9)/2+160)/6)</f>
        <v>30</v>
      </c>
      <c r="M35" s="9" t="n">
        <f aca="false">ROUNDDOWN(((M8+M9)/2+160)/6)</f>
        <v>30</v>
      </c>
      <c r="N35" s="9" t="n">
        <f aca="false">ROUNDDOWN(((N8+N9)/2+160)/6)</f>
        <v>30</v>
      </c>
      <c r="O35" s="9" t="n">
        <f aca="false">ROUNDDOWN(((O8+O9)/2+160)/6)</f>
        <v>30</v>
      </c>
      <c r="P35" s="9" t="n">
        <f aca="false">ROUNDDOWN(((P8+P9)/2+160)/6)</f>
        <v>30</v>
      </c>
      <c r="Q35" s="7"/>
      <c r="R35" s="43"/>
      <c r="S35" s="46" t="s">
        <v>61</v>
      </c>
      <c r="T35" s="46"/>
    </row>
    <row r="36" customFormat="false" ht="8.5" hidden="false" customHeight="true" outlineLevel="0" collapsed="false">
      <c r="A36" s="5" t="s">
        <v>62</v>
      </c>
      <c r="B36" s="49" t="n">
        <f aca="false">ROUNDUP(-B10/B35)</f>
        <v>-0</v>
      </c>
      <c r="C36" s="49" t="n">
        <f aca="false">(ROUNDUP(-C10/C35))</f>
        <v>-0</v>
      </c>
      <c r="D36" s="49" t="n">
        <f aca="false">ROUNDUP(-D10/D35)</f>
        <v>-0</v>
      </c>
      <c r="E36" s="49" t="n">
        <f aca="false">ROUNDUP(-E10/E35)</f>
        <v>-0</v>
      </c>
      <c r="F36" s="49" t="n">
        <f aca="false">ROUNDUP(-F10/F35)</f>
        <v>-0</v>
      </c>
      <c r="G36" s="49" t="n">
        <f aca="false">ROUNDUP(-G10/G35)</f>
        <v>-0</v>
      </c>
      <c r="H36" s="49" t="n">
        <f aca="false">ROUNDUP(-H10/H35)</f>
        <v>-0</v>
      </c>
      <c r="I36" s="49" t="n">
        <f aca="false">ROUNDUP(-I10/I35)</f>
        <v>-0</v>
      </c>
      <c r="J36" s="49" t="n">
        <f aca="false">ROUNDUP(-J10/J35)</f>
        <v>-0</v>
      </c>
      <c r="K36" s="49" t="n">
        <f aca="false">ROUNDUP(-K10/K35)</f>
        <v>-0</v>
      </c>
      <c r="L36" s="49" t="n">
        <f aca="false">ROUNDUP(-L10/L35)</f>
        <v>-0</v>
      </c>
      <c r="M36" s="49" t="n">
        <f aca="false">ROUNDUP(-M10/M35)</f>
        <v>-0</v>
      </c>
      <c r="N36" s="49" t="n">
        <f aca="false">ROUNDUP(-N10/N35)</f>
        <v>-0</v>
      </c>
      <c r="O36" s="49" t="n">
        <f aca="false">ROUNDUP(-O10/O35)</f>
        <v>-0</v>
      </c>
      <c r="P36" s="49" t="n">
        <f aca="false">ROUNDUP(-P10/P35)</f>
        <v>-0</v>
      </c>
      <c r="Q36" s="16" t="n">
        <f aca="false">SUM(B36:P36)</f>
        <v>0</v>
      </c>
      <c r="R36" s="43"/>
      <c r="S36" s="50" t="n">
        <f aca="false">(S34-S32)*24</f>
        <v>0.0333333334419876</v>
      </c>
      <c r="T36" s="50"/>
    </row>
    <row r="37" customFormat="false" ht="8.5" hidden="false" customHeight="true" outlineLevel="0" collapsed="false">
      <c r="A37" s="5" t="s">
        <v>63</v>
      </c>
      <c r="B37" s="9" t="n">
        <f aca="false">B36*2000</f>
        <v>-0</v>
      </c>
      <c r="C37" s="9" t="n">
        <f aca="false">C36*2000</f>
        <v>-0</v>
      </c>
      <c r="D37" s="9" t="n">
        <f aca="false">D36*2000</f>
        <v>-0</v>
      </c>
      <c r="E37" s="9" t="n">
        <f aca="false">E36*2000</f>
        <v>-0</v>
      </c>
      <c r="F37" s="9" t="n">
        <f aca="false">F36*2000</f>
        <v>-0</v>
      </c>
      <c r="G37" s="9" t="n">
        <f aca="false">G36*2000</f>
        <v>-0</v>
      </c>
      <c r="H37" s="9" t="n">
        <f aca="false">H36*2000</f>
        <v>-0</v>
      </c>
      <c r="I37" s="9" t="n">
        <f aca="false">I36*2000</f>
        <v>-0</v>
      </c>
      <c r="J37" s="9" t="n">
        <f aca="false">J36*2000</f>
        <v>-0</v>
      </c>
      <c r="K37" s="9" t="n">
        <f aca="false">K36*2000</f>
        <v>-0</v>
      </c>
      <c r="L37" s="9" t="n">
        <f aca="false">L36*2000</f>
        <v>-0</v>
      </c>
      <c r="M37" s="9" t="n">
        <f aca="false">M36*2000</f>
        <v>-0</v>
      </c>
      <c r="N37" s="9" t="n">
        <f aca="false">N36*2000</f>
        <v>-0</v>
      </c>
      <c r="O37" s="9" t="n">
        <f aca="false">O36*2000</f>
        <v>-0</v>
      </c>
      <c r="P37" s="9" t="n">
        <f aca="false">P36*2000</f>
        <v>-0</v>
      </c>
      <c r="Q37" s="16" t="n">
        <f aca="false">SUM(B37:P37)</f>
        <v>0</v>
      </c>
      <c r="R37" s="7"/>
    </row>
    <row r="38" customFormat="false" ht="8.5" hidden="false" customHeight="true" outlineLevel="0" collapsed="false">
      <c r="A38" s="5" t="s">
        <v>64</v>
      </c>
      <c r="B38" s="9" t="n">
        <f aca="false">500*B36</f>
        <v>-0</v>
      </c>
      <c r="C38" s="9" t="n">
        <f aca="false">500*C36</f>
        <v>-0</v>
      </c>
      <c r="D38" s="9" t="n">
        <f aca="false">500*D36</f>
        <v>-0</v>
      </c>
      <c r="E38" s="9" t="n">
        <f aca="false">500*E36</f>
        <v>-0</v>
      </c>
      <c r="F38" s="9" t="n">
        <f aca="false">500*F36</f>
        <v>-0</v>
      </c>
      <c r="G38" s="9" t="n">
        <f aca="false">500*G36</f>
        <v>-0</v>
      </c>
      <c r="H38" s="9" t="n">
        <f aca="false">500*H36</f>
        <v>-0</v>
      </c>
      <c r="I38" s="9" t="n">
        <f aca="false">500*I36</f>
        <v>-0</v>
      </c>
      <c r="J38" s="9" t="n">
        <f aca="false">500*J36</f>
        <v>-0</v>
      </c>
      <c r="K38" s="9" t="n">
        <f aca="false">500*K36</f>
        <v>-0</v>
      </c>
      <c r="L38" s="9" t="n">
        <f aca="false">500*L36</f>
        <v>-0</v>
      </c>
      <c r="M38" s="9" t="n">
        <f aca="false">500*M36</f>
        <v>-0</v>
      </c>
      <c r="N38" s="9" t="n">
        <f aca="false">500*N36</f>
        <v>-0</v>
      </c>
      <c r="O38" s="9" t="n">
        <f aca="false">500*O36</f>
        <v>-0</v>
      </c>
      <c r="P38" s="9" t="n">
        <f aca="false">500*P36</f>
        <v>-0</v>
      </c>
      <c r="Q38" s="16" t="n">
        <f aca="false">SUM(B38:P38)</f>
        <v>0</v>
      </c>
      <c r="R38" s="7"/>
      <c r="S38" s="51" t="s">
        <v>65</v>
      </c>
      <c r="T38" s="52" t="n">
        <v>0</v>
      </c>
      <c r="U38" s="7"/>
    </row>
    <row r="39" customFormat="false" ht="8.5" hidden="false" customHeight="true" outlineLevel="0" collapsed="false">
      <c r="A39" s="33" t="s">
        <v>66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7"/>
      <c r="S39" s="51"/>
      <c r="T39" s="51"/>
      <c r="U39" s="7"/>
    </row>
    <row r="40" customFormat="false" ht="8.5" hidden="false" customHeight="true" outlineLevel="0" collapsed="false">
      <c r="A40" s="5" t="s">
        <v>67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16" t="n">
        <f aca="false">SUM(B40:P40)</f>
        <v>0</v>
      </c>
      <c r="R40" s="7"/>
      <c r="S40" s="51"/>
      <c r="T40" s="51"/>
      <c r="U40" s="7"/>
    </row>
    <row r="41" customFormat="false" ht="8.5" hidden="false" customHeight="true" outlineLevel="0" collapsed="false">
      <c r="A41" s="5" t="s">
        <v>68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16" t="n">
        <f aca="false">SUM(B41:P41)</f>
        <v>0</v>
      </c>
      <c r="R41" s="43"/>
      <c r="U41" s="7"/>
    </row>
    <row r="42" customFormat="false" ht="8.5" hidden="false" customHeight="true" outlineLevel="0" collapsed="false">
      <c r="A42" s="5" t="s">
        <v>69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6" t="n">
        <f aca="false">SUM(B42:P42)</f>
        <v>0</v>
      </c>
      <c r="R42" s="43"/>
      <c r="T42" s="54" t="s">
        <v>70</v>
      </c>
    </row>
    <row r="43" customFormat="false" ht="8.5" hidden="false" customHeight="true" outlineLevel="0" collapsed="false">
      <c r="A43" s="5" t="s">
        <v>71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16" t="n">
        <f aca="false">SUM(B43:P43)</f>
        <v>0</v>
      </c>
      <c r="R43" s="43"/>
      <c r="T43" s="54" t="s">
        <v>72</v>
      </c>
    </row>
    <row r="44" customFormat="false" ht="8.5" hidden="false" customHeight="true" outlineLevel="0" collapsed="false">
      <c r="A44" s="5" t="s">
        <v>73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16" t="n">
        <f aca="false">SUM(B44:P44)</f>
        <v>0</v>
      </c>
      <c r="R44" s="43"/>
      <c r="T44" s="54" t="s">
        <v>74</v>
      </c>
    </row>
    <row r="45" customFormat="false" ht="8.5" hidden="false" customHeight="true" outlineLevel="0" collapsed="false">
      <c r="A45" s="5" t="s">
        <v>75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16" t="n">
        <f aca="false">SUM(B45:P45)</f>
        <v>0</v>
      </c>
      <c r="R45" s="7"/>
    </row>
    <row r="46" customFormat="false" ht="8.5" hidden="false" customHeight="true" outlineLevel="0" collapsed="false">
      <c r="A46" s="5" t="s">
        <v>76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16" t="n">
        <f aca="false">SUM(B46:P46)</f>
        <v>0</v>
      </c>
      <c r="R46" s="7"/>
      <c r="S46" s="51" t="s">
        <v>77</v>
      </c>
      <c r="T46" s="51" t="n">
        <v>0</v>
      </c>
      <c r="U46" s="51"/>
    </row>
    <row r="47" customFormat="false" ht="8.5" hidden="false" customHeight="true" outlineLevel="0" collapsed="false">
      <c r="A47" s="5" t="s">
        <v>78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16" t="n">
        <f aca="false">SUM(B47:P47)</f>
        <v>0</v>
      </c>
      <c r="R47" s="7"/>
      <c r="S47" s="55" t="e">
        <f aca="false">(T2+T3+T7+T6)/S9</f>
        <v>#DIV/0!</v>
      </c>
      <c r="T47" s="55"/>
      <c r="U47" s="55"/>
    </row>
    <row r="48" customFormat="false" ht="8.5" hidden="false" customHeight="true" outlineLevel="0" collapsed="false">
      <c r="A48" s="5" t="s">
        <v>79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16" t="n">
        <f aca="false">SUM(B48:P48)</f>
        <v>0</v>
      </c>
      <c r="R48" s="7"/>
      <c r="S48" s="55"/>
      <c r="T48" s="55"/>
      <c r="U48" s="55"/>
    </row>
    <row r="49" customFormat="false" ht="8.5" hidden="false" customHeight="true" outlineLevel="0" collapsed="false">
      <c r="A49" s="5" t="s">
        <v>80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16" t="n">
        <f aca="false">SUM(B49:P49)</f>
        <v>0</v>
      </c>
      <c r="R49" s="7"/>
      <c r="S49" s="51" t="s">
        <v>81</v>
      </c>
      <c r="T49" s="51"/>
      <c r="U49" s="51"/>
    </row>
    <row r="50" customFormat="false" ht="8.5" hidden="false" customHeight="true" outlineLevel="0" collapsed="false">
      <c r="A50" s="5" t="s">
        <v>82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16" t="n">
        <f aca="false">SUM(B50:P50)</f>
        <v>0</v>
      </c>
      <c r="R50" s="7"/>
      <c r="S50" s="55" t="e">
        <f aca="false">(T4+T5)/S9</f>
        <v>#DIV/0!</v>
      </c>
      <c r="T50" s="55"/>
      <c r="U50" s="55"/>
    </row>
    <row r="51" customFormat="false" ht="8.5" hidden="false" customHeight="true" outlineLevel="0" collapsed="false">
      <c r="A51" s="5" t="s">
        <v>83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16" t="n">
        <f aca="false">SUM(B51:P51)</f>
        <v>0</v>
      </c>
      <c r="R51" s="7"/>
      <c r="S51" s="55"/>
      <c r="T51" s="55"/>
      <c r="U51" s="55"/>
    </row>
    <row r="52" customFormat="false" ht="8.5" hidden="false" customHeight="true" outlineLevel="0" collapsed="false">
      <c r="A52" s="5" t="s">
        <v>84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16" t="n">
        <f aca="false">SUM(B52:P52)</f>
        <v>0</v>
      </c>
      <c r="R52" s="7"/>
      <c r="S52" s="56"/>
      <c r="U52" s="7"/>
    </row>
    <row r="53" customFormat="false" ht="8.5" hidden="false" customHeight="true" outlineLevel="0" collapsed="false">
      <c r="A53" s="33" t="s">
        <v>11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7"/>
      <c r="U53" s="7"/>
    </row>
    <row r="54" customFormat="false" ht="8.5" hidden="false" customHeight="true" outlineLevel="0" collapsed="false">
      <c r="A54" s="5" t="s">
        <v>85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16" t="n">
        <f aca="false">SUM(B54:P54)</f>
        <v>0</v>
      </c>
      <c r="R54" s="58"/>
      <c r="U54" s="7"/>
    </row>
    <row r="55" customFormat="false" ht="8.5" hidden="false" customHeight="true" outlineLevel="0" collapsed="false">
      <c r="A55" s="5" t="s">
        <v>86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16" t="n">
        <f aca="false">SUM(B55:P55)</f>
        <v>0</v>
      </c>
      <c r="R55" s="58"/>
      <c r="U55" s="7"/>
    </row>
    <row r="56" customFormat="false" ht="8.5" hidden="false" customHeight="true" outlineLevel="0" collapsed="false">
      <c r="A56" s="5" t="s">
        <v>87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16" t="n">
        <f aca="false">SUM(B56:P56)</f>
        <v>0</v>
      </c>
      <c r="R56" s="58"/>
      <c r="U56" s="7"/>
    </row>
    <row r="57" customFormat="false" ht="8.5" hidden="false" customHeight="true" outlineLevel="0" collapsed="false">
      <c r="A57" s="5" t="s">
        <v>88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16" t="n">
        <f aca="false">SUM(B57:P57)</f>
        <v>0</v>
      </c>
      <c r="R57" s="58"/>
      <c r="U57" s="7"/>
    </row>
    <row r="58" customFormat="false" ht="8.5" hidden="false" customHeight="true" outlineLevel="0" collapsed="false">
      <c r="A58" s="5" t="s">
        <v>25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16" t="n">
        <f aca="false">SUM(B58:P58)</f>
        <v>0</v>
      </c>
      <c r="R58" s="7"/>
      <c r="U58" s="7"/>
    </row>
    <row r="59" customFormat="false" ht="8.5" hidden="false" customHeight="true" outlineLevel="0" collapsed="false">
      <c r="A59" s="5" t="s">
        <v>27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16" t="n">
        <f aca="false">SUM(B59:P59)</f>
        <v>0</v>
      </c>
      <c r="R59" s="7"/>
      <c r="U59" s="7"/>
    </row>
    <row r="60" customFormat="false" ht="8.5" hidden="false" customHeight="true" outlineLevel="0" collapsed="false">
      <c r="A60" s="5" t="s">
        <v>89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16" t="n">
        <f aca="false">SUM(B60:P60)</f>
        <v>0</v>
      </c>
      <c r="R60" s="43"/>
      <c r="S60" s="43"/>
      <c r="T60" s="43"/>
      <c r="U60" s="43"/>
    </row>
    <row r="61" customFormat="false" ht="8.5" hidden="false" customHeight="true" outlineLevel="0" collapsed="false">
      <c r="A61" s="5" t="s">
        <v>90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16" t="n">
        <f aca="false">SUM(B61:P61)</f>
        <v>0</v>
      </c>
      <c r="R61" s="43"/>
      <c r="S61" s="43"/>
      <c r="T61" s="43"/>
      <c r="U61" s="43"/>
    </row>
    <row r="62" customFormat="false" ht="8.5" hidden="false" customHeight="true" outlineLevel="0" collapsed="false">
      <c r="A62" s="5" t="s">
        <v>91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16" t="n">
        <f aca="false">SUM(B62:P62)</f>
        <v>0</v>
      </c>
      <c r="R62" s="43"/>
      <c r="S62" s="43"/>
      <c r="T62" s="43"/>
      <c r="U62" s="43"/>
    </row>
    <row r="63" customFormat="false" ht="8.5" hidden="false" customHeight="true" outlineLevel="0" collapsed="false">
      <c r="A63" s="5" t="s">
        <v>92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16" t="n">
        <f aca="false">SUM(B63:P63)</f>
        <v>0</v>
      </c>
      <c r="R63" s="43"/>
      <c r="S63" s="43"/>
      <c r="T63" s="43"/>
      <c r="U63" s="43"/>
    </row>
    <row r="64" customFormat="false" ht="8.5" hidden="false" customHeight="true" outlineLevel="0" collapsed="false">
      <c r="A64" s="33" t="s">
        <v>93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43"/>
      <c r="S64" s="43"/>
      <c r="T64" s="43"/>
      <c r="U64" s="43"/>
    </row>
    <row r="65" customFormat="false" ht="8.5" hidden="false" customHeight="true" outlineLevel="0" collapsed="false">
      <c r="A65" s="59" t="s">
        <v>94</v>
      </c>
      <c r="B65" s="60" t="n">
        <f aca="false">ROUNDDOWN(2.5 * EXP(20 *B23 / 33)) * 5000</f>
        <v>10000</v>
      </c>
      <c r="C65" s="60" t="n">
        <f aca="false">ROUNDDOWN(2.5 * EXP(20 *C23 / 33)) * 5000</f>
        <v>10000</v>
      </c>
      <c r="D65" s="60" t="n">
        <f aca="false">ROUNDDOWN(2.5 * EXP(20 *D23 / 33)) * 5000</f>
        <v>10000</v>
      </c>
      <c r="E65" s="60" t="n">
        <f aca="false">ROUNDDOWN(2.5 * EXP(20 *E23 / 33)) * 5000</f>
        <v>10000</v>
      </c>
      <c r="F65" s="60" t="n">
        <f aca="false">ROUNDDOWN(2.5 * EXP(20 *F23 / 33)) * 5000</f>
        <v>10000</v>
      </c>
      <c r="G65" s="60" t="n">
        <f aca="false">ROUNDDOWN(2.5 * EXP(20 *G23 / 33)) * 5000</f>
        <v>10000</v>
      </c>
      <c r="H65" s="60" t="n">
        <f aca="false">ROUNDDOWN(2.5 * EXP(20 *H23 / 33)) * 5000</f>
        <v>10000</v>
      </c>
      <c r="I65" s="60" t="n">
        <f aca="false">ROUNDDOWN(2.5 * EXP(20 *I23 / 33)) * 5000</f>
        <v>10000</v>
      </c>
      <c r="J65" s="60" t="n">
        <f aca="false">ROUNDDOWN(2.5 * EXP(20 *J23 / 33)) * 5000</f>
        <v>10000</v>
      </c>
      <c r="K65" s="60" t="n">
        <f aca="false">ROUNDDOWN(2.5 * EXP(20 *K23 / 33)) * 5000</f>
        <v>10000</v>
      </c>
      <c r="L65" s="60" t="n">
        <f aca="false">ROUNDDOWN(2.5 * EXP(20 *L23 / 33)) * 5000</f>
        <v>10000</v>
      </c>
      <c r="M65" s="60" t="n">
        <f aca="false">ROUNDDOWN(2.5 * EXP(20 *M23 / 33)) * 5000</f>
        <v>10000</v>
      </c>
      <c r="N65" s="60" t="n">
        <f aca="false">ROUNDDOWN(2.5 * EXP(20 *N23 / 33)) * 5000</f>
        <v>10000</v>
      </c>
      <c r="O65" s="60" t="n">
        <f aca="false">ROUNDDOWN(2.5 * EXP(20 *O23 / 33)) * 5000</f>
        <v>10000</v>
      </c>
      <c r="P65" s="60" t="n">
        <f aca="false">ROUNDDOWN(2.5 * EXP(20 *P23 / 33)) * 5000</f>
        <v>10000</v>
      </c>
      <c r="Q65" s="61"/>
      <c r="R65" s="43"/>
      <c r="S65" s="43"/>
      <c r="T65" s="43"/>
      <c r="U65" s="43"/>
    </row>
    <row r="66" customFormat="false" ht="8.5" hidden="false" customHeight="true" outlineLevel="0" collapsed="false">
      <c r="A66" s="62" t="s">
        <v>95</v>
      </c>
      <c r="B66" s="63" t="n">
        <f aca="false">B65/(Production!G4*24)</f>
        <v>4.62962962962963</v>
      </c>
      <c r="C66" s="63" t="e">
        <f aca="false">C65/(Production!G5*24)</f>
        <v>#DIV/0!</v>
      </c>
      <c r="D66" s="63" t="e">
        <f aca="false">D65/(Production!G6*24)</f>
        <v>#DIV/0!</v>
      </c>
      <c r="E66" s="63" t="e">
        <f aca="false">E65/(Production!G7*24)</f>
        <v>#DIV/0!</v>
      </c>
      <c r="F66" s="63" t="e">
        <f aca="false">F65/(Production!G8*24)</f>
        <v>#DIV/0!</v>
      </c>
      <c r="G66" s="63" t="e">
        <f aca="false">G65/(Production!G9*24)</f>
        <v>#DIV/0!</v>
      </c>
      <c r="H66" s="63" t="e">
        <f aca="false">H65/(Production!G10*24)</f>
        <v>#DIV/0!</v>
      </c>
      <c r="I66" s="63" t="e">
        <f aca="false">I65/(Production!G11*24)</f>
        <v>#DIV/0!</v>
      </c>
      <c r="J66" s="63" t="e">
        <f aca="false">J65/(Production!G12*24)</f>
        <v>#DIV/0!</v>
      </c>
      <c r="K66" s="63" t="e">
        <f aca="false">K65/(Production!G13*24)</f>
        <v>#DIV/0!</v>
      </c>
      <c r="L66" s="63" t="e">
        <f aca="false">L65/(Production!G14*24)</f>
        <v>#DIV/0!</v>
      </c>
      <c r="M66" s="63" t="e">
        <f aca="false">M65/(Production!G15*24)</f>
        <v>#DIV/0!</v>
      </c>
      <c r="N66" s="63" t="e">
        <f aca="false">N65/(Production!G16*24)</f>
        <v>#DIV/0!</v>
      </c>
      <c r="O66" s="63" t="e">
        <f aca="false">O65/(Production!G17*24)</f>
        <v>#DIV/0!</v>
      </c>
      <c r="P66" s="63" t="e">
        <f aca="false">P65/(Production!G18*24)</f>
        <v>#DIV/0!</v>
      </c>
      <c r="Q66" s="61"/>
      <c r="R66" s="43"/>
      <c r="S66" s="43"/>
      <c r="T66" s="43"/>
      <c r="U66" s="43"/>
    </row>
    <row r="67" customFormat="false" ht="8.5" hidden="false" customHeight="true" outlineLevel="0" collapsed="false">
      <c r="A67" s="59" t="s">
        <v>94</v>
      </c>
      <c r="B67" s="60" t="n">
        <f aca="false">ROUNDDOWN(2.5 * EXP(20 *B24 / 33)) * 5000</f>
        <v>10000</v>
      </c>
      <c r="C67" s="60" t="n">
        <f aca="false">ROUNDDOWN(2.5 * EXP(20 *C24 / 33)) * 5000</f>
        <v>10000</v>
      </c>
      <c r="D67" s="60" t="n">
        <f aca="false">ROUNDDOWN(2.5 * EXP(20 *D24 / 33)) * 5000</f>
        <v>10000</v>
      </c>
      <c r="E67" s="60" t="n">
        <f aca="false">ROUNDDOWN(2.5 * EXP(20 *E24 / 33)) * 5000</f>
        <v>10000</v>
      </c>
      <c r="F67" s="60" t="n">
        <f aca="false">ROUNDDOWN(2.5 * EXP(20 *F24 / 33)) * 5000</f>
        <v>10000</v>
      </c>
      <c r="G67" s="60" t="n">
        <f aca="false">ROUNDDOWN(2.5 * EXP(20 *G24 / 33)) * 5000</f>
        <v>10000</v>
      </c>
      <c r="H67" s="60" t="n">
        <f aca="false">ROUNDDOWN(2.5 * EXP(20 *H24 / 33)) * 5000</f>
        <v>10000</v>
      </c>
      <c r="I67" s="60" t="n">
        <f aca="false">ROUNDDOWN(2.5 * EXP(20 *I24 / 33)) * 5000</f>
        <v>10000</v>
      </c>
      <c r="J67" s="60" t="n">
        <f aca="false">ROUNDDOWN(2.5 * EXP(20 *J24 / 33)) * 5000</f>
        <v>10000</v>
      </c>
      <c r="K67" s="60" t="n">
        <f aca="false">ROUNDDOWN(2.5 * EXP(20 *K24 / 33)) * 5000</f>
        <v>10000</v>
      </c>
      <c r="L67" s="60" t="n">
        <f aca="false">ROUNDDOWN(2.5 * EXP(20 *L24 / 33)) * 5000</f>
        <v>10000</v>
      </c>
      <c r="M67" s="60" t="n">
        <f aca="false">ROUNDDOWN(2.5 * EXP(20 *M24 / 33)) * 5000</f>
        <v>10000</v>
      </c>
      <c r="N67" s="60" t="n">
        <f aca="false">ROUNDDOWN(2.5 * EXP(20 *N24 / 33)) * 5000</f>
        <v>10000</v>
      </c>
      <c r="O67" s="60" t="n">
        <f aca="false">ROUNDDOWN(2.5 * EXP(20 *O24 / 33)) * 5000</f>
        <v>10000</v>
      </c>
      <c r="P67" s="60" t="n">
        <f aca="false">ROUNDDOWN(2.5 * EXP(20 *P24 / 33)) * 5000</f>
        <v>10000</v>
      </c>
      <c r="Q67" s="61"/>
      <c r="R67" s="43"/>
      <c r="S67" s="43"/>
      <c r="T67" s="43"/>
      <c r="U67" s="43"/>
    </row>
    <row r="68" customFormat="false" ht="8.5" hidden="false" customHeight="true" outlineLevel="0" collapsed="false">
      <c r="A68" s="62" t="s">
        <v>95</v>
      </c>
      <c r="B68" s="63" t="n">
        <f aca="false">B67/(Production!L4*24)</f>
        <v>9.25925925925926</v>
      </c>
      <c r="C68" s="63" t="e">
        <f aca="false">C67/(Production!L5*24)</f>
        <v>#DIV/0!</v>
      </c>
      <c r="D68" s="63" t="e">
        <f aca="false">D67/(Production!L6*24)</f>
        <v>#DIV/0!</v>
      </c>
      <c r="E68" s="63" t="e">
        <f aca="false">E67/(Production!L7*24)</f>
        <v>#DIV/0!</v>
      </c>
      <c r="F68" s="63" t="e">
        <f aca="false">F67/(Production!L8*24)</f>
        <v>#DIV/0!</v>
      </c>
      <c r="G68" s="63" t="e">
        <f aca="false">G67/(Production!L9*24)</f>
        <v>#DIV/0!</v>
      </c>
      <c r="H68" s="63" t="e">
        <f aca="false">H67/(Production!L10*24)</f>
        <v>#DIV/0!</v>
      </c>
      <c r="I68" s="63" t="e">
        <f aca="false">I67/(Production!L11*24)</f>
        <v>#DIV/0!</v>
      </c>
      <c r="J68" s="63" t="e">
        <f aca="false">J67/(Production!L12*24)</f>
        <v>#DIV/0!</v>
      </c>
      <c r="K68" s="63" t="e">
        <f aca="false">K67/(Production!L13*24)</f>
        <v>#DIV/0!</v>
      </c>
      <c r="L68" s="63" t="e">
        <f aca="false">L67/(Production!L14*24)</f>
        <v>#DIV/0!</v>
      </c>
      <c r="M68" s="63" t="e">
        <f aca="false">M67/(Production!L15*24)</f>
        <v>#DIV/0!</v>
      </c>
      <c r="N68" s="63" t="e">
        <f aca="false">N67/(Production!L16*24)</f>
        <v>#DIV/0!</v>
      </c>
      <c r="O68" s="63" t="e">
        <f aca="false">O67/(Production!L17*24)</f>
        <v>#DIV/0!</v>
      </c>
      <c r="P68" s="63" t="e">
        <f aca="false">P67/(Production!L18*24)</f>
        <v>#DIV/0!</v>
      </c>
      <c r="Q68" s="61"/>
      <c r="R68" s="43"/>
      <c r="S68" s="43"/>
      <c r="T68" s="43"/>
      <c r="U68" s="43"/>
    </row>
    <row r="69" customFormat="false" ht="8.5" hidden="false" customHeight="true" outlineLevel="0" collapsed="false">
      <c r="A69" s="59" t="s">
        <v>94</v>
      </c>
      <c r="B69" s="60" t="n">
        <f aca="false">ROUNDDOWN(2.5 * EXP(20 *B25/ 33)) * 5000</f>
        <v>10000</v>
      </c>
      <c r="C69" s="60" t="n">
        <f aca="false">ROUNDDOWN(2.5 * EXP(20 *C25/ 33)) * 5000</f>
        <v>10000</v>
      </c>
      <c r="D69" s="60" t="n">
        <f aca="false">ROUNDDOWN(2.5 * EXP(20 *D25/ 33)) * 5000</f>
        <v>10000</v>
      </c>
      <c r="E69" s="60" t="n">
        <f aca="false">ROUNDDOWN(2.5 * EXP(20 *E25/ 33)) * 5000</f>
        <v>10000</v>
      </c>
      <c r="F69" s="60" t="n">
        <f aca="false">ROUNDDOWN(2.5 * EXP(20 *F25/ 33)) * 5000</f>
        <v>10000</v>
      </c>
      <c r="G69" s="60" t="n">
        <f aca="false">ROUNDDOWN(2.5 * EXP(20 *G25/ 33)) * 5000</f>
        <v>10000</v>
      </c>
      <c r="H69" s="60" t="n">
        <f aca="false">ROUNDDOWN(2.5 * EXP(20 *H25/ 33)) * 5000</f>
        <v>10000</v>
      </c>
      <c r="I69" s="60" t="n">
        <f aca="false">ROUNDDOWN(2.5 * EXP(20 *I25/ 33)) * 5000</f>
        <v>10000</v>
      </c>
      <c r="J69" s="60" t="n">
        <f aca="false">ROUNDDOWN(2.5 * EXP(20 *J25/ 33)) * 5000</f>
        <v>10000</v>
      </c>
      <c r="K69" s="60" t="n">
        <f aca="false">ROUNDDOWN(2.5 * EXP(20 *K25/ 33)) * 5000</f>
        <v>10000</v>
      </c>
      <c r="L69" s="60" t="n">
        <f aca="false">ROUNDDOWN(2.5 * EXP(20 *L25/ 33)) * 5000</f>
        <v>10000</v>
      </c>
      <c r="M69" s="60" t="n">
        <f aca="false">ROUNDDOWN(2.5 * EXP(20 *M25/ 33)) * 5000</f>
        <v>10000</v>
      </c>
      <c r="N69" s="60" t="n">
        <f aca="false">ROUNDDOWN(2.5 * EXP(20 *N25/ 33)) * 5000</f>
        <v>10000</v>
      </c>
      <c r="O69" s="60" t="n">
        <f aca="false">ROUNDDOWN(2.5 * EXP(20 *O25/ 33)) * 5000</f>
        <v>10000</v>
      </c>
      <c r="P69" s="60" t="n">
        <f aca="false">ROUNDDOWN(2.5 * EXP(20 *P25/ 33)) * 5000</f>
        <v>10000</v>
      </c>
      <c r="Q69" s="61"/>
      <c r="R69" s="43"/>
      <c r="S69" s="43"/>
      <c r="T69" s="43"/>
      <c r="U69" s="43"/>
    </row>
    <row r="70" customFormat="false" ht="8.5" hidden="false" customHeight="true" outlineLevel="0" collapsed="false">
      <c r="A70" s="62" t="s">
        <v>95</v>
      </c>
      <c r="B70" s="63" t="e">
        <f aca="false">B69/(24*Production!Q4)</f>
        <v>#DIV/0!</v>
      </c>
      <c r="C70" s="63" t="e">
        <f aca="false">C69/(24*Production!Q5)</f>
        <v>#DIV/0!</v>
      </c>
      <c r="D70" s="63" t="e">
        <f aca="false">D69/(24*Production!Q6)</f>
        <v>#DIV/0!</v>
      </c>
      <c r="E70" s="63" t="e">
        <f aca="false">E69/(24*Production!Q7)</f>
        <v>#DIV/0!</v>
      </c>
      <c r="F70" s="63" t="e">
        <f aca="false">F69/(24*Production!Q8)</f>
        <v>#DIV/0!</v>
      </c>
      <c r="G70" s="63" t="e">
        <f aca="false">G69/(24*Production!Q9)</f>
        <v>#DIV/0!</v>
      </c>
      <c r="H70" s="63" t="e">
        <f aca="false">H69/(24*Production!Q10)</f>
        <v>#DIV/0!</v>
      </c>
      <c r="I70" s="63" t="e">
        <f aca="false">I69/(24*Production!Q11)</f>
        <v>#DIV/0!</v>
      </c>
      <c r="J70" s="63" t="e">
        <f aca="false">J69/(24*Production!Q12)</f>
        <v>#DIV/0!</v>
      </c>
      <c r="K70" s="63" t="e">
        <f aca="false">K69/(24*Production!Q13)</f>
        <v>#DIV/0!</v>
      </c>
      <c r="L70" s="63" t="e">
        <f aca="false">L69/(24*Production!Q14)</f>
        <v>#DIV/0!</v>
      </c>
      <c r="M70" s="63" t="e">
        <f aca="false">M69/(24*Production!Q15)</f>
        <v>#DIV/0!</v>
      </c>
      <c r="N70" s="63" t="e">
        <f aca="false">N69/(24*Production!Q16)</f>
        <v>#DIV/0!</v>
      </c>
      <c r="O70" s="63" t="e">
        <f aca="false">O69/(24*Production!Q17)</f>
        <v>#DIV/0!</v>
      </c>
      <c r="P70" s="63" t="e">
        <f aca="false">P69/(24*Production!Q18)</f>
        <v>#DIV/0!</v>
      </c>
      <c r="Q70" s="61"/>
      <c r="R70" s="43"/>
      <c r="S70" s="43"/>
      <c r="T70" s="43"/>
      <c r="U70" s="43"/>
    </row>
  </sheetData>
  <mergeCells count="23">
    <mergeCell ref="A1:Q1"/>
    <mergeCell ref="S1:U1"/>
    <mergeCell ref="S8:U8"/>
    <mergeCell ref="S9:U10"/>
    <mergeCell ref="A11:Q11"/>
    <mergeCell ref="S12:T12"/>
    <mergeCell ref="A17:Q17"/>
    <mergeCell ref="S31:T31"/>
    <mergeCell ref="S32:T32"/>
    <mergeCell ref="A33:Q33"/>
    <mergeCell ref="S33:T33"/>
    <mergeCell ref="S34:T34"/>
    <mergeCell ref="S35:T35"/>
    <mergeCell ref="S36:T36"/>
    <mergeCell ref="S38:S40"/>
    <mergeCell ref="T38:T40"/>
    <mergeCell ref="A39:Q39"/>
    <mergeCell ref="S46:U46"/>
    <mergeCell ref="S47:U48"/>
    <mergeCell ref="S49:U49"/>
    <mergeCell ref="S50:U51"/>
    <mergeCell ref="A53:Q53"/>
    <mergeCell ref="A64:Q64"/>
  </mergeCells>
  <conditionalFormatting sqref="B7:N7">
    <cfRule type="cellIs" priority="2" operator="lessThanOrEqual" aboveAverage="0" equalAverage="0" bottom="0" percent="0" rank="0" text="" dxfId="0">
      <formula>5</formula>
    </cfRule>
    <cfRule type="cellIs" priority="3" operator="lessThanOrEqual" aboveAverage="0" equalAverage="0" bottom="0" percent="0" rank="0" text="" dxfId="1">
      <formula>15</formula>
    </cfRule>
    <cfRule type="cellIs" priority="4" operator="greaterThan" aboveAverage="0" equalAverage="0" bottom="0" percent="0" rank="0" text="" dxfId="2">
      <formula>15</formula>
    </cfRule>
  </conditionalFormatting>
  <conditionalFormatting sqref="O7">
    <cfRule type="cellIs" priority="5" operator="lessThanOrEqual" aboveAverage="0" equalAverage="0" bottom="0" percent="0" rank="0" text="" dxfId="0">
      <formula>5</formula>
    </cfRule>
    <cfRule type="cellIs" priority="6" operator="lessThanOrEqual" aboveAverage="0" equalAverage="0" bottom="0" percent="0" rank="0" text="" dxfId="1">
      <formula>15</formula>
    </cfRule>
    <cfRule type="cellIs" priority="7" operator="greaterThan" aboveAverage="0" equalAverage="0" bottom="0" percent="0" rank="0" text="" dxfId="2">
      <formula>15</formula>
    </cfRule>
  </conditionalFormatting>
  <conditionalFormatting sqref="P7">
    <cfRule type="cellIs" priority="8" operator="lessThanOrEqual" aboveAverage="0" equalAverage="0" bottom="0" percent="0" rank="0" text="" dxfId="0">
      <formula>5</formula>
    </cfRule>
    <cfRule type="cellIs" priority="9" operator="lessThanOrEqual" aboveAverage="0" equalAverage="0" bottom="0" percent="0" rank="0" text="" dxfId="1">
      <formula>15</formula>
    </cfRule>
    <cfRule type="cellIs" priority="10" operator="greaterThan" aboveAverage="0" equalAverage="0" bottom="0" percent="0" rank="0" text="" dxfId="2">
      <formula>15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RowHeight="8.2"/>
  <cols>
    <col collapsed="false" hidden="false" max="1" min="1" style="7" width="11.530612244898"/>
    <col collapsed="false" hidden="false" max="2" min="2" style="7" width="5.41836734693878"/>
    <col collapsed="false" hidden="false" max="3" min="3" style="7" width="10.5561224489796"/>
    <col collapsed="false" hidden="false" max="4" min="4" style="7" width="10.4132653061225"/>
    <col collapsed="false" hidden="false" max="5" min="5" style="7" width="10"/>
    <col collapsed="false" hidden="false" max="6" min="6" style="7" width="8.46938775510204"/>
    <col collapsed="false" hidden="false" max="7" min="7" style="7" width="6.24489795918367"/>
    <col collapsed="false" hidden="false" max="8" min="8" style="7" width="13.3367346938776"/>
    <col collapsed="false" hidden="false" max="9" min="9" style="7" width="6.93877551020408"/>
    <col collapsed="false" hidden="false" max="10" min="10" style="7" width="5.96428571428571"/>
    <col collapsed="false" hidden="false" max="11" min="11" style="7" width="11.1122448979592"/>
    <col collapsed="false" hidden="false" max="12" min="12" style="7" width="5.55102040816327"/>
    <col collapsed="false" hidden="false" max="13" min="13" style="7" width="9.02551020408163"/>
    <col collapsed="false" hidden="false" max="14" min="14" style="7" width="10.4132653061225"/>
    <col collapsed="false" hidden="false" max="15" min="15" style="7" width="10.1428571428571"/>
    <col collapsed="false" hidden="false" max="16" min="16" style="7" width="11.8061224489796"/>
    <col collapsed="false" hidden="false" max="17" min="17" style="7" width="6.80612244897959"/>
    <col collapsed="false" hidden="false" max="18" min="18" style="7" width="6.93877551020408"/>
    <col collapsed="false" hidden="false" max="19" min="19" style="7" width="10.6938775510204"/>
    <col collapsed="false" hidden="false" max="20" min="20" style="7" width="6.38775510204082"/>
    <col collapsed="false" hidden="false" max="21" min="21" style="7" width="8.46938775510204"/>
    <col collapsed="false" hidden="false" max="22" min="22" style="7" width="6.24489795918367"/>
    <col collapsed="false" hidden="false" max="23" min="23" style="7" width="5.83163265306122"/>
    <col collapsed="false" hidden="false" max="24" min="24" style="7" width="11.5204081632653"/>
    <col collapsed="false" hidden="false" max="25" min="25" style="7" width="7.21938775510204"/>
    <col collapsed="false" hidden="false" max="26" min="26" style="7" width="5.13775510204082"/>
    <col collapsed="false" hidden="false" max="1025" min="27" style="7" width="11.5204081632653"/>
  </cols>
  <sheetData>
    <row r="1" customFormat="false" ht="8.2" hidden="false" customHeight="true" outlineLevel="0" collapsed="false">
      <c r="A1" s="33" t="s">
        <v>213</v>
      </c>
      <c r="B1" s="33"/>
      <c r="C1" s="33"/>
      <c r="D1" s="33"/>
      <c r="E1" s="33"/>
      <c r="F1" s="33"/>
      <c r="G1" s="33"/>
      <c r="H1" s="33"/>
      <c r="I1" s="33" t="s">
        <v>214</v>
      </c>
      <c r="J1" s="33"/>
      <c r="K1" s="33" t="s">
        <v>215</v>
      </c>
      <c r="L1" s="33"/>
      <c r="M1" s="33"/>
      <c r="N1" s="33"/>
      <c r="O1" s="33"/>
      <c r="P1" s="33"/>
      <c r="Q1" s="33"/>
      <c r="R1" s="33"/>
      <c r="S1" s="33" t="s">
        <v>216</v>
      </c>
      <c r="T1" s="33"/>
      <c r="U1" s="33"/>
      <c r="V1" s="33"/>
      <c r="W1" s="33"/>
      <c r="X1" s="33"/>
      <c r="Y1" s="33"/>
      <c r="Z1" s="33"/>
    </row>
    <row r="2" customFormat="false" ht="8.2" hidden="false" customHeight="true" outlineLevel="0" collapsed="false">
      <c r="A2" s="51"/>
      <c r="B2" s="51" t="s">
        <v>108</v>
      </c>
      <c r="C2" s="51" t="s">
        <v>21</v>
      </c>
      <c r="D2" s="51" t="s">
        <v>23</v>
      </c>
      <c r="E2" s="51" t="s">
        <v>24</v>
      </c>
      <c r="F2" s="51" t="s">
        <v>19</v>
      </c>
      <c r="G2" s="46" t="s">
        <v>68</v>
      </c>
      <c r="H2" s="46" t="s">
        <v>217</v>
      </c>
      <c r="I2" s="151" t="n">
        <v>-0.5</v>
      </c>
      <c r="J2" s="46" t="s">
        <v>218</v>
      </c>
      <c r="K2" s="51"/>
      <c r="L2" s="51" t="s">
        <v>219</v>
      </c>
      <c r="M2" s="51" t="s">
        <v>220</v>
      </c>
      <c r="N2" s="51" t="s">
        <v>21</v>
      </c>
      <c r="O2" s="51" t="s">
        <v>23</v>
      </c>
      <c r="P2" s="51" t="s">
        <v>221</v>
      </c>
      <c r="Q2" s="51" t="s">
        <v>19</v>
      </c>
      <c r="R2" s="46" t="s">
        <v>68</v>
      </c>
      <c r="S2" s="51"/>
      <c r="T2" s="51" t="s">
        <v>108</v>
      </c>
      <c r="U2" s="51" t="s">
        <v>220</v>
      </c>
      <c r="V2" s="51" t="s">
        <v>21</v>
      </c>
      <c r="W2" s="51" t="s">
        <v>23</v>
      </c>
      <c r="X2" s="51" t="s">
        <v>24</v>
      </c>
      <c r="Y2" s="46" t="s">
        <v>222</v>
      </c>
      <c r="Z2" s="46" t="s">
        <v>68</v>
      </c>
    </row>
    <row r="3" customFormat="false" ht="8.2" hidden="false" customHeight="true" outlineLevel="0" collapsed="false">
      <c r="A3" s="152" t="s">
        <v>31</v>
      </c>
      <c r="B3" s="129" t="n">
        <v>1</v>
      </c>
      <c r="C3" s="153" t="n">
        <f aca="false">60 * 1.5^(B3-1)</f>
        <v>60</v>
      </c>
      <c r="D3" s="153" t="n">
        <f aca="false"> 15 * 1.5^(B3-1)</f>
        <v>15</v>
      </c>
      <c r="E3" s="153" t="n">
        <v>0</v>
      </c>
      <c r="F3" s="153" t="n">
        <v>0</v>
      </c>
      <c r="G3" s="16" t="n">
        <f aca="false">ROUNDUP((SUM(C3:E3))/25000)</f>
        <v>1</v>
      </c>
      <c r="H3" s="154" t="e">
        <f aca="false">SECOND((ROUNDDOWN(((($C3+$D3)/5000)*(2/(1+$T$21))*0.5^$T$23)*3600,0)/86400)/'Autres options'!$B$29)+100*MINUTE((ROUNDUP(((($C3+$D3)/5000)*(2/(1+$T$21))*0.5^$T$23)*3600,0)/86400)/'Autres options'!$B$29)+10000*HOUR((ROUNDUP(((($C3+$D3)/5000)*(2/(1+$T$21))*0.5^$T$23)*3600,0)/86400)/'Autres options'!$B$29)+1000000*ROUNDDOWN((ROUNDUP(((($C3+$D3)/5000)*(2/(1+$T$21))*0.5^$T$23)*3600,0)/86400)/'Autres options'!$B$29,0)</f>
        <v>#DIV/0!</v>
      </c>
      <c r="I3" s="111" t="e">
        <f aca="false">IF(750*(ROUNDUP((((((($C3+$D3)/(2500*(1+$T$21)*(2^$T$23)))/24)/'Autres options'!$B$29)*24)*60)/30))&lt;72000,750*(ROUNDUP((((((($C3+$D3)/(2500*(1+$T$21)*(2^$T$23)))/24)/'Autres options'!$B$29)*24)*60)/30)),72000)</f>
        <v>#DIV/0!</v>
      </c>
      <c r="J3" s="111" t="e">
        <f aca="false">$I3*2</f>
        <v>#DIV/0!</v>
      </c>
      <c r="K3" s="152" t="s">
        <v>31</v>
      </c>
      <c r="L3" s="129" t="n">
        <v>0</v>
      </c>
      <c r="M3" s="129" t="n">
        <v>0</v>
      </c>
      <c r="N3" s="153" t="n">
        <f aca="false">(60 * (1 - 1.5^$M$3) / (-0.5))-(60 * (1 - 1.5^$L$3) / (-0.5))</f>
        <v>0</v>
      </c>
      <c r="O3" s="153" t="n">
        <f aca="false">(15 * (1 - 1.5^M3) / (-0.5))-15 * (1 - 1.5^L3) / (-0.5)</f>
        <v>0</v>
      </c>
      <c r="P3" s="153" t="n">
        <v>0</v>
      </c>
      <c r="Q3" s="153" t="n">
        <v>0</v>
      </c>
      <c r="R3" s="16" t="n">
        <f aca="false">ROUNDUP((SUM(N3:P3))/25000)</f>
        <v>0</v>
      </c>
      <c r="S3" s="152" t="s">
        <v>31</v>
      </c>
      <c r="T3" s="129" t="n">
        <v>1</v>
      </c>
      <c r="U3" s="129" t="n">
        <v>1</v>
      </c>
      <c r="V3" s="153" t="n">
        <f aca="false">(1 - 0.04 * 'Projet Minier'!T14) * (60 * (1 - 1.5^(T3-1)) / (-0.5) - (60 * (1 - 1.5^(U3-1)) / (-0.5)))</f>
        <v>0</v>
      </c>
      <c r="W3" s="153" t="n">
        <f aca="false">(1 - 0.04 * 'Projet Minier'!T14) * (15 * (1 - 1.5^(T3-1)) / (-0.5) - (15 * (1 - 1.5^(U3-1)) / (-0.5)))</f>
        <v>0</v>
      </c>
      <c r="X3" s="153" t="n">
        <v>0</v>
      </c>
      <c r="Y3" s="155" t="e">
        <f aca="false">(((V3+W3)/(2500*(1+T21)*(2^T23)))/24)/'Autres options'!B29</f>
        <v>#DIV/0!</v>
      </c>
      <c r="Z3" s="16" t="n">
        <f aca="false">ROUNDUP((SUM(V3:X3))/25000)</f>
        <v>0</v>
      </c>
    </row>
    <row r="4" customFormat="false" ht="8.2" hidden="false" customHeight="true" outlineLevel="0" collapsed="false">
      <c r="A4" s="152" t="s">
        <v>33</v>
      </c>
      <c r="B4" s="129" t="n">
        <v>1</v>
      </c>
      <c r="C4" s="153" t="n">
        <f aca="false">48 * 1.6^(B4-1)</f>
        <v>48</v>
      </c>
      <c r="D4" s="153" t="n">
        <f aca="false">24 * 1.6^(B4-1)</f>
        <v>24</v>
      </c>
      <c r="E4" s="153" t="n">
        <v>0</v>
      </c>
      <c r="F4" s="153" t="n">
        <v>0</v>
      </c>
      <c r="G4" s="16" t="n">
        <f aca="false">ROUNDUP((SUM(C4:E4))/25000)</f>
        <v>1</v>
      </c>
      <c r="H4" s="154" t="e">
        <f aca="false">SECOND((ROUNDDOWN(((($C4+$D4)/5000)*(2/(1+$T$21))*0.5^$T$23)*3600,0)/86400)/'Autres options'!$B$29)+100*MINUTE((ROUNDUP(((($C4+$D4)/5000)*(2/(1+$T$21))*0.5^$T$23)*3600,0)/86400)/'Autres options'!$B$29)+10000*HOUR((ROUNDUP(((($C4+$D4)/5000)*(2/(1+$T$21))*0.5^$T$23)*3600,0)/86400)/'Autres options'!$B$29)+1000000*ROUNDDOWN((ROUNDUP(((($C4+$D4)/5000)*(2/(1+$T$21))*0.5^$T$23)*3600,0)/86400)/'Autres options'!$B$29,0)</f>
        <v>#DIV/0!</v>
      </c>
      <c r="I4" s="111" t="e">
        <f aca="false">IF(750*(ROUNDUP((((((($C4+$D4)/(2500*(1+$T$21)*(2^$T$23)))/24)/'Autres options'!$B$29)*24)*60)/30))&lt;72000,750*(ROUNDUP((((((($C4+$D4)/(2500*(1+$T$21)*(2^$T$23)))/24)/'Autres options'!$B$29)*24)*60)/30)),72000)</f>
        <v>#DIV/0!</v>
      </c>
      <c r="J4" s="111" t="e">
        <f aca="false">$I4*2</f>
        <v>#DIV/0!</v>
      </c>
      <c r="K4" s="152" t="s">
        <v>33</v>
      </c>
      <c r="L4" s="129" t="n">
        <v>0</v>
      </c>
      <c r="M4" s="129" t="n">
        <v>0</v>
      </c>
      <c r="N4" s="153" t="n">
        <f aca="false">(48 * (1 - 1.6^$M$4) / (-0.6))-(48 * (1 - 1.6^$L$4) / (-0.6))</f>
        <v>0</v>
      </c>
      <c r="O4" s="153" t="n">
        <f aca="false">(24 * (1 - 1.6^M4) / (-0.6))-(24 * (1 - 1.6^L4) / (-0.6))</f>
        <v>0</v>
      </c>
      <c r="P4" s="153" t="n">
        <v>0</v>
      </c>
      <c r="Q4" s="153" t="n">
        <v>0</v>
      </c>
      <c r="R4" s="16" t="n">
        <f aca="false">ROUNDUP((SUM(N4:P4))/25000)</f>
        <v>0</v>
      </c>
      <c r="S4" s="152" t="s">
        <v>33</v>
      </c>
      <c r="T4" s="129" t="n">
        <v>1</v>
      </c>
      <c r="U4" s="129" t="n">
        <v>1</v>
      </c>
      <c r="V4" s="153" t="n">
        <f aca="false">(1 - 0.04 * 'Projet Minier'!T14) * (48 * (1 - 1.6^(T4-1)) / (-0.6) - (48 * (1 - 1.6^(U4-1)) / (-0.6)))</f>
        <v>0</v>
      </c>
      <c r="W4" s="153" t="n">
        <f aca="false">(1 - 0.04 * 'Projet Minier'!T14) * (24 * (1 - 1.6^(T4-1)) / (-0.6) - (24 * (1 - 1.6^(U4-1)) / (-0.6)))</f>
        <v>0</v>
      </c>
      <c r="X4" s="153" t="n">
        <v>0</v>
      </c>
      <c r="Y4" s="155" t="e">
        <f aca="false">(((V4+W4)/(2500*(1+T21)*(2^T23)))/24)/'Autres options'!B29</f>
        <v>#DIV/0!</v>
      </c>
      <c r="Z4" s="16" t="n">
        <f aca="false">ROUNDUP((SUM(V4:X4))/25000)</f>
        <v>0</v>
      </c>
    </row>
    <row r="5" customFormat="false" ht="8.2" hidden="false" customHeight="true" outlineLevel="0" collapsed="false">
      <c r="A5" s="152" t="s">
        <v>35</v>
      </c>
      <c r="B5" s="129" t="n">
        <v>1</v>
      </c>
      <c r="C5" s="153" t="n">
        <f aca="false">225*1.5^(B5-1)</f>
        <v>225</v>
      </c>
      <c r="D5" s="153" t="n">
        <f aca="false">75 * 1.5^(B5-1)</f>
        <v>75</v>
      </c>
      <c r="E5" s="153" t="n">
        <v>0</v>
      </c>
      <c r="F5" s="153" t="n">
        <v>0</v>
      </c>
      <c r="G5" s="16" t="n">
        <f aca="false">ROUNDUP((SUM(C5:E5))/25000)</f>
        <v>1</v>
      </c>
      <c r="H5" s="154" t="e">
        <f aca="false">SECOND((ROUNDDOWN(((($C5+$D5)/5000)*(2/(1+$T$21))*0.5^$T$23)*3600,0)/86400)/'Autres options'!$B$29)+100*MINUTE((ROUNDUP(((($C5+$D5)/5000)*(2/(1+$T$21))*0.5^$T$23)*3600,0)/86400)/'Autres options'!$B$29)+10000*HOUR((ROUNDUP(((($C5+$D5)/5000)*(2/(1+$T$21))*0.5^$T$23)*3600,0)/86400)/'Autres options'!$B$29)+1000000*ROUNDDOWN((ROUNDUP(((($C5+$D5)/5000)*(2/(1+$T$21))*0.5^$T$23)*3600,0)/86400)/'Autres options'!$B$29,0)</f>
        <v>#DIV/0!</v>
      </c>
      <c r="I5" s="111" t="e">
        <f aca="false">IF(750*(ROUNDUP((((((($C5+$D5)/(2500*(1+$T$21)*(2^$T$23)))/24)/'Autres options'!$B$29)*24)*60)/30))&lt;72000,750*(ROUNDUP((((((($C5+$D5)/(2500*(1+$T$21)*(2^$T$23)))/24)/'Autres options'!$B$29)*24)*60)/30)),72000)</f>
        <v>#DIV/0!</v>
      </c>
      <c r="J5" s="111" t="e">
        <f aca="false">$I5*2</f>
        <v>#DIV/0!</v>
      </c>
      <c r="K5" s="152" t="s">
        <v>35</v>
      </c>
      <c r="L5" s="129" t="n">
        <v>0</v>
      </c>
      <c r="M5" s="129" t="n">
        <v>0</v>
      </c>
      <c r="N5" s="153" t="n">
        <f aca="false">(225 * (1 - 1.5^$M$5) / (-0.5))-(225 * (1 - 1.5^$L$5) / (-0.5))</f>
        <v>0</v>
      </c>
      <c r="O5" s="153" t="n">
        <f aca="false">(75 * (1 - 1.5^M5) / (-0.5))-(75 * (1 - 1.5^L5) / (-0.5))</f>
        <v>0</v>
      </c>
      <c r="P5" s="153" t="n">
        <v>0</v>
      </c>
      <c r="Q5" s="153" t="n">
        <v>0</v>
      </c>
      <c r="R5" s="16" t="n">
        <f aca="false">ROUNDUP((SUM(N5:P5))/25000)</f>
        <v>0</v>
      </c>
      <c r="S5" s="152" t="s">
        <v>223</v>
      </c>
      <c r="T5" s="129" t="n">
        <v>1</v>
      </c>
      <c r="U5" s="129" t="n">
        <v>1</v>
      </c>
      <c r="V5" s="153" t="n">
        <f aca="false">(1 - 0.04 * 'Projet Minier'!T14) * (225 * (1 - 1.5^(T5-1)) / (-0.5) - (225 * (1 - 1.5^(U5-1)) / (-0.5)))</f>
        <v>0</v>
      </c>
      <c r="W5" s="153" t="n">
        <f aca="false">(1 - 0.04 * 'Projet Minier'!T14) * (75 * (1 - 1.5^(T5-1)) / (-0.5) - (75 * (1 - 1.5^(U5-1)) / (-0.5)))</f>
        <v>0</v>
      </c>
      <c r="X5" s="153" t="n">
        <v>0</v>
      </c>
      <c r="Y5" s="155" t="e">
        <f aca="false">(((V5+W5)/(2500*(1+T21)*(2^T23)))/24)/'Autres options'!B29</f>
        <v>#DIV/0!</v>
      </c>
      <c r="Z5" s="16" t="n">
        <f aca="false">ROUNDUP((SUM(V5:X5))/25000)</f>
        <v>0</v>
      </c>
    </row>
    <row r="6" customFormat="false" ht="8.2" hidden="false" customHeight="true" outlineLevel="0" collapsed="false">
      <c r="A6" s="152" t="s">
        <v>37</v>
      </c>
      <c r="B6" s="129" t="n">
        <v>1</v>
      </c>
      <c r="C6" s="153" t="n">
        <f aca="false">75 * 1.5^(B6-1)</f>
        <v>75</v>
      </c>
      <c r="D6" s="153" t="n">
        <f aca="false">30 * 1.5^(B6-1)</f>
        <v>30</v>
      </c>
      <c r="E6" s="153" t="n">
        <v>0</v>
      </c>
      <c r="F6" s="153" t="n">
        <v>0</v>
      </c>
      <c r="G6" s="16" t="n">
        <f aca="false">ROUNDUP((SUM(C6:E6))/25000)</f>
        <v>1</v>
      </c>
      <c r="H6" s="154" t="e">
        <f aca="false">SECOND((ROUNDDOWN(((($C6+$D6)/5000)*(2/(1+$T$21))*0.5^$T$23)*3600,0)/86400)/'Autres options'!$B$29)+100*MINUTE((ROUNDUP(((($C6+$D6)/5000)*(2/(1+$T$21))*0.5^$T$23)*3600,0)/86400)/'Autres options'!$B$29)+10000*HOUR((ROUNDUP(((($C6+$D6)/5000)*(2/(1+$T$21))*0.5^$T$23)*3600,0)/86400)/'Autres options'!$B$29)+1000000*ROUNDDOWN((ROUNDUP(((($C6+$D6)/5000)*(2/(1+$T$21))*0.5^$T$23)*3600,0)/86400)/'Autres options'!$B$29,0)</f>
        <v>#DIV/0!</v>
      </c>
      <c r="I6" s="111" t="e">
        <f aca="false">IF(750*(ROUNDUP((((((($C6+$D6)/(2500*(1+$T$21)*(2^$T$23)))/24)/'Autres options'!$B$29)*24)*60)/30))&lt;72000,750*(ROUNDUP((((((($C6+$D6)/(2500*(1+$T$21)*(2^$T$23)))/24)/'Autres options'!$B$29)*24)*60)/30)),72000)</f>
        <v>#DIV/0!</v>
      </c>
      <c r="J6" s="111" t="e">
        <f aca="false">$I6*2</f>
        <v>#DIV/0!</v>
      </c>
      <c r="K6" s="152" t="s">
        <v>37</v>
      </c>
      <c r="L6" s="129" t="n">
        <v>0</v>
      </c>
      <c r="M6" s="129" t="n">
        <v>0</v>
      </c>
      <c r="N6" s="153" t="n">
        <f aca="false"> (75 * (1 - 1.5^M6) / (-0.5))-(75 * (1 - 1.5^L6) / (-0.5))</f>
        <v>0</v>
      </c>
      <c r="O6" s="153" t="n">
        <f aca="false"> (30 * (1 - 1.5^M6) / (-0.5))-(30 * (1 - 1.5^L6) / (-0.5))</f>
        <v>0</v>
      </c>
      <c r="P6" s="153" t="n">
        <v>0</v>
      </c>
      <c r="Q6" s="153" t="n">
        <v>0</v>
      </c>
      <c r="R6" s="16" t="n">
        <f aca="false">ROUNDUP((SUM(N6:P6))/25000)</f>
        <v>0</v>
      </c>
      <c r="S6" s="152" t="s">
        <v>37</v>
      </c>
      <c r="T6" s="129" t="n">
        <v>1</v>
      </c>
      <c r="U6" s="129" t="n">
        <v>1</v>
      </c>
      <c r="V6" s="153" t="n">
        <f aca="false">(1 - 0.04 * 'Projet Minier'!T14) * (75 * (1 - 1.5^(T6-1)) / (-0.5) - (75 * (1 - 1.5^(U6-1)) / (-0.5)))</f>
        <v>0</v>
      </c>
      <c r="W6" s="153" t="n">
        <f aca="false">(1 - 0.04 * 'Projet Minier'!T14) * (30 * (1 - 1.5^(T6-1)) / (-0.5) - (30 * (1 - 1.5^(U6-1)) / (-0.5)))</f>
        <v>0</v>
      </c>
      <c r="X6" s="153" t="n">
        <v>0</v>
      </c>
      <c r="Y6" s="155" t="e">
        <f aca="false">(((V6+W6)/(2500*(1+T21)*(2^T23)))/24)/'Autres options'!B29</f>
        <v>#DIV/0!</v>
      </c>
      <c r="Z6" s="16" t="n">
        <f aca="false">ROUNDUP((SUM(V6:X6))/25000)</f>
        <v>0</v>
      </c>
    </row>
    <row r="7" customFormat="false" ht="8.2" hidden="false" customHeight="true" outlineLevel="0" collapsed="false">
      <c r="A7" s="152" t="s">
        <v>39</v>
      </c>
      <c r="B7" s="129" t="n">
        <v>1</v>
      </c>
      <c r="C7" s="153" t="n">
        <f aca="false">900 * 1.8^(B7-1)</f>
        <v>900</v>
      </c>
      <c r="D7" s="153" t="n">
        <f aca="false">360 * 1.8^(B7-1)</f>
        <v>360</v>
      </c>
      <c r="E7" s="153" t="n">
        <f aca="false">180 * 1.8^(B7-1)</f>
        <v>180</v>
      </c>
      <c r="F7" s="153" t="n">
        <v>0</v>
      </c>
      <c r="G7" s="16" t="n">
        <f aca="false">ROUNDUP((SUM(C7:E7))/25000)</f>
        <v>1</v>
      </c>
      <c r="H7" s="154" t="e">
        <f aca="false">SECOND((ROUNDDOWN(((($C7+$D7)/5000)*(2/(1+$T$21))*0.5^$T$23)*3600,0)/86400)/'Autres options'!$B$29)+100*MINUTE((ROUNDUP(((($C7+$D7)/5000)*(2/(1+$T$21))*0.5^$T$23)*3600,0)/86400)/'Autres options'!$B$29)+10000*HOUR((ROUNDUP(((($C7+$D7)/5000)*(2/(1+$T$21))*0.5^$T$23)*3600,0)/86400)/'Autres options'!$B$29)+1000000*ROUNDDOWN((ROUNDUP(((($C7+$D7)/5000)*(2/(1+$T$21))*0.5^$T$23)*3600,0)/86400)/'Autres options'!$B$29,0)</f>
        <v>#DIV/0!</v>
      </c>
      <c r="I7" s="111" t="e">
        <f aca="false">IF(750*(ROUNDUP((((((($C7+$D7)/(2500*(1+$T$21)*(2^$T$23)))/24)/'Autres options'!$B$29)*24)*60)/30))&lt;72000,750*(ROUNDUP((((((($C7+$D7)/(2500*(1+$T$21)*(2^$T$23)))/24)/'Autres options'!$B$29)*24)*60)/30)),72000)</f>
        <v>#DIV/0!</v>
      </c>
      <c r="J7" s="111" t="e">
        <f aca="false">$I7*2</f>
        <v>#DIV/0!</v>
      </c>
      <c r="K7" s="152" t="s">
        <v>39</v>
      </c>
      <c r="L7" s="129" t="n">
        <v>0</v>
      </c>
      <c r="M7" s="129" t="n">
        <v>0</v>
      </c>
      <c r="N7" s="153" t="n">
        <f aca="false">(900 * (1 - 1.8^M7) / ( -0.8 ))-((900 * (1 - 1.8^L7) / ( -0.8 )))</f>
        <v>0</v>
      </c>
      <c r="O7" s="153" t="n">
        <f aca="false"> (360 * (1 - 1.8^M7) / ( -0.8 ))-((360 * (1 - 1.8^L7) / ( -0.8 )))</f>
        <v>0</v>
      </c>
      <c r="P7" s="153" t="n">
        <f aca="false"> (180 * (1 - 1.8^M7) / ( -0.8 ))- ((180 * (1 - 1.8^L7) / ( -0.8 )))</f>
        <v>0</v>
      </c>
      <c r="Q7" s="153" t="n">
        <v>0</v>
      </c>
      <c r="R7" s="16" t="n">
        <f aca="false">ROUNDUP((SUM(N7:P7))/25000)</f>
        <v>0</v>
      </c>
      <c r="S7" s="152" t="s">
        <v>39</v>
      </c>
      <c r="T7" s="129" t="n">
        <v>1</v>
      </c>
      <c r="U7" s="129" t="n">
        <v>1</v>
      </c>
      <c r="V7" s="153" t="n">
        <f aca="false">(1 - 0.04 * 'Projet Minier'!T14) * (900 * (1 - 1.8^(T7-1)) / (-0.8) - (900 * (1 - 1.8^(U7-1)) / (-0.8)))</f>
        <v>0</v>
      </c>
      <c r="W7" s="153" t="n">
        <f aca="false">(1 - 0.04 * 'Projet Minier'!T14) * (360 * (1 - 1.8^(T7-1)) / (-0.8) - (360 * (1 - 1.8^(U7-1)) / (-0.8)))</f>
        <v>0</v>
      </c>
      <c r="X7" s="153" t="n">
        <f aca="false">(1 - 0.04 * 'Projet Minier'!T14) * (180 * (1 - 1.8^(T7-1)) / (-0.8) - (180 * (1 - 1.8^(U7-1)) / (-0.8)))</f>
        <v>0</v>
      </c>
      <c r="Y7" s="155" t="e">
        <f aca="false">(((V7+W7)/(2500*(1+T21)*(2^T23)))/24)/'Autres options'!B29</f>
        <v>#DIV/0!</v>
      </c>
      <c r="Z7" s="16" t="n">
        <f aca="false">ROUNDUP((SUM(V7:X7))/25000)</f>
        <v>0</v>
      </c>
    </row>
    <row r="8" customFormat="false" ht="8.2" hidden="false" customHeight="true" outlineLevel="0" collapsed="false">
      <c r="A8" s="152" t="s">
        <v>41</v>
      </c>
      <c r="B8" s="129" t="n">
        <v>1</v>
      </c>
      <c r="C8" s="153" t="n">
        <f aca="false">1000*2^(B8-1)</f>
        <v>1000</v>
      </c>
      <c r="D8" s="153" t="n">
        <f aca="false">0*2^(B8-1)</f>
        <v>0</v>
      </c>
      <c r="E8" s="153" t="n">
        <v>0</v>
      </c>
      <c r="F8" s="153" t="n">
        <v>0</v>
      </c>
      <c r="G8" s="16" t="n">
        <f aca="false">ROUNDUP((SUM(C8:E8))/25000)</f>
        <v>1</v>
      </c>
      <c r="H8" s="154" t="e">
        <f aca="false">SECOND((ROUNDDOWN(((($C8+$D8)/5000)*(2/(1+$T$21))*0.5^$T$23)*3600,0)/86400)/'Autres options'!$B$29)+100*MINUTE((ROUNDUP(((($C8+$D8)/5000)*(2/(1+$T$21))*0.5^$T$23)*3600,0)/86400)/'Autres options'!$B$29)+10000*HOUR((ROUNDUP(((($C8+$D8)/5000)*(2/(1+$T$21))*0.5^$T$23)*3600,0)/86400)/'Autres options'!$B$29)+1000000*ROUNDDOWN((ROUNDUP(((($C8+$D8)/5000)*(2/(1+$T$21))*0.5^$T$23)*3600,0)/86400)/'Autres options'!$B$29,0)</f>
        <v>#DIV/0!</v>
      </c>
      <c r="I8" s="111" t="e">
        <f aca="false">IF(750*(ROUNDUP((((((($C8+$D8)/(2500*(1+$T$21)*(2^$T$23)))/24)/'Autres options'!$B$29)*24)*60)/30))&lt;72000,750*(ROUNDUP((((((($C8+$D8)/(2500*(1+$T$21)*(2^$T$23)))/24)/'Autres options'!$B$29)*24)*60)/30)),72000)</f>
        <v>#DIV/0!</v>
      </c>
      <c r="J8" s="111" t="e">
        <f aca="false">$I8*2</f>
        <v>#DIV/0!</v>
      </c>
      <c r="K8" s="152" t="s">
        <v>41</v>
      </c>
      <c r="L8" s="129" t="n">
        <v>0</v>
      </c>
      <c r="M8" s="129" t="n">
        <v>0</v>
      </c>
      <c r="N8" s="153" t="n">
        <f aca="false">(1000*  - (1 - 2^$M8))-((1000*  - (1 - 2^$L8)))</f>
        <v>0</v>
      </c>
      <c r="O8" s="153" t="n">
        <f aca="false">(0*  - (1 - 2^$M8))-(0*  - (1 - 2^$L8))</f>
        <v>0</v>
      </c>
      <c r="P8" s="153" t="n">
        <f aca="false">0</f>
        <v>0</v>
      </c>
      <c r="Q8" s="153" t="n">
        <f aca="false">0</f>
        <v>0</v>
      </c>
      <c r="R8" s="16" t="n">
        <f aca="false">ROUNDUP((SUM(N8:P8))/25000)</f>
        <v>0</v>
      </c>
      <c r="S8" s="152" t="s">
        <v>41</v>
      </c>
      <c r="T8" s="129" t="n">
        <v>1</v>
      </c>
      <c r="U8" s="129" t="n">
        <v>1</v>
      </c>
      <c r="V8" s="153" t="n">
        <f aca="false">(1 - 0.04 * 'Projet Minier'!T14) * (1000 * - (1 - 2^(T8-1)) - (1000 * - (1 - 2^(U8-1))))</f>
        <v>0</v>
      </c>
      <c r="W8" s="153" t="n">
        <f aca="false">(1 - 0.04 * 'Projet Minier'!T14) * (0 * - (1 - 2^(T8-1)) - (0 * - (1 - 2^(U8-1))))</f>
        <v>0</v>
      </c>
      <c r="X8" s="153" t="n">
        <f aca="false">(1 - 0.04 * 'Projet Minier'!T14) * (0 * - (1 - 2^(T8-1)) - (0 * - (1 - 2^(U8-1))))</f>
        <v>0</v>
      </c>
      <c r="Y8" s="155" t="e">
        <f aca="false">(((V8+W8)/(2500*(1+T21)*(2^T23)))/24)/'Autres options'!B29</f>
        <v>#DIV/0!</v>
      </c>
      <c r="Z8" s="16" t="n">
        <f aca="false">ROUNDUP((SUM(V8:X8))/25000)</f>
        <v>0</v>
      </c>
    </row>
    <row r="9" customFormat="false" ht="8.2" hidden="false" customHeight="true" outlineLevel="0" collapsed="false">
      <c r="A9" s="152" t="s">
        <v>43</v>
      </c>
      <c r="B9" s="129" t="n">
        <v>1</v>
      </c>
      <c r="C9" s="153" t="n">
        <f aca="false">1000*2^(B9-1)</f>
        <v>1000</v>
      </c>
      <c r="D9" s="153" t="n">
        <f aca="false">500*2^(B9-1)</f>
        <v>500</v>
      </c>
      <c r="E9" s="153" t="n">
        <v>0</v>
      </c>
      <c r="F9" s="153" t="n">
        <v>0</v>
      </c>
      <c r="G9" s="16" t="n">
        <f aca="false">ROUNDUP((SUM(C9:E9))/25000)</f>
        <v>1</v>
      </c>
      <c r="H9" s="154" t="e">
        <f aca="false">SECOND((ROUNDDOWN(((($C9+$D9)/5000)*(2/(1+$T$21))*0.5^$T$23)*3600,0)/86400)/'Autres options'!$B$29)+100*MINUTE((ROUNDUP(((($C9+$D9)/5000)*(2/(1+$T$21))*0.5^$T$23)*3600,0)/86400)/'Autres options'!$B$29)+10000*HOUR((ROUNDUP(((($C9+$D9)/5000)*(2/(1+$T$21))*0.5^$T$23)*3600,0)/86400)/'Autres options'!$B$29)+1000000*ROUNDDOWN((ROUNDUP(((($C9+$D9)/5000)*(2/(1+$T$21))*0.5^$T$23)*3600,0)/86400)/'Autres options'!$B$29,0)</f>
        <v>#DIV/0!</v>
      </c>
      <c r="I9" s="111" t="e">
        <f aca="false">IF(750*(ROUNDUP((((((($C9+$D9)/(2500*(1+$T$21)*(2^$T$23)))/24)/'Autres options'!$B$29)*24)*60)/30))&lt;72000,750*(ROUNDUP((((((($C9+$D9)/(2500*(1+$T$21)*(2^$T$23)))/24)/'Autres options'!$B$29)*24)*60)/30)),72000)</f>
        <v>#DIV/0!</v>
      </c>
      <c r="J9" s="111" t="e">
        <f aca="false">$I9*2</f>
        <v>#DIV/0!</v>
      </c>
      <c r="K9" s="152" t="s">
        <v>43</v>
      </c>
      <c r="L9" s="129" t="n">
        <v>0</v>
      </c>
      <c r="M9" s="129" t="n">
        <v>0</v>
      </c>
      <c r="N9" s="153" t="n">
        <f aca="false">(1000*  - (1 - 2^$M9))-((1000*  - (1 - 2^$L9)))</f>
        <v>0</v>
      </c>
      <c r="O9" s="153" t="n">
        <f aca="false">(500*  - (1 - 2^$M9))-(500*  - (1 - 2^$L9))</f>
        <v>0</v>
      </c>
      <c r="P9" s="153" t="n">
        <f aca="false">0</f>
        <v>0</v>
      </c>
      <c r="Q9" s="153" t="n">
        <f aca="false">0</f>
        <v>0</v>
      </c>
      <c r="R9" s="16" t="n">
        <f aca="false">ROUNDUP((SUM(N9:P9))/25000)</f>
        <v>0</v>
      </c>
      <c r="S9" s="152" t="s">
        <v>43</v>
      </c>
      <c r="T9" s="129" t="n">
        <v>1</v>
      </c>
      <c r="U9" s="129" t="n">
        <v>1</v>
      </c>
      <c r="V9" s="153" t="n">
        <f aca="false">(1 - 0.04 * 'Projet Minier'!T14) * (1000 * - (1 - 2^(T9-1)) - (1000 * - (1 - 2^(U9-1))))</f>
        <v>0</v>
      </c>
      <c r="W9" s="153" t="n">
        <f aca="false">(1 - 0.04 * 'Projet Minier'!T14) * (500 * - (1 - 2^(T9-1)) - (500 * - (1 - 2^(U9-1))))</f>
        <v>0</v>
      </c>
      <c r="X9" s="153" t="n">
        <f aca="false">(1 - 0.04 * 'Projet Minier'!T14) * (0 * - (1 - 2^(T9-1)) - (0 * - (1 - 2^(U9-1))))</f>
        <v>0</v>
      </c>
      <c r="Y9" s="155" t="e">
        <f aca="false">(((V9+W9)/(2500*(1+T21)*(2^T23)))/24)/'Autres options'!B29</f>
        <v>#DIV/0!</v>
      </c>
      <c r="Z9" s="16" t="n">
        <f aca="false">ROUNDUP((SUM(V9:X9))/25000)</f>
        <v>0</v>
      </c>
    </row>
    <row r="10" customFormat="false" ht="8.2" hidden="false" customHeight="true" outlineLevel="0" collapsed="false">
      <c r="A10" s="152" t="s">
        <v>45</v>
      </c>
      <c r="B10" s="129" t="n">
        <v>1</v>
      </c>
      <c r="C10" s="153" t="n">
        <f aca="false">1000*2^(B10-1)</f>
        <v>1000</v>
      </c>
      <c r="D10" s="153" t="n">
        <f aca="false">1000*2^(B10-1)</f>
        <v>1000</v>
      </c>
      <c r="E10" s="153" t="n">
        <v>0</v>
      </c>
      <c r="F10" s="153" t="n">
        <v>0</v>
      </c>
      <c r="G10" s="16" t="n">
        <f aca="false">ROUNDUP((SUM(C10:E10))/25000)</f>
        <v>1</v>
      </c>
      <c r="H10" s="154" t="e">
        <f aca="false">SECOND((ROUNDDOWN(((($C10+$D10)/5000)*(2/(1+$T$21))*0.5^$T$23)*3600,0)/86400)/'Autres options'!$B$29)+100*MINUTE((ROUNDUP(((($C10+$D10)/5000)*(2/(1+$T$21))*0.5^$T$23)*3600,0)/86400)/'Autres options'!$B$29)+10000*HOUR((ROUNDUP(((($C10+$D10)/5000)*(2/(1+$T$21))*0.5^$T$23)*3600,0)/86400)/'Autres options'!$B$29)+1000000*ROUNDDOWN((ROUNDUP(((($C10+$D10)/5000)*(2/(1+$T$21))*0.5^$T$23)*3600,0)/86400)/'Autres options'!$B$29,0)</f>
        <v>#DIV/0!</v>
      </c>
      <c r="I10" s="111" t="e">
        <f aca="false">IF(750*(ROUNDUP((((((($C10+$D10)/(2500*(1+$T$21)*(2^$T$23)))/24)/'Autres options'!$B$29)*24)*60)/30))&lt;72000,750*(ROUNDUP((((((($C10+$D10)/(2500*(1+$T$21)*(2^$T$23)))/24)/'Autres options'!$B$29)*24)*60)/30)),72000)</f>
        <v>#DIV/0!</v>
      </c>
      <c r="J10" s="111" t="e">
        <f aca="false">$I10*2</f>
        <v>#DIV/0!</v>
      </c>
      <c r="K10" s="152" t="s">
        <v>45</v>
      </c>
      <c r="L10" s="129" t="n">
        <v>0</v>
      </c>
      <c r="M10" s="129" t="n">
        <v>0</v>
      </c>
      <c r="N10" s="153" t="n">
        <f aca="false">(1000*  - (1 - 2^$M10))-((1000*  - (1 - 2^$L10)))</f>
        <v>0</v>
      </c>
      <c r="O10" s="153" t="n">
        <f aca="false">(1000*  - (1 - 2^$M10))-(1000*  - (1 - 2^$L10))</f>
        <v>0</v>
      </c>
      <c r="P10" s="153" t="n">
        <f aca="false">0</f>
        <v>0</v>
      </c>
      <c r="Q10" s="153" t="n">
        <f aca="false">0</f>
        <v>0</v>
      </c>
      <c r="R10" s="16" t="n">
        <f aca="false">ROUNDUP((SUM(N10:P10))/25000)</f>
        <v>0</v>
      </c>
      <c r="S10" s="152" t="s">
        <v>45</v>
      </c>
      <c r="T10" s="129" t="n">
        <v>1</v>
      </c>
      <c r="U10" s="129" t="n">
        <v>1</v>
      </c>
      <c r="V10" s="153" t="n">
        <f aca="false">(1 - 0.04 * 'Projet Minier'!T14) * (1000 * - (1 - 2^(T10-1)) - (1000 * - (1 - 2^(U10-1))))</f>
        <v>0</v>
      </c>
      <c r="W10" s="153" t="n">
        <f aca="false">(1 - 0.04 * 'Projet Minier'!T14) * (1000 * - (1 - 2^(T10-1)) - (1000 * - (1 - 2^(U10-1))))</f>
        <v>0</v>
      </c>
      <c r="X10" s="153" t="n">
        <f aca="false">(1 - 0.04 * 'Projet Minier'!T14) * (0 * - (1 - 2^(T10-1)) - (0 * - (1 - 2^(U10-1))))</f>
        <v>0</v>
      </c>
      <c r="Y10" s="155" t="e">
        <f aca="false">(((V10+W10)/(2500*(1+T21)*(2^T23)))/24)/'Autres options'!B29</f>
        <v>#DIV/0!</v>
      </c>
      <c r="Z10" s="16" t="n">
        <f aca="false">ROUNDUP((SUM(V10:X10))/25000)</f>
        <v>0</v>
      </c>
    </row>
    <row r="11" customFormat="false" ht="8.2" hidden="false" customHeight="true" outlineLevel="0" collapsed="false">
      <c r="A11" s="152" t="s">
        <v>47</v>
      </c>
      <c r="B11" s="129" t="n">
        <v>1</v>
      </c>
      <c r="C11" s="153" t="n">
        <f aca="false">400*2^(B11-1)</f>
        <v>400</v>
      </c>
      <c r="D11" s="153" t="n">
        <f aca="false">120*2^(B11-1)</f>
        <v>120</v>
      </c>
      <c r="E11" s="153" t="n">
        <f aca="false">200*2^(B11-1)</f>
        <v>200</v>
      </c>
      <c r="F11" s="153" t="n">
        <v>0</v>
      </c>
      <c r="G11" s="16" t="n">
        <f aca="false">ROUNDUP((SUM(C11:E11))/25000)</f>
        <v>1</v>
      </c>
      <c r="H11" s="154" t="e">
        <f aca="false">SECOND((ROUNDDOWN(((($C11+$D11)/5000)*(2/(1+$T$21))*0.5^$T$23)*3600,0)/86400)/'Autres options'!$B$29)+100*MINUTE((ROUNDUP(((($C11+$D11)/5000)*(2/(1+$T$21))*0.5^$T$23)*3600,0)/86400)/'Autres options'!$B$29)+10000*HOUR((ROUNDUP(((($C11+$D11)/5000)*(2/(1+$T$21))*0.5^$T$23)*3600,0)/86400)/'Autres options'!$B$29)+1000000*ROUNDDOWN((ROUNDUP(((($C11+$D11)/5000)*(2/(1+$T$21))*0.5^$T$23)*3600,0)/86400)/'Autres options'!$B$29,0)</f>
        <v>#DIV/0!</v>
      </c>
      <c r="I11" s="111" t="e">
        <f aca="false">IF(750*(ROUNDUP((((((($C11+$D11)/(2500*(1+$T$21)*(2^$T$23)))/24)/'Autres options'!$B$29)*24)*60)/30))&lt;72000,750*(ROUNDUP((((((($C11+$D11)/(2500*(1+$T$21)*(2^$T$23)))/24)/'Autres options'!$B$29)*24)*60)/30)),72000)</f>
        <v>#DIV/0!</v>
      </c>
      <c r="J11" s="111" t="e">
        <f aca="false">$I11*2</f>
        <v>#DIV/0!</v>
      </c>
      <c r="K11" s="152" t="s">
        <v>47</v>
      </c>
      <c r="L11" s="129" t="n">
        <v>0</v>
      </c>
      <c r="M11" s="129" t="n">
        <v>0</v>
      </c>
      <c r="N11" s="153" t="n">
        <f aca="false">(400*  - (1 - 2^$M11))-((400*  - (1 - 2^$L11)))</f>
        <v>0</v>
      </c>
      <c r="O11" s="153" t="n">
        <f aca="false">(120*  - (1 - 2^$M11))-(120*  - (1 - 2^$L11))</f>
        <v>0</v>
      </c>
      <c r="P11" s="153" t="n">
        <f aca="false">(200*  - (1 - 2^$M11))-(200*  - (1 - 2^$L11))</f>
        <v>0</v>
      </c>
      <c r="Q11" s="153" t="n">
        <f aca="false">(200*  - (1 - 2^$M11))-(200*  - (1 - 2^$L11))</f>
        <v>0</v>
      </c>
      <c r="R11" s="16" t="n">
        <f aca="false">ROUNDUP((SUM(N11:P11))/25000)</f>
        <v>0</v>
      </c>
      <c r="S11" s="152" t="s">
        <v>47</v>
      </c>
      <c r="T11" s="129" t="n">
        <v>1</v>
      </c>
      <c r="U11" s="129" t="n">
        <v>1</v>
      </c>
      <c r="V11" s="153" t="n">
        <f aca="false">(1 - 0.04 * 'Projet Minier'!T14) * (400 * - (1 - 2^(T11-1)) - (400 * - (1 - 2^(U11-1))))</f>
        <v>0</v>
      </c>
      <c r="W11" s="153" t="n">
        <f aca="false">(1 - 0.04 * 'Projet Minier'!T14) * (120 * - (1 - 2^(T11-1)) - (120 * - (1 - 2^(U11-1))))</f>
        <v>0</v>
      </c>
      <c r="X11" s="153" t="n">
        <f aca="false">(1 - 0.04 * 'Projet Minier'!T14) * (200 * - (1 - 2^(T11-1)) - (200 * - (1 - 2^(U11-1))))</f>
        <v>0</v>
      </c>
      <c r="Y11" s="155" t="e">
        <f aca="false">(((V11+W11)/(2500*(1+T21)*(2^T23)))/24)/'Autres options'!B29</f>
        <v>#DIV/0!</v>
      </c>
      <c r="Z11" s="16" t="n">
        <f aca="false">ROUNDUP((SUM(V11:X11))/25000)</f>
        <v>0</v>
      </c>
    </row>
    <row r="12" customFormat="false" ht="8.2" hidden="false" customHeight="true" outlineLevel="0" collapsed="false">
      <c r="A12" s="152" t="s">
        <v>49</v>
      </c>
      <c r="B12" s="129" t="n">
        <v>1</v>
      </c>
      <c r="C12" s="153" t="n">
        <f aca="false">1000000*2^(B12-1)</f>
        <v>1000000</v>
      </c>
      <c r="D12" s="153" t="n">
        <f aca="false">500000*2^(B12-1)</f>
        <v>500000</v>
      </c>
      <c r="E12" s="153" t="n">
        <f aca="false">100000*2^(B12-1)</f>
        <v>100000</v>
      </c>
      <c r="F12" s="153" t="n">
        <v>0</v>
      </c>
      <c r="G12" s="16" t="n">
        <f aca="false">ROUNDUP((SUM(C12:E12))/25000)</f>
        <v>64</v>
      </c>
      <c r="H12" s="154" t="e">
        <f aca="false">SECOND((ROUNDDOWN(((($C12+$D12)/5000)*(2/(1+$T$21))*0.5^$T$23)*3600,0)/86400)/'Autres options'!$B$29)+100*MINUTE((ROUNDUP(((($C12+$D12)/5000)*(2/(1+$T$21))*0.5^$T$23)*3600,0)/86400)/'Autres options'!$B$29)+10000*HOUR((ROUNDUP(((($C12+$D12)/5000)*(2/(1+$T$21))*0.5^$T$23)*3600,0)/86400)/'Autres options'!$B$29)+1000000*ROUNDDOWN((ROUNDUP(((($C12+$D12)/5000)*(2/(1+$T$21))*0.5^$T$23)*3600,0)/86400)/'Autres options'!$B$29,0)</f>
        <v>#DIV/0!</v>
      </c>
      <c r="I12" s="111" t="e">
        <f aca="false">IF(750*(ROUNDUP((((((($C12+$D12)/(2500*(1+$T$21)*(2^$T$23)))/24)/'Autres options'!$B$29)*24)*60)/30))&lt;72000,750*(ROUNDUP((((((($C12+$D12)/(2500*(1+$T$21)*(2^$T$23)))/24)/'Autres options'!$B$29)*24)*60)/30)),72000)</f>
        <v>#DIV/0!</v>
      </c>
      <c r="J12" s="111" t="e">
        <f aca="false">$I12*2</f>
        <v>#DIV/0!</v>
      </c>
      <c r="K12" s="152" t="s">
        <v>49</v>
      </c>
      <c r="L12" s="129" t="n">
        <v>0</v>
      </c>
      <c r="M12" s="129" t="n">
        <v>0</v>
      </c>
      <c r="N12" s="153" t="n">
        <f aca="false">(1000000*  - (1 - 2^$M12))-((1000000*  - (1 - 2^$L12)))</f>
        <v>0</v>
      </c>
      <c r="O12" s="153" t="n">
        <f aca="false">(500000*  - (1 - 2^$M12))-(500000*  - (1 - 2^$L12))</f>
        <v>0</v>
      </c>
      <c r="P12" s="153" t="n">
        <f aca="false">(100000*  - (1 - 2^$M12))-(100000*  - (1 - 2^$L12))</f>
        <v>0</v>
      </c>
      <c r="Q12" s="153" t="n">
        <f aca="false">(100000*  - (1 - 2^$M12))-(100000*  - (1 - 2^$L12))</f>
        <v>0</v>
      </c>
      <c r="R12" s="16" t="n">
        <f aca="false">ROUNDUP((SUM(N12:P12))/25000)</f>
        <v>0</v>
      </c>
      <c r="S12" s="152" t="s">
        <v>49</v>
      </c>
      <c r="T12" s="129" t="n">
        <v>1</v>
      </c>
      <c r="U12" s="129" t="n">
        <v>1</v>
      </c>
      <c r="V12" s="153" t="n">
        <f aca="false">(1 - 0.04 * 'Projet Minier'!T14) * (1000000 * - (1 - 2^(T12-1)) - (1000000 * - (1 - 2^(U12-1))))</f>
        <v>0</v>
      </c>
      <c r="W12" s="153" t="n">
        <f aca="false">(1 - 0.04 * 'Projet Minier'!T14) * (500000 * - (1 - 2^(T12-1)) - (500000 * - (1 - 2^(U12-1))))</f>
        <v>0</v>
      </c>
      <c r="X12" s="153" t="n">
        <f aca="false">(1 - 0.04 * 'Projet Minier'!T14) * (100000 * - (1 - 2^(T12-1)) - (100000 * - (1 - 2^(U12-1))))</f>
        <v>0</v>
      </c>
      <c r="Y12" s="155" t="e">
        <f aca="false">(((V12+W12)/(2500*(1+T21)*(2^T23)))/24)/'Autres options'!B29</f>
        <v>#DIV/0!</v>
      </c>
      <c r="Z12" s="16" t="n">
        <f aca="false">ROUNDUP((SUM(V12:X12))/25000)</f>
        <v>0</v>
      </c>
    </row>
    <row r="13" customFormat="false" ht="8.2" hidden="false" customHeight="true" outlineLevel="0" collapsed="false">
      <c r="A13" s="152" t="s">
        <v>51</v>
      </c>
      <c r="B13" s="129" t="n">
        <v>1</v>
      </c>
      <c r="C13" s="153" t="n">
        <f aca="false">400*2^(B13-1)</f>
        <v>400</v>
      </c>
      <c r="D13" s="153" t="n">
        <f aca="false">200*2^(B13-1)</f>
        <v>200</v>
      </c>
      <c r="E13" s="153" t="n">
        <f aca="false">100*2^(B13-1)</f>
        <v>100</v>
      </c>
      <c r="F13" s="153" t="n">
        <v>0</v>
      </c>
      <c r="G13" s="16" t="n">
        <f aca="false">ROUNDUP((SUM(C13:E13))/25000)</f>
        <v>1</v>
      </c>
      <c r="H13" s="154" t="e">
        <f aca="false">SECOND((ROUNDDOWN(((($C13+$D13)/5000)*(2/(1+$T$21))*0.5^$T$23)*3600,0)/86400)/'Autres options'!$B$29)+100*MINUTE((ROUNDUP(((($C13+$D13)/5000)*(2/(1+$T$21))*0.5^$T$23)*3600,0)/86400)/'Autres options'!$B$29)+10000*HOUR((ROUNDUP(((($C13+$D13)/5000)*(2/(1+$T$21))*0.5^$T$23)*3600,0)/86400)/'Autres options'!$B$29)+1000000*ROUNDDOWN((ROUNDUP(((($C13+$D13)/5000)*(2/(1+$T$21))*0.5^$T$23)*3600,0)/86400)/'Autres options'!$B$29,0)</f>
        <v>#DIV/0!</v>
      </c>
      <c r="I13" s="111" t="e">
        <f aca="false">IF(750*(ROUNDUP((((((($C13+$D13)/(2500*(1+$T$21)*(2^$T$23)))/24)/'Autres options'!$B$29)*24)*60)/30))&lt;72000,750*(ROUNDUP((((((($C13+$D13)/(2500*(1+$T$21)*(2^$T$23)))/24)/'Autres options'!$B$29)*24)*60)/30)),72000)</f>
        <v>#DIV/0!</v>
      </c>
      <c r="J13" s="111" t="e">
        <f aca="false">$I13*2</f>
        <v>#DIV/0!</v>
      </c>
      <c r="K13" s="152" t="s">
        <v>51</v>
      </c>
      <c r="L13" s="129" t="n">
        <v>0</v>
      </c>
      <c r="M13" s="129" t="n">
        <v>0</v>
      </c>
      <c r="N13" s="153" t="n">
        <f aca="false">(400*  - (1 - 2^$M13))-((400*  - (1 - 2^$L13)))</f>
        <v>0</v>
      </c>
      <c r="O13" s="153" t="n">
        <f aca="false">(200*  - (1 - 2^$M13))-(200*  - (1 - 2^$L13))</f>
        <v>0</v>
      </c>
      <c r="P13" s="153" t="n">
        <f aca="false">(100*  - (1 - 2^$M13))-(100*  - (1 - 2^$L13))</f>
        <v>0</v>
      </c>
      <c r="Q13" s="153" t="n">
        <f aca="false">(100*  - (1 - 2^$M13))-(100*  - (1 - 2^$L13))</f>
        <v>0</v>
      </c>
      <c r="R13" s="16" t="n">
        <f aca="false">ROUNDUP((SUM(N13:P13))/25000)</f>
        <v>0</v>
      </c>
      <c r="S13" s="152" t="s">
        <v>51</v>
      </c>
      <c r="T13" s="129" t="n">
        <v>1</v>
      </c>
      <c r="U13" s="129" t="n">
        <v>1</v>
      </c>
      <c r="V13" s="153" t="n">
        <f aca="false">(1 - 0.04 * 'Projet Minier'!T14) * (400 * - (1 - 2^(T13-1)) - (400 * - (1 - 2^(U13-1))))</f>
        <v>0</v>
      </c>
      <c r="W13" s="153" t="n">
        <f aca="false">(1 - 0.04 * 'Projet Minier'!T14) * (200 * - (1 - 2^(T13-1)) - (200 * - (1 - 2^(U13-1))))</f>
        <v>0</v>
      </c>
      <c r="X13" s="153" t="n">
        <f aca="false">(1 - 0.04 * 'Projet Minier'!T14) * (100 * - (1 - 2^(T13-1)) - (100 * - (1 - 2^(U13-1))))</f>
        <v>0</v>
      </c>
      <c r="Y13" s="155" t="e">
        <f aca="false">(((V13+W13)/(2500*(1+T21)*(2^T23)))/24)/'Autres options'!B29</f>
        <v>#DIV/0!</v>
      </c>
      <c r="Z13" s="16" t="n">
        <f aca="false">ROUNDUP((SUM(V13:X13))/25000)</f>
        <v>0</v>
      </c>
    </row>
    <row r="14" customFormat="false" ht="8.2" hidden="false" customHeight="true" outlineLevel="0" collapsed="false">
      <c r="A14" s="152" t="s">
        <v>54</v>
      </c>
      <c r="B14" s="129" t="n">
        <v>1</v>
      </c>
      <c r="C14" s="153" t="n">
        <f aca="false">200*2^(B14-1)</f>
        <v>200</v>
      </c>
      <c r="D14" s="153" t="n">
        <f aca="false">400*2^(B14-1)</f>
        <v>400</v>
      </c>
      <c r="E14" s="153" t="n">
        <f aca="false">200*2^(B14-1)</f>
        <v>200</v>
      </c>
      <c r="F14" s="153" t="n">
        <v>0</v>
      </c>
      <c r="G14" s="16" t="n">
        <f aca="false">ROUNDUP((SUM(C14:E14))/25000)</f>
        <v>1</v>
      </c>
      <c r="H14" s="154" t="e">
        <f aca="false">SECOND((ROUNDDOWN(((($C14+$D14)/5000)*(2/(1+$T$21))*0.5^$T$23)*3600,0)/86400)/'Autres options'!$B$29)+100*MINUTE((ROUNDUP(((($C14+$D14)/5000)*(2/(1+$T$21))*0.5^$T$23)*3600,0)/86400)/'Autres options'!$B$29)+10000*HOUR((ROUNDUP(((($C14+$D14)/5000)*(2/(1+$T$21))*0.5^$T$23)*3600,0)/86400)/'Autres options'!$B$29)+1000000*ROUNDDOWN((ROUNDUP(((($C14+$D14)/5000)*(2/(1+$T$21))*0.5^$T$23)*3600,0)/86400)/'Autres options'!$B$29,0)</f>
        <v>#DIV/0!</v>
      </c>
      <c r="I14" s="111" t="e">
        <f aca="false">IF(750*(ROUNDUP((((((($C14+$D14)/(2500*(1+$T$21)*(2^$T$23)))/24)/'Autres options'!$B$29)*24)*60)/30))&lt;72000,750*(ROUNDUP((((((($C14+$D14)/(2500*(1+$T$21)*(2^$T$23)))/24)/'Autres options'!$B$29)*24)*60)/30)),72000)</f>
        <v>#DIV/0!</v>
      </c>
      <c r="J14" s="111" t="e">
        <f aca="false">$I14*2</f>
        <v>#DIV/0!</v>
      </c>
      <c r="K14" s="152" t="s">
        <v>54</v>
      </c>
      <c r="L14" s="129" t="n">
        <v>0</v>
      </c>
      <c r="M14" s="129" t="n">
        <v>0</v>
      </c>
      <c r="N14" s="153" t="n">
        <f aca="false">(200*  - (1 - 2^$M14))-((200*  - (1 - 2^$L14)))</f>
        <v>0</v>
      </c>
      <c r="O14" s="153" t="n">
        <f aca="false">(400*  - (1 - 2^$M14))-(400*  - (1 - 2^$L14))</f>
        <v>0</v>
      </c>
      <c r="P14" s="153" t="n">
        <f aca="false">(200*  - (1 - 2^$M14))-(200*  - (1 - 2^$L14))</f>
        <v>0</v>
      </c>
      <c r="Q14" s="153" t="n">
        <f aca="false">(200*  - (1 - 2^$M14))-(200*  - (1 - 2^$L14))</f>
        <v>0</v>
      </c>
      <c r="R14" s="16" t="n">
        <f aca="false">ROUNDUP((SUM(N14:P14))/25000)</f>
        <v>0</v>
      </c>
      <c r="S14" s="152" t="s">
        <v>54</v>
      </c>
      <c r="T14" s="129" t="n">
        <v>1</v>
      </c>
      <c r="U14" s="129" t="n">
        <v>1</v>
      </c>
      <c r="V14" s="153" t="n">
        <f aca="false">(1 - 0.04 * 'Projet Minier'!T14) * (200 * - (1 - 2^(T14-1)) - (200 * - (1 - 2^(U14-1))))</f>
        <v>0</v>
      </c>
      <c r="W14" s="153" t="n">
        <f aca="false">(1 - 0.04 * 'Projet Minier'!T14) * (400 * - (1 - 2^(T14-1)) - (400 * - (1 - 2^(U14-1))))</f>
        <v>0</v>
      </c>
      <c r="X14" s="153" t="n">
        <f aca="false">(1 - 0.04 * 'Projet Minier'!T14) * (200 * - (1 - 2^(T14-1)) - (200 * - (1 - 2^(U14-1))))</f>
        <v>0</v>
      </c>
      <c r="Y14" s="155" t="e">
        <f aca="false">(((V14+W14)/(2500*(1+T21)*(2^T23)))/24)/'Autres options'!B29</f>
        <v>#DIV/0!</v>
      </c>
      <c r="Z14" s="16" t="n">
        <f aca="false">ROUNDUP((SUM(V14:X14))/25000)</f>
        <v>0</v>
      </c>
    </row>
    <row r="15" customFormat="false" ht="8.2" hidden="false" customHeight="true" outlineLevel="0" collapsed="false">
      <c r="A15" s="152" t="s">
        <v>55</v>
      </c>
      <c r="B15" s="129" t="n">
        <v>1</v>
      </c>
      <c r="C15" s="153" t="n">
        <f aca="false">0*2^(B15-1)</f>
        <v>0</v>
      </c>
      <c r="D15" s="153" t="n">
        <f aca="false">50000*2^(B15-1)</f>
        <v>50000</v>
      </c>
      <c r="E15" s="153" t="n">
        <f aca="false">100000*2^(B15-1)</f>
        <v>100000</v>
      </c>
      <c r="F15" s="153" t="n">
        <f aca="false">1000*2^(B15-1)</f>
        <v>1000</v>
      </c>
      <c r="G15" s="16" t="n">
        <f aca="false">ROUNDUP((SUM(C15:E15))/25000)</f>
        <v>6</v>
      </c>
      <c r="H15" s="154" t="e">
        <f aca="false">SECOND((ROUNDDOWN(((($C15+$D15)/5000)*(2/(1+$T$21))*0.5^$T$23)*3600,0)/86400)/'Autres options'!$B$29)+100*MINUTE((ROUNDUP(((($C15+$D15)/5000)*(2/(1+$T$21))*0.5^$T$23)*3600,0)/86400)/'Autres options'!$B$29)+10000*HOUR((ROUNDUP(((($C15+$D15)/5000)*(2/(1+$T$21))*0.5^$T$23)*3600,0)/86400)/'Autres options'!$B$29)+1000000*ROUNDDOWN((ROUNDUP(((($C15+$D15)/5000)*(2/(1+$T$21))*0.5^$T$23)*3600,0)/86400)/'Autres options'!$B$29,0)</f>
        <v>#DIV/0!</v>
      </c>
      <c r="I15" s="111" t="e">
        <f aca="false">IF(750*(ROUNDUP((((((($C15+$D15)/(2500*(1+$T$21)*(2^$T$23)))/24)/'Autres options'!$B$29)*24)*60)/30))&lt;72000,750*(ROUNDUP((((((($C15+$D15)/(2500*(1+$T$21)*(2^$T$23)))/24)/'Autres options'!$B$29)*24)*60)/30)),72000)</f>
        <v>#DIV/0!</v>
      </c>
      <c r="J15" s="111" t="e">
        <f aca="false">$I15*2</f>
        <v>#DIV/0!</v>
      </c>
      <c r="K15" s="152" t="s">
        <v>55</v>
      </c>
      <c r="L15" s="129" t="n">
        <v>0</v>
      </c>
      <c r="M15" s="129" t="n">
        <v>0</v>
      </c>
      <c r="N15" s="153" t="n">
        <f aca="false">(0*  - (1 - 2^$M15))-((0*  - (1 - 2^$L15)))</f>
        <v>0</v>
      </c>
      <c r="O15" s="153" t="n">
        <f aca="false">(50000*  - (1 - 2^$M15))-(50000*  - (1 - 2^$L15))</f>
        <v>0</v>
      </c>
      <c r="P15" s="153" t="n">
        <f aca="false">(100000*  - (1 - 2^$M15))-(100000*  - (1 - 2^$L15))</f>
        <v>0</v>
      </c>
      <c r="Q15" s="153" t="n">
        <f aca="false">(1000*  - (1 - 2^$M15))-(1000*  - (1 - 2^$L15))</f>
        <v>0</v>
      </c>
      <c r="R15" s="16" t="n">
        <f aca="false">ROUNDUP((SUM(N15:P15))/25000)</f>
        <v>0</v>
      </c>
      <c r="S15" s="152" t="s">
        <v>55</v>
      </c>
      <c r="T15" s="129" t="n">
        <v>1</v>
      </c>
      <c r="U15" s="129" t="n">
        <v>1</v>
      </c>
      <c r="V15" s="153" t="n">
        <f aca="false">(1 - 0.04 * 'Projet Minier'!T14) * (0 * - (1 - 2^(T15-1)) - (0 * - (1 - 2^(U15-1))))</f>
        <v>0</v>
      </c>
      <c r="W15" s="153" t="n">
        <f aca="false">(1 - 0.04 * 'Projet Minier'!T14) * (50000 * - (1 - 2^(T15-1)) - (50000 * - (1 - 2^(U15-1))))</f>
        <v>0</v>
      </c>
      <c r="X15" s="153" t="n">
        <f aca="false">(1 - 0.04 * 'Projet Minier'!T14) * (100000 * - (1 - 2^(T15-1)) - (100000 * - (1 - 2^(U15-1))))</f>
        <v>0</v>
      </c>
      <c r="Y15" s="155" t="e">
        <f aca="false">(((V15+W15)/(2500*(1+T21)*(2^T23)))/24)/'Autres options'!B29</f>
        <v>#DIV/0!</v>
      </c>
      <c r="Z15" s="16" t="n">
        <f aca="false">ROUNDUP((SUM(V15:X15))/25000)</f>
        <v>0</v>
      </c>
    </row>
    <row r="16" customFormat="false" ht="8.2" hidden="false" customHeight="true" outlineLevel="0" collapsed="false">
      <c r="A16" s="152" t="s">
        <v>57</v>
      </c>
      <c r="B16" s="129" t="n">
        <v>1</v>
      </c>
      <c r="C16" s="153" t="n">
        <f aca="false">20000*2^(B16-1)</f>
        <v>20000</v>
      </c>
      <c r="D16" s="153" t="n">
        <f aca="false">20000*2^(B16-1)</f>
        <v>20000</v>
      </c>
      <c r="E16" s="153" t="n">
        <f aca="false">1000*2^(B16-1)</f>
        <v>1000</v>
      </c>
      <c r="F16" s="153" t="n">
        <v>0</v>
      </c>
      <c r="G16" s="16" t="n">
        <f aca="false">ROUNDUP((SUM(C16:E16))/25000)</f>
        <v>2</v>
      </c>
      <c r="H16" s="154" t="e">
        <f aca="false">SECOND((ROUNDDOWN(((($C16+$D16)/5000)*(2/(1+$T$21))*0.5^$T$23)*3600,0)/86400)/'Autres options'!$B$29)+100*MINUTE((ROUNDUP(((($C16+$D16)/5000)*(2/(1+$T$21))*0.5^$T$23)*3600,0)/86400)/'Autres options'!$B$29)+10000*HOUR((ROUNDUP(((($C16+$D16)/5000)*(2/(1+$T$21))*0.5^$T$23)*3600,0)/86400)/'Autres options'!$B$29)+1000000*ROUNDDOWN((ROUNDUP(((($C16+$D16)/5000)*(2/(1+$T$21))*0.5^$T$23)*3600,0)/86400)/'Autres options'!$B$29,0)</f>
        <v>#DIV/0!</v>
      </c>
      <c r="I16" s="111" t="e">
        <f aca="false">IF(750*(ROUNDUP((((((($C16+$D16)/(2500*(1+$T$21)*(2^$T$23)))/24)/'Autres options'!$B$29)*24)*60)/30))&lt;72000,750*(ROUNDUP((((((($C16+$D16)/(2500*(1+$T$21)*(2^$T$23)))/24)/'Autres options'!$B$29)*24)*60)/30)),72000)</f>
        <v>#DIV/0!</v>
      </c>
      <c r="J16" s="111" t="e">
        <f aca="false">$I16*2</f>
        <v>#DIV/0!</v>
      </c>
      <c r="K16" s="152" t="s">
        <v>57</v>
      </c>
      <c r="L16" s="129" t="n">
        <v>0</v>
      </c>
      <c r="M16" s="129" t="n">
        <v>0</v>
      </c>
      <c r="N16" s="153" t="n">
        <f aca="false">(20000*  - (1 - 2^$M16))-((20000*  - (1 - 2^$L16)))</f>
        <v>0</v>
      </c>
      <c r="O16" s="153" t="n">
        <f aca="false">(20000*  - (1 - 2^$M16))-(20000*  - (1 - 2^$L16))</f>
        <v>0</v>
      </c>
      <c r="P16" s="153" t="n">
        <f aca="false">(1000*  - (1 - 2^$M16))-(1000*  - (1 - 2^$L16))</f>
        <v>0</v>
      </c>
      <c r="Q16" s="153" t="n">
        <f aca="false">(1000*  - (1 - 2^$M16))-(1000*  - (1 - 2^$L16))</f>
        <v>0</v>
      </c>
      <c r="R16" s="16" t="n">
        <f aca="false">ROUNDUP((SUM(N16:P16))/25000)</f>
        <v>0</v>
      </c>
      <c r="S16" s="152" t="s">
        <v>57</v>
      </c>
      <c r="T16" s="129" t="n">
        <v>1</v>
      </c>
      <c r="U16" s="129" t="n">
        <v>1</v>
      </c>
      <c r="V16" s="153" t="n">
        <f aca="false">(1 - 0.04 * 'Projet Minier'!T14) * (20000 * - (1 - 2^(T16-1)) - (20000 * - (1 - 2^(U16-1))))</f>
        <v>0</v>
      </c>
      <c r="W16" s="153" t="n">
        <f aca="false">(1 - 0.04 * 'Projet Minier'!T14) * (20000 * - (1 - 2^(T16-1)) - (20000 * - (1 - 2^(U16-1))))</f>
        <v>0</v>
      </c>
      <c r="X16" s="153" t="n">
        <f aca="false">(1 - 0.04 * 'Projet Minier'!T14) * (1000 * - (1 - 2^(T16-1)) - (1000 * - (1 - 2^(U16-1))))</f>
        <v>0</v>
      </c>
      <c r="Y16" s="155" t="e">
        <f aca="false">(((V16+W16)/(2500*(1+T21)*(2^T23)))/24)/'Autres options'!B29</f>
        <v>#DIV/0!</v>
      </c>
      <c r="Z16" s="16" t="n">
        <f aca="false">ROUNDUP((SUM(V16:X16))/25000)</f>
        <v>0</v>
      </c>
    </row>
    <row r="17" customFormat="false" ht="8.2" hidden="false" customHeight="true" outlineLevel="0" collapsed="false">
      <c r="A17" s="152" t="s">
        <v>53</v>
      </c>
      <c r="B17" s="129" t="n">
        <v>1</v>
      </c>
      <c r="C17" s="153" t="n">
        <f aca="false">200*5^(B17-1)</f>
        <v>200</v>
      </c>
      <c r="D17" s="153" t="n">
        <f aca="false">0</f>
        <v>0</v>
      </c>
      <c r="E17" s="153" t="n">
        <f aca="false">50*5^(B17-1)</f>
        <v>50</v>
      </c>
      <c r="F17" s="153" t="n">
        <f aca="false">50*2.5^(B17-1)</f>
        <v>50</v>
      </c>
      <c r="G17" s="16" t="n">
        <f aca="false">ROUNDUP((SUM(C17:E17))/25000)</f>
        <v>1</v>
      </c>
      <c r="H17" s="154" t="e">
        <f aca="false">SECOND((ROUNDDOWN(((($C17+$D17)/5000)*(2/(1+$T$21))*0.5^$T$23)*3600,0)/86400)/'Autres options'!$B$29)+100*MINUTE((ROUNDUP(((($C17+$D17)/5000)*(2/(1+$T$21))*0.5^$T$23)*3600,0)/86400)/'Autres options'!$B$29)+10000*HOUR((ROUNDUP(((($C17+$D17)/5000)*(2/(1+$T$21))*0.5^$T$23)*3600,0)/86400)/'Autres options'!$B$29)+1000000*ROUNDDOWN((ROUNDUP(((($C17+$D17)/5000)*(2/(1+$T$21))*0.5^$T$23)*3600,0)/86400)/'Autres options'!$B$29,0)</f>
        <v>#DIV/0!</v>
      </c>
      <c r="I17" s="111" t="e">
        <f aca="false">IF(750*(ROUNDUP((((((($C17+$D17)/(2500*(1+$T$21)*(2^$T$23)))/24)/'Autres options'!$B$29)*24)*60)/30))&lt;72000,750*(ROUNDUP((((((($C17+$D17)/(2500*(1+$T$21)*(2^$T$23)))/24)/'Autres options'!$B$29)*24)*60)/30)),72000)</f>
        <v>#DIV/0!</v>
      </c>
      <c r="J17" s="111" t="e">
        <f aca="false">$I17*2</f>
        <v>#DIV/0!</v>
      </c>
      <c r="K17" s="152" t="s">
        <v>53</v>
      </c>
      <c r="L17" s="129" t="n">
        <v>0</v>
      </c>
      <c r="M17" s="129" t="n">
        <v>0</v>
      </c>
      <c r="N17" s="153" t="n">
        <f aca="false">((200*5^(M17))/4)-((200*5^(L17))/4)</f>
        <v>0</v>
      </c>
      <c r="O17" s="153" t="n">
        <f aca="false">0</f>
        <v>0</v>
      </c>
      <c r="P17" s="153" t="n">
        <f aca="false">((50*5^(M17))/4)-((50*5^(L17))/4)</f>
        <v>0</v>
      </c>
      <c r="Q17" s="153"/>
      <c r="R17" s="16" t="n">
        <f aca="false">ROUNDUP((SUM(N17:P17))/25000)</f>
        <v>0</v>
      </c>
      <c r="S17" s="152" t="s">
        <v>5</v>
      </c>
      <c r="T17" s="152"/>
      <c r="U17" s="152"/>
      <c r="V17" s="153" t="n">
        <f aca="false">SUM(V3:V16)</f>
        <v>0</v>
      </c>
      <c r="W17" s="153" t="n">
        <f aca="false">SUM(W3:W16)</f>
        <v>0</v>
      </c>
      <c r="X17" s="153" t="n">
        <f aca="false">SUM(X3:X16)</f>
        <v>0</v>
      </c>
      <c r="Y17" s="155" t="e">
        <f aca="false">SUM(Y3:Y16)</f>
        <v>#DIV/0!</v>
      </c>
      <c r="Z17" s="16" t="n">
        <f aca="false">SUM(Z3:Z16)</f>
        <v>0</v>
      </c>
    </row>
    <row r="18" customFormat="false" ht="8.2" hidden="false" customHeight="true" outlineLevel="0" collapsed="false">
      <c r="A18" s="33" t="s">
        <v>224</v>
      </c>
      <c r="B18" s="33"/>
      <c r="C18" s="33"/>
      <c r="D18" s="33"/>
      <c r="E18" s="33"/>
      <c r="F18" s="33"/>
      <c r="G18" s="33"/>
      <c r="H18" s="33"/>
      <c r="I18" s="33" t="s">
        <v>214</v>
      </c>
      <c r="J18" s="33"/>
      <c r="K18" s="152" t="s">
        <v>5</v>
      </c>
      <c r="L18" s="152"/>
      <c r="M18" s="152"/>
      <c r="N18" s="153" t="n">
        <f aca="false">SUM(N3:N17)</f>
        <v>0</v>
      </c>
      <c r="O18" s="153" t="n">
        <f aca="false">SUM(O3:O17)</f>
        <v>0</v>
      </c>
      <c r="P18" s="153" t="n">
        <f aca="false">SUM(P3:P17)</f>
        <v>0</v>
      </c>
      <c r="Q18" s="153" t="n">
        <f aca="false">SUM(Q3:Q17)</f>
        <v>0</v>
      </c>
      <c r="R18" s="16" t="n">
        <f aca="false">ROUNDUP((SUM(N18:P18))/25000)</f>
        <v>0</v>
      </c>
    </row>
    <row r="19" customFormat="false" ht="8.2" hidden="false" customHeight="true" outlineLevel="0" collapsed="false">
      <c r="A19" s="51"/>
      <c r="B19" s="51" t="s">
        <v>108</v>
      </c>
      <c r="C19" s="51" t="s">
        <v>21</v>
      </c>
      <c r="D19" s="51" t="s">
        <v>23</v>
      </c>
      <c r="E19" s="51" t="s">
        <v>24</v>
      </c>
      <c r="F19" s="46" t="s">
        <v>68</v>
      </c>
      <c r="G19" s="46"/>
      <c r="H19" s="46" t="s">
        <v>217</v>
      </c>
      <c r="I19" s="151" t="n">
        <v>-0.5</v>
      </c>
      <c r="J19" s="46" t="s">
        <v>218</v>
      </c>
      <c r="K19" s="33" t="s">
        <v>225</v>
      </c>
      <c r="L19" s="33"/>
      <c r="M19" s="33"/>
      <c r="N19" s="33"/>
      <c r="O19" s="33"/>
      <c r="P19" s="33"/>
      <c r="Q19" s="33"/>
      <c r="R19" s="33"/>
    </row>
    <row r="20" customFormat="false" ht="8.2" hidden="false" customHeight="true" outlineLevel="0" collapsed="false">
      <c r="A20" s="152" t="s">
        <v>19</v>
      </c>
      <c r="B20" s="129" t="n">
        <v>1</v>
      </c>
      <c r="C20" s="153" t="n">
        <f aca="false">(0*2^($B20))-(0*2^($B20-1))</f>
        <v>0</v>
      </c>
      <c r="D20" s="153" t="n">
        <f aca="false">(800*2^($B20-1))</f>
        <v>800</v>
      </c>
      <c r="E20" s="153" t="n">
        <f aca="false">(400*2^($B20-1))</f>
        <v>400</v>
      </c>
      <c r="F20" s="16" t="n">
        <f aca="false">ROUNDUP((SUM(C20:E20))/25000)</f>
        <v>1</v>
      </c>
      <c r="G20" s="16"/>
      <c r="H20" s="154" t="e">
        <f aca="false">SECOND(IF($T$31=1,(0.75*(($C20+$D20)/(1000*(1+$T$29))/24)/'Autres options'!$B$29),(($C20+$D20)/(1000*(1+$T$29))/24)/'Autres options'!$B$29))+100*MINUTE(IF($T$31=1,(0.75*(($C20+$D20)/(1000*(1+$T$29))/24)/'Autres options'!$B$29),(($C20+$D20)/(1000*(1+$T$29))/24)/'Autres options'!$B$29))+10000*HOUR(IF($T$31=1,(0.75*(($C20+$D20)/(1000*(1+$T$29))/24)/'Autres options'!$B$29),(($C20+$D20)/(1000*(1+$T$29))/24)/'Autres options'!$B$29))+1000000*ROUNDDOWN((((IF($T$31=1,(0.75*(($C20+$D20)/(1000*(1+$T$29))/24)/'Autres options'!$B$29),(($C20+$D20)/(1000*(1+$T$29))/24)/'Autres options'!$B$29)))))</f>
        <v>#DIV/0!</v>
      </c>
      <c r="I20" s="111" t="e">
        <f aca="false">IF(750*(ROUNDUP((((IF($T$31=1,(0.75*(($C20+$D20)/(1000*(1+$T$29))/24)/'Autres options'!$B$29),(($C20+$D20)/(1000*(1+$T$29))/24)/'Autres options'!$B$29))*24)*60)/30))&lt;108000,750*(ROUNDUP((((IF($T$31=1,(0.75*(($C20+$D20)/(1000*(1+$T$29))/24)/'Autres options'!$B$29),(($C20+$D20)/(1000*(1+$T$29))/24)/'Autres options'!$B$29))*24)*60)/30)),108000)</f>
        <v>#DIV/0!</v>
      </c>
      <c r="J20" s="111" t="e">
        <f aca="false">I20*2</f>
        <v>#DIV/0!</v>
      </c>
      <c r="K20" s="51"/>
      <c r="L20" s="51" t="s">
        <v>219</v>
      </c>
      <c r="M20" s="51" t="s">
        <v>226</v>
      </c>
      <c r="N20" s="51" t="s">
        <v>21</v>
      </c>
      <c r="O20" s="51" t="s">
        <v>23</v>
      </c>
      <c r="P20" s="51" t="s">
        <v>24</v>
      </c>
      <c r="Q20" s="46" t="s">
        <v>222</v>
      </c>
      <c r="R20" s="46" t="s">
        <v>68</v>
      </c>
    </row>
    <row r="21" customFormat="false" ht="8.2" hidden="false" customHeight="true" outlineLevel="0" collapsed="false">
      <c r="A21" s="152" t="s">
        <v>25</v>
      </c>
      <c r="B21" s="129" t="n">
        <v>1</v>
      </c>
      <c r="C21" s="153" t="n">
        <f aca="false">(1000*2^($B21-1))</f>
        <v>1000</v>
      </c>
      <c r="D21" s="153" t="n">
        <f aca="false">(300*2^($B21-1))</f>
        <v>300</v>
      </c>
      <c r="E21" s="153" t="n">
        <f aca="false">(100*2^($B21-1))</f>
        <v>100</v>
      </c>
      <c r="F21" s="16" t="n">
        <f aca="false">ROUNDUP((SUM(C21:E21))/25000)</f>
        <v>1</v>
      </c>
      <c r="G21" s="16"/>
      <c r="H21" s="154" t="e">
        <f aca="false">SECOND(IF($T$31=1,(0.75*(($C21+$D21)/(1000*(1+$T$29))/24)/'Autres options'!$B$29),(($C21+$D21)/(1000*(1+$T$29))/24)/'Autres options'!$B$29))+100*MINUTE(IF($T$31=1,(0.75*(($C21+$D21)/(1000*(1+$T$29))/24)/'Autres options'!$B$29),(($C21+$D21)/(1000*(1+$T$29))/24)/'Autres options'!$B$29))+10000*HOUR(IF($T$31=1,(0.75*(($C21+$D21)/(1000*(1+$T$29))/24)/'Autres options'!$B$29),(($C21+$D21)/(1000*(1+$T$29))/24)/'Autres options'!$B$29))+1000000*ROUNDDOWN((((IF($T$31=1,(0.75*(($C21+$D21)/(1000*(1+$T$29))/24)/'Autres options'!$B$29),(($C21+$D21)/(1000*(1+$T$29))/24)/'Autres options'!$B$29)))))</f>
        <v>#DIV/0!</v>
      </c>
      <c r="I21" s="111" t="e">
        <f aca="false">IF(750*(ROUNDUP((((IF($T$31=1,(0.75*(($C21+$D21)/(1000*(1+$T$29))/24)/'Autres options'!$B$29),(($C21+$D21)/(1000*(1+$T$29))/24)/'Autres options'!$B$29))*24)*60)/30))&lt;108000,750*(ROUNDUP((((IF($T$31=1,(0.75*(($C21+$D21)/(1000*(1+$T$29))/24)/'Autres options'!$B$29),(($C21+$D21)/(1000*(1+$T$29))/24)/'Autres options'!$B$29))*24)*60)/30)),108000)</f>
        <v>#DIV/0!</v>
      </c>
      <c r="J21" s="111" t="e">
        <f aca="false">I21*2</f>
        <v>#DIV/0!</v>
      </c>
      <c r="K21" s="152" t="s">
        <v>19</v>
      </c>
      <c r="L21" s="129" t="n">
        <v>0</v>
      </c>
      <c r="M21" s="129" t="n">
        <v>0</v>
      </c>
      <c r="N21" s="153" t="n">
        <f aca="false">(0*2^($M21))-(0*2^($L21))</f>
        <v>0</v>
      </c>
      <c r="O21" s="153" t="n">
        <f aca="false">(800*2^($M21))-(800*2^($L21))</f>
        <v>0</v>
      </c>
      <c r="P21" s="153" t="n">
        <f aca="false">(400*2^($M21))-(400*2^($L21))</f>
        <v>0</v>
      </c>
      <c r="Q21" s="155" t="e">
        <f aca="false">IF(T31=1,(0.75*((N21+O21)/(1000*(1+T29))/24)/'Autres options'!B29),((N21+O21)/(1000*(1+T29))/24)/'Autres options'!B29)</f>
        <v>#DIV/0!</v>
      </c>
      <c r="R21" s="16" t="n">
        <f aca="false">ROUNDUP((SUM(N21:P21))/25000)</f>
        <v>0</v>
      </c>
      <c r="S21" s="156" t="s">
        <v>47</v>
      </c>
      <c r="T21" s="157" t="n">
        <v>10</v>
      </c>
    </row>
    <row r="22" customFormat="false" ht="8.2" hidden="false" customHeight="true" outlineLevel="0" collapsed="false">
      <c r="A22" s="152" t="s">
        <v>36</v>
      </c>
      <c r="B22" s="129" t="n">
        <v>1</v>
      </c>
      <c r="C22" s="153" t="n">
        <f aca="false">(0*2^($B22))-(0*2^($B22-1))</f>
        <v>0</v>
      </c>
      <c r="D22" s="153" t="n">
        <f aca="false">(400*2^($B22-1))</f>
        <v>400</v>
      </c>
      <c r="E22" s="153" t="n">
        <f aca="false">(600*2^($B22-1))</f>
        <v>600</v>
      </c>
      <c r="F22" s="16" t="n">
        <f aca="false">ROUNDUP((SUM(C22:E22))/25000)</f>
        <v>1</v>
      </c>
      <c r="G22" s="16"/>
      <c r="H22" s="154" t="e">
        <f aca="false">SECOND(IF($T$31=1,(0.75*(($C22+$D22)/(1000*(1+$T$29))/24)/'Autres options'!$B$29),(($C22+$D22)/(1000*(1+$T$29))/24)/'Autres options'!$B$29))+100*MINUTE(IF($T$31=1,(0.75*(($C22+$D22)/(1000*(1+$T$29))/24)/'Autres options'!$B$29),(($C22+$D22)/(1000*(1+$T$29))/24)/'Autres options'!$B$29))+10000*HOUR(IF($T$31=1,(0.75*(($C22+$D22)/(1000*(1+$T$29))/24)/'Autres options'!$B$29),(($C22+$D22)/(1000*(1+$T$29))/24)/'Autres options'!$B$29))+1000000*ROUNDDOWN((((IF($T$31=1,(0.75*(($C22+$D22)/(1000*(1+$T$29))/24)/'Autres options'!$B$29),(($C22+$D22)/(1000*(1+$T$29))/24)/'Autres options'!$B$29)))))</f>
        <v>#DIV/0!</v>
      </c>
      <c r="I22" s="111" t="e">
        <f aca="false">IF(750*(ROUNDUP((((IF($T$31=1,(0.75*(($C22+$D22)/(1000*(1+$T$29))/24)/'Autres options'!$B$29),(($C22+$D22)/(1000*(1+$T$29))/24)/'Autres options'!$B$29))*24)*60)/30))&lt;108000,750*(ROUNDUP((((IF($T$31=1,(0.75*(($C22+$D22)/(1000*(1+$T$29))/24)/'Autres options'!$B$29),(($C22+$D22)/(1000*(1+$T$29))/24)/'Autres options'!$B$29))*24)*60)/30)),108000)</f>
        <v>#DIV/0!</v>
      </c>
      <c r="J22" s="111" t="e">
        <f aca="false">I22*2</f>
        <v>#DIV/0!</v>
      </c>
      <c r="K22" s="152" t="s">
        <v>25</v>
      </c>
      <c r="L22" s="129" t="n">
        <v>0</v>
      </c>
      <c r="M22" s="129" t="n">
        <v>0</v>
      </c>
      <c r="N22" s="153" t="n">
        <f aca="false">(1000*2^($M22))-(1000*2^($L22))</f>
        <v>0</v>
      </c>
      <c r="O22" s="153" t="n">
        <f aca="false">(300*2^($M22))-(300*2^($L22))</f>
        <v>0</v>
      </c>
      <c r="P22" s="153" t="n">
        <f aca="false">(100*2^($M22))-(100*2^($L22))</f>
        <v>0</v>
      </c>
      <c r="Q22" s="155" t="e">
        <f aca="false">IF(T31=1,(0.75*((N22+O22)/(1000*(1+T29))/24)/'Autres options'!B29),((N22+O22)/(1000*(1+T29))/24)/'Autres options'!B29)</f>
        <v>#DIV/0!</v>
      </c>
      <c r="R22" s="16" t="n">
        <f aca="false">ROUNDUP((SUM(N22:P22))/25000)</f>
        <v>0</v>
      </c>
      <c r="S22" s="156"/>
      <c r="T22" s="157"/>
    </row>
    <row r="23" customFormat="false" ht="8.2" hidden="false" customHeight="true" outlineLevel="0" collapsed="false">
      <c r="A23" s="152" t="s">
        <v>34</v>
      </c>
      <c r="B23" s="129" t="n">
        <v>1</v>
      </c>
      <c r="C23" s="153" t="n">
        <f aca="false">(200*2^($B23-1))</f>
        <v>200</v>
      </c>
      <c r="D23" s="153" t="n">
        <f aca="false">(1000*2^($B23-1))</f>
        <v>1000</v>
      </c>
      <c r="E23" s="153" t="n">
        <f aca="false">(200*2^($B23-1))</f>
        <v>200</v>
      </c>
      <c r="F23" s="16" t="n">
        <f aca="false">ROUNDUP((SUM(C23:E23))/25000)</f>
        <v>1</v>
      </c>
      <c r="G23" s="16"/>
      <c r="H23" s="154" t="e">
        <f aca="false">SECOND(IF($T$31=1,(0.75*(($C23+$D23)/(1000*(1+$T$29))/24)/'Autres options'!$B$29),(($C23+$D23)/(1000*(1+$T$29))/24)/'Autres options'!$B$29))+100*MINUTE(IF($T$31=1,(0.75*(($C23+$D23)/(1000*(1+$T$29))/24)/'Autres options'!$B$29),(($C23+$D23)/(1000*(1+$T$29))/24)/'Autres options'!$B$29))+10000*HOUR(IF($T$31=1,(0.75*(($C23+$D23)/(1000*(1+$T$29))/24)/'Autres options'!$B$29),(($C23+$D23)/(1000*(1+$T$29))/24)/'Autres options'!$B$29))+1000000*ROUNDDOWN((((IF($T$31=1,(0.75*(($C23+$D23)/(1000*(1+$T$29))/24)/'Autres options'!$B$29),(($C23+$D23)/(1000*(1+$T$29))/24)/'Autres options'!$B$29)))))</f>
        <v>#DIV/0!</v>
      </c>
      <c r="I23" s="111" t="e">
        <f aca="false">IF(750*(ROUNDUP((((IF($T$31=1,(0.75*(($C23+$D23)/(1000*(1+$T$29))/24)/'Autres options'!$B$29),(($C23+$D23)/(1000*(1+$T$29))/24)/'Autres options'!$B$29))*24)*60)/30))&lt;108000,750*(ROUNDUP((((IF($T$31=1,(0.75*(($C23+$D23)/(1000*(1+$T$29))/24)/'Autres options'!$B$29),(($C23+$D23)/(1000*(1+$T$29))/24)/'Autres options'!$B$29))*24)*60)/30)),108000)</f>
        <v>#DIV/0!</v>
      </c>
      <c r="J23" s="111" t="e">
        <f aca="false">I23*2</f>
        <v>#DIV/0!</v>
      </c>
      <c r="K23" s="152" t="s">
        <v>36</v>
      </c>
      <c r="L23" s="129" t="n">
        <v>0</v>
      </c>
      <c r="M23" s="129" t="n">
        <v>0</v>
      </c>
      <c r="N23" s="153" t="n">
        <f aca="false">(0*2^($M23))-(0*2^($L23))</f>
        <v>0</v>
      </c>
      <c r="O23" s="153" t="n">
        <f aca="false">(400*2^($M23))-(400*2^($L23))</f>
        <v>0</v>
      </c>
      <c r="P23" s="153" t="n">
        <f aca="false">(600*2^($M23))-(600*2^($L23))</f>
        <v>0</v>
      </c>
      <c r="Q23" s="155" t="e">
        <f aca="false">IF(T31=1,(0.75*((N23+O23)/(1000*(1+T29))/24)/'Autres options'!B29),((N23+O23)/(1000*(1+T29))/24)/'Autres options'!B29)</f>
        <v>#DIV/0!</v>
      </c>
      <c r="R23" s="16" t="n">
        <f aca="false">ROUNDUP((SUM(N23:P23))/25000)</f>
        <v>0</v>
      </c>
      <c r="S23" s="156" t="s">
        <v>49</v>
      </c>
      <c r="T23" s="157" t="n">
        <v>1</v>
      </c>
    </row>
    <row r="24" customFormat="false" ht="8.2" hidden="false" customHeight="true" outlineLevel="0" collapsed="false">
      <c r="A24" s="152" t="s">
        <v>29</v>
      </c>
      <c r="B24" s="129" t="n">
        <v>1</v>
      </c>
      <c r="C24" s="153" t="n">
        <f aca="false">(800*2^($B24-1))</f>
        <v>800</v>
      </c>
      <c r="D24" s="153" t="n">
        <f aca="false">(200*2^($B24-1))</f>
        <v>200</v>
      </c>
      <c r="E24" s="153" t="n">
        <f aca="false">(0*2^($B24))-(0*2^($B24-1))</f>
        <v>0</v>
      </c>
      <c r="F24" s="16" t="n">
        <f aca="false">ROUNDUP((SUM(C24:E24))/25000)</f>
        <v>1</v>
      </c>
      <c r="G24" s="16"/>
      <c r="H24" s="154" t="e">
        <f aca="false">SECOND(IF($T$31=1,(0.75*(($C24+$D24)/(1000*(1+$T$29))/24)/'Autres options'!$B$29),(($C24+$D24)/(1000*(1+$T$29))/24)/'Autres options'!$B$29))+100*MINUTE(IF($T$31=1,(0.75*(($C24+$D24)/(1000*(1+$T$29))/24)/'Autres options'!$B$29),(($C24+$D24)/(1000*(1+$T$29))/24)/'Autres options'!$B$29))+10000*HOUR(IF($T$31=1,(0.75*(($C24+$D24)/(1000*(1+$T$29))/24)/'Autres options'!$B$29),(($C24+$D24)/(1000*(1+$T$29))/24)/'Autres options'!$B$29))+1000000*ROUNDDOWN((((IF($T$31=1,(0.75*(($C24+$D24)/(1000*(1+$T$29))/24)/'Autres options'!$B$29),(($C24+$D24)/(1000*(1+$T$29))/24)/'Autres options'!$B$29)))))</f>
        <v>#DIV/0!</v>
      </c>
      <c r="I24" s="111" t="e">
        <f aca="false">IF(750*(ROUNDUP((((IF($T$31=1,(0.75*(($C24+$D24)/(1000*(1+$T$29))/24)/'Autres options'!$B$29),(($C24+$D24)/(1000*(1+$T$29))/24)/'Autres options'!$B$29))*24)*60)/30))&lt;108000,750*(ROUNDUP((((IF($T$31=1,(0.75*(($C24+$D24)/(1000*(1+$T$29))/24)/'Autres options'!$B$29),(($C24+$D24)/(1000*(1+$T$29))/24)/'Autres options'!$B$29))*24)*60)/30)),108000)</f>
        <v>#DIV/0!</v>
      </c>
      <c r="J24" s="111" t="e">
        <f aca="false">I24*2</f>
        <v>#DIV/0!</v>
      </c>
      <c r="K24" s="152" t="s">
        <v>34</v>
      </c>
      <c r="L24" s="129" t="n">
        <v>0</v>
      </c>
      <c r="M24" s="129" t="n">
        <v>0</v>
      </c>
      <c r="N24" s="153" t="n">
        <f aca="false">(200*2^($M24))-(200*2^($L24))</f>
        <v>0</v>
      </c>
      <c r="O24" s="153" t="n">
        <f aca="false">(1000*2^($M24))-(1000*2^($L24))</f>
        <v>0</v>
      </c>
      <c r="P24" s="153" t="n">
        <f aca="false">(200*2^($M24))-(200*2^($L24))</f>
        <v>0</v>
      </c>
      <c r="Q24" s="155" t="e">
        <f aca="false">IF(T31=1,(0.75*((N24+O24)/(1000*(1+T29))/24)/'Autres options'!B29),((N24+O24)/(1000*(1+T29))/24)/'Autres options'!B29)</f>
        <v>#DIV/0!</v>
      </c>
      <c r="R24" s="16" t="n">
        <f aca="false">ROUNDUP((SUM(N24:P24))/25000)</f>
        <v>0</v>
      </c>
      <c r="S24" s="156"/>
      <c r="T24" s="157"/>
    </row>
    <row r="25" customFormat="false" ht="8.2" hidden="false" customHeight="true" outlineLevel="0" collapsed="false">
      <c r="A25" s="152" t="s">
        <v>30</v>
      </c>
      <c r="B25" s="129" t="n">
        <v>1</v>
      </c>
      <c r="C25" s="153" t="n">
        <f aca="false">(200*2^($B25-1))</f>
        <v>200</v>
      </c>
      <c r="D25" s="153" t="n">
        <f aca="false">(600*2^($B25-1))</f>
        <v>600</v>
      </c>
      <c r="E25" s="153" t="n">
        <f aca="false">(0*2^($B25))-(0*2^($B25-1))</f>
        <v>0</v>
      </c>
      <c r="F25" s="16" t="n">
        <f aca="false">ROUNDUP((SUM(C25:E25))/25000)</f>
        <v>1</v>
      </c>
      <c r="G25" s="16"/>
      <c r="H25" s="154" t="e">
        <f aca="false">SECOND(IF($T$31=1,(0.75*(($C25+$D25)/(1000*(1+$T$29))/24)/'Autres options'!$B$29),(($C25+$D25)/(1000*(1+$T$29))/24)/'Autres options'!$B$29))+100*MINUTE(IF($T$31=1,(0.75*(($C25+$D25)/(1000*(1+$T$29))/24)/'Autres options'!$B$29),(($C25+$D25)/(1000*(1+$T$29))/24)/'Autres options'!$B$29))+10000*HOUR(IF($T$31=1,(0.75*(($C25+$D25)/(1000*(1+$T$29))/24)/'Autres options'!$B$29),(($C25+$D25)/(1000*(1+$T$29))/24)/'Autres options'!$B$29))+1000000*ROUNDDOWN((((IF($T$31=1,(0.75*(($C25+$D25)/(1000*(1+$T$29))/24)/'Autres options'!$B$29),(($C25+$D25)/(1000*(1+$T$29))/24)/'Autres options'!$B$29)))))</f>
        <v>#DIV/0!</v>
      </c>
      <c r="I25" s="111" t="e">
        <f aca="false">IF(750*(ROUNDUP((((IF($T$31=1,(0.75*(($C25+$D25)/(1000*(1+$T$29))/24)/'Autres options'!$B$29),(($C25+$D25)/(1000*(1+$T$29))/24)/'Autres options'!$B$29))*24)*60)/30))&lt;108000,750*(ROUNDUP((((IF($T$31=1,(0.75*(($C25+$D25)/(1000*(1+$T$29))/24)/'Autres options'!$B$29),(($C25+$D25)/(1000*(1+$T$29))/24)/'Autres options'!$B$29))*24)*60)/30)),108000)</f>
        <v>#DIV/0!</v>
      </c>
      <c r="J25" s="111" t="e">
        <f aca="false">I25*2</f>
        <v>#DIV/0!</v>
      </c>
      <c r="K25" s="152" t="s">
        <v>29</v>
      </c>
      <c r="L25" s="129" t="n">
        <v>0</v>
      </c>
      <c r="M25" s="129" t="n">
        <v>0</v>
      </c>
      <c r="N25" s="153" t="n">
        <f aca="false">(800*2^($M25))-(800*2^($L25))</f>
        <v>0</v>
      </c>
      <c r="O25" s="153" t="n">
        <f aca="false">(200*2^($M25))-(200*2^($L25))</f>
        <v>0</v>
      </c>
      <c r="P25" s="153" t="n">
        <f aca="false">(0*2^($M25))-(0*2^($L25))</f>
        <v>0</v>
      </c>
      <c r="Q25" s="155" t="e">
        <f aca="false">IF(T31=1,(0.75*((N25+O25)/(1000*(1+T29))/24)/'Autres options'!B29),((N25+O25)/(1000*(1+T29))/24)/'Autres options'!B29)</f>
        <v>#DIV/0!</v>
      </c>
      <c r="R25" s="16" t="n">
        <f aca="false">ROUNDUP((SUM(N25:P25))/25000)</f>
        <v>0</v>
      </c>
      <c r="S25" s="156" t="s">
        <v>51</v>
      </c>
      <c r="T25" s="157" t="n">
        <v>8</v>
      </c>
    </row>
    <row r="26" customFormat="false" ht="8.2" hidden="false" customHeight="true" outlineLevel="0" collapsed="false">
      <c r="A26" s="152" t="s">
        <v>32</v>
      </c>
      <c r="B26" s="129" t="n">
        <v>1</v>
      </c>
      <c r="C26" s="153" t="n">
        <f aca="false">(1000*2^($B26-1))</f>
        <v>1000</v>
      </c>
      <c r="D26" s="153" t="n">
        <f aca="false">(0*2^($B26))-(0*2^($B26-1))</f>
        <v>0</v>
      </c>
      <c r="E26" s="153" t="n">
        <f aca="false">(0*2^($B26))-(0*2^($B26-1))</f>
        <v>0</v>
      </c>
      <c r="F26" s="16" t="n">
        <f aca="false">ROUNDUP((SUM(C26:E26))/25000)</f>
        <v>1</v>
      </c>
      <c r="G26" s="16"/>
      <c r="H26" s="154" t="e">
        <f aca="false">SECOND(IF($T$31=1,(0.75*(($C26+$D26)/(1000*(1+$T$29))/24)/'Autres options'!$B$29),(($C26+$D26)/(1000*(1+$T$29))/24)/'Autres options'!$B$29))+100*MINUTE(IF($T$31=1,(0.75*(($C26+$D26)/(1000*(1+$T$29))/24)/'Autres options'!$B$29),(($C26+$D26)/(1000*(1+$T$29))/24)/'Autres options'!$B$29))+10000*HOUR(IF($T$31=1,(0.75*(($C26+$D26)/(1000*(1+$T$29))/24)/'Autres options'!$B$29),(($C26+$D26)/(1000*(1+$T$29))/24)/'Autres options'!$B$29))+1000000*ROUNDDOWN((((IF($T$31=1,(0.75*(($C26+$D26)/(1000*(1+$T$29))/24)/'Autres options'!$B$29),(($C26+$D26)/(1000*(1+$T$29))/24)/'Autres options'!$B$29)))))</f>
        <v>#DIV/0!</v>
      </c>
      <c r="I26" s="111" t="e">
        <f aca="false">IF(750*(ROUNDUP((((IF($T$31=1,(0.75*(($C26+$D26)/(1000*(1+$T$29))/24)/'Autres options'!$B$29),(($C26+$D26)/(1000*(1+$T$29))/24)/'Autres options'!$B$29))*24)*60)/30))&lt;108000,750*(ROUNDUP((((IF($T$31=1,(0.75*(($C26+$D26)/(1000*(1+$T$29))/24)/'Autres options'!$B$29),(($C26+$D26)/(1000*(1+$T$29))/24)/'Autres options'!$B$29))*24)*60)/30)),108000)</f>
        <v>#DIV/0!</v>
      </c>
      <c r="J26" s="111" t="e">
        <f aca="false">I26*2</f>
        <v>#DIV/0!</v>
      </c>
      <c r="K26" s="152" t="s">
        <v>30</v>
      </c>
      <c r="L26" s="129" t="n">
        <v>0</v>
      </c>
      <c r="M26" s="129" t="n">
        <v>0</v>
      </c>
      <c r="N26" s="153" t="n">
        <f aca="false">(200*2^($M26))-(200*2^($L26))</f>
        <v>0</v>
      </c>
      <c r="O26" s="153" t="n">
        <f aca="false">(600*2^($M26))-(600*2^($L26))</f>
        <v>0</v>
      </c>
      <c r="P26" s="153" t="n">
        <f aca="false">(0*2^($M26))-(0*2^($L26))</f>
        <v>0</v>
      </c>
      <c r="Q26" s="155" t="e">
        <f aca="false">IF(T31=1,(0.75*((N26+O26)/(1000*(1+T29))/24)/'Autres options'!B29),((N26+O26)/(1000*(1+T29))/24)/'Autres options'!B29)</f>
        <v>#DIV/0!</v>
      </c>
      <c r="R26" s="16" t="n">
        <f aca="false">ROUNDUP((SUM(N26:P26))/25000)</f>
        <v>0</v>
      </c>
      <c r="S26" s="156"/>
      <c r="T26" s="157"/>
    </row>
    <row r="27" customFormat="false" ht="8.2" hidden="false" customHeight="true" outlineLevel="0" collapsed="false">
      <c r="A27" s="152" t="s">
        <v>52</v>
      </c>
      <c r="B27" s="129" t="n">
        <v>1</v>
      </c>
      <c r="C27" s="153" t="n">
        <f aca="false">(200*2^($B27-1))</f>
        <v>200</v>
      </c>
      <c r="D27" s="153" t="n">
        <f aca="false">(100*2^($B27-1))</f>
        <v>100</v>
      </c>
      <c r="E27" s="153" t="n">
        <f aca="false">(0*2^($B27))-(0*2^($B27-1))</f>
        <v>0</v>
      </c>
      <c r="F27" s="16" t="n">
        <f aca="false">ROUNDUP((SUM(C27:E27))/25000)</f>
        <v>1</v>
      </c>
      <c r="G27" s="16"/>
      <c r="H27" s="154" t="e">
        <f aca="false">SECOND(IF($T$31=1,(0.75*(($C27+$D27)/(1000*(1+$T$29))/24)/'Autres options'!$B$29),(($C27+$D27)/(1000*(1+$T$29))/24)/'Autres options'!$B$29))+100*MINUTE(IF($T$31=1,(0.75*(($C27+$D27)/(1000*(1+$T$29))/24)/'Autres options'!$B$29),(($C27+$D27)/(1000*(1+$T$29))/24)/'Autres options'!$B$29))+10000*HOUR(IF($T$31=1,(0.75*(($C27+$D27)/(1000*(1+$T$29))/24)/'Autres options'!$B$29),(($C27+$D27)/(1000*(1+$T$29))/24)/'Autres options'!$B$29))+1000000*ROUNDDOWN((((IF($T$31=1,(0.75*(($C27+$D27)/(1000*(1+$T$29))/24)/'Autres options'!$B$29),(($C27+$D27)/(1000*(1+$T$29))/24)/'Autres options'!$B$29)))))</f>
        <v>#DIV/0!</v>
      </c>
      <c r="I27" s="111" t="e">
        <f aca="false">IF(750*(ROUNDUP((((IF($T$31=1,(0.75*(($C27+$D27)/(1000*(1+$T$29))/24)/'Autres options'!$B$29),(($C27+$D27)/(1000*(1+$T$29))/24)/'Autres options'!$B$29))*24)*60)/30))&lt;108000,750*(ROUNDUP((((IF($T$31=1,(0.75*(($C27+$D27)/(1000*(1+$T$29))/24)/'Autres options'!$B$29),(($C27+$D27)/(1000*(1+$T$29))/24)/'Autres options'!$B$29))*24)*60)/30)),108000)</f>
        <v>#DIV/0!</v>
      </c>
      <c r="J27" s="111" t="e">
        <f aca="false">I27*2</f>
        <v>#DIV/0!</v>
      </c>
      <c r="K27" s="152" t="s">
        <v>32</v>
      </c>
      <c r="L27" s="129" t="n">
        <v>0</v>
      </c>
      <c r="M27" s="129" t="n">
        <v>0</v>
      </c>
      <c r="N27" s="153" t="n">
        <f aca="false">(1000*2^($M27))-(1000*2^($L27))</f>
        <v>0</v>
      </c>
      <c r="O27" s="153" t="n">
        <f aca="false">(0*2^($M27))-(0*2^($L27))</f>
        <v>0</v>
      </c>
      <c r="P27" s="153" t="n">
        <f aca="false">(0*2^($M27))-(0*2^($L27))</f>
        <v>0</v>
      </c>
      <c r="Q27" s="155" t="e">
        <f aca="false">IF(T31=1,(0.75*((N27+O27)/(1000*(1+T29))/24)/'Autres options'!B29),((N27+O27)/(1000*(1+T29))/24)/'Autres options'!B29)</f>
        <v>#DIV/0!</v>
      </c>
      <c r="R27" s="16" t="n">
        <f aca="false">ROUNDUP((SUM(N27:P27))/25000)</f>
        <v>0</v>
      </c>
      <c r="S27" s="158" t="s">
        <v>227</v>
      </c>
      <c r="T27" s="157" t="n">
        <v>0</v>
      </c>
    </row>
    <row r="28" customFormat="false" ht="8.2" hidden="false" customHeight="true" outlineLevel="0" collapsed="false">
      <c r="A28" s="152" t="s">
        <v>38</v>
      </c>
      <c r="B28" s="129" t="n">
        <v>10</v>
      </c>
      <c r="C28" s="153" t="n">
        <f aca="false">ROUND(4000*1.75^(B28-1),-2)</f>
        <v>615700</v>
      </c>
      <c r="D28" s="153" t="n">
        <f aca="false">ROUND(8000*1.75^(B28-1),-2)</f>
        <v>1231500</v>
      </c>
      <c r="E28" s="153" t="n">
        <f aca="false">ROUND(4000*1.75^(B28-1),-2)</f>
        <v>615700</v>
      </c>
      <c r="F28" s="16" t="n">
        <f aca="false">ROUNDUP((SUM(C28:E28))/25000)</f>
        <v>99</v>
      </c>
      <c r="G28" s="16"/>
      <c r="H28" s="154" t="e">
        <f aca="false">SECOND(IF($T$31=1,(0.75*(($C28+$D28)/(1000*(1+$T$29))/24)/'Autres options'!$B$29),(($C28+$D28)/(1000*(1+$T$29))/24)/'Autres options'!$B$29))+100*MINUTE(IF($T$31=1,(0.75*(($C28+$D28)/(1000*(1+$T$29))/24)/'Autres options'!$B$29),(($C28+$D28)/(1000*(1+$T$29))/24)/'Autres options'!$B$29))+10000*HOUR(IF($T$31=1,(0.75*(($C28+$D28)/(1000*(1+$T$29))/24)/'Autres options'!$B$29),(($C28+$D28)/(1000*(1+$T$29))/24)/'Autres options'!$B$29))+1000000*ROUNDDOWN((((IF($T$31=1,(0.75*(($C28+$D28)/(1000*(1+$T$29))/24)/'Autres options'!$B$29),(($C28+$D28)/(1000*(1+$T$29))/24)/'Autres options'!$B$29)))))</f>
        <v>#DIV/0!</v>
      </c>
      <c r="I28" s="111" t="e">
        <f aca="false">IF(750*(ROUNDUP((((IF($T$31=1,(0.75*(($C28+$D28)/(1000*(1+$T$29))/24)/'Autres options'!$B$29),(($C28+$D28)/(1000*(1+$T$29))/24)/'Autres options'!$B$29))*24)*60)/30))&lt;108000,750*(ROUNDUP((((IF($T$31=1,(0.75*(($C28+$D28)/(1000*(1+$T$29))/24)/'Autres options'!$B$29),(($C28+$D28)/(1000*(1+$T$29))/24)/'Autres options'!$B$29))*24)*60)/30)),108000)</f>
        <v>#DIV/0!</v>
      </c>
      <c r="J28" s="111" t="e">
        <f aca="false">I28*2</f>
        <v>#DIV/0!</v>
      </c>
      <c r="K28" s="152" t="s">
        <v>52</v>
      </c>
      <c r="L28" s="129" t="n">
        <v>0</v>
      </c>
      <c r="M28" s="129" t="n">
        <v>0</v>
      </c>
      <c r="N28" s="153" t="n">
        <f aca="false">(200*2^($M28))-(200*2^($L28))</f>
        <v>0</v>
      </c>
      <c r="O28" s="153" t="n">
        <f aca="false">(100*2^($M28))-(100*2^($L28))</f>
        <v>0</v>
      </c>
      <c r="P28" s="153" t="n">
        <f aca="false">(0*2^($M28))-(0*2^($L28))</f>
        <v>0</v>
      </c>
      <c r="Q28" s="155" t="e">
        <f aca="false">IF(T31=1,(0.75*((N28+O28)/(1000*(1+T29))/24)/'Autres options'!B29),((N28+O28)/(1000*(1+T29))/24)/'Autres options'!B29)</f>
        <v>#DIV/0!</v>
      </c>
      <c r="R28" s="16" t="n">
        <f aca="false">ROUNDUP((SUM(N28:P28))/25000)</f>
        <v>0</v>
      </c>
      <c r="S28" s="158"/>
      <c r="T28" s="157"/>
    </row>
    <row r="29" customFormat="false" ht="8.2" hidden="false" customHeight="true" outlineLevel="0" collapsed="false">
      <c r="A29" s="152" t="s">
        <v>27</v>
      </c>
      <c r="B29" s="129" t="n">
        <v>8</v>
      </c>
      <c r="C29" s="153" t="n">
        <f aca="false">(2000*2^($B29-1))</f>
        <v>256000</v>
      </c>
      <c r="D29" s="153" t="n">
        <f aca="false">(4000*2^($B29-1))</f>
        <v>512000</v>
      </c>
      <c r="E29" s="153" t="n">
        <f aca="false">(1000*2^($B29-1))</f>
        <v>128000</v>
      </c>
      <c r="F29" s="16" t="n">
        <f aca="false">ROUNDUP((SUM(C29:E29))/25000)</f>
        <v>36</v>
      </c>
      <c r="G29" s="16"/>
      <c r="H29" s="154" t="e">
        <f aca="false">SECOND(IF($T$31=1,(0.75*(($C29+$D29)/(1000*(1+$T$29))/24)/'Autres options'!$B$29),(($C29+$D29)/(1000*(1+$T$29))/24)/'Autres options'!$B$29))+100*MINUTE(IF($T$31=1,(0.75*(($C29+$D29)/(1000*(1+$T$29))/24)/'Autres options'!$B$29),(($C29+$D29)/(1000*(1+$T$29))/24)/'Autres options'!$B$29))+10000*HOUR(IF($T$31=1,(0.75*(($C29+$D29)/(1000*(1+$T$29))/24)/'Autres options'!$B$29),(($C29+$D29)/(1000*(1+$T$29))/24)/'Autres options'!$B$29))+1000000*ROUNDDOWN((((IF($T$31=1,(0.75*(($C29+$D29)/(1000*(1+$T$29))/24)/'Autres options'!$B$29),(($C29+$D29)/(1000*(1+$T$29))/24)/'Autres options'!$B$29)))))</f>
        <v>#DIV/0!</v>
      </c>
      <c r="I29" s="111" t="e">
        <f aca="false">IF(750*(ROUNDUP((((IF($T$31=1,(0.75*(($C29+$D29)/(1000*(1+$T$29))/24)/'Autres options'!$B$29),(($C29+$D29)/(1000*(1+$T$29))/24)/'Autres options'!$B$29))*24)*60)/30))&lt;108000,750*(ROUNDUP((((IF($T$31=1,(0.75*(($C29+$D29)/(1000*(1+$T$29))/24)/'Autres options'!$B$29),(($C29+$D29)/(1000*(1+$T$29))/24)/'Autres options'!$B$29))*24)*60)/30)),108000)</f>
        <v>#DIV/0!</v>
      </c>
      <c r="J29" s="111" t="e">
        <f aca="false">I29*2</f>
        <v>#DIV/0!</v>
      </c>
      <c r="K29" s="152" t="s">
        <v>38</v>
      </c>
      <c r="L29" s="129" t="n">
        <v>0</v>
      </c>
      <c r="M29" s="129" t="n">
        <v>0</v>
      </c>
      <c r="N29" s="153" t="n">
        <f aca="false">ROUND(((4000*1.75^($M29))-(4000*1.75^($L29)))*(4/3),-2)</f>
        <v>0</v>
      </c>
      <c r="O29" s="153" t="n">
        <f aca="false">ROUNDUP(((8000*1.75^($M29))-(8000*1.75^($L29)))*(4/3),-2)</f>
        <v>0</v>
      </c>
      <c r="P29" s="153" t="n">
        <f aca="false">ROUNDUP(((4000*1.75^($M29))-(4000*1.75^($L29)))*(4/3),-2)</f>
        <v>0</v>
      </c>
      <c r="Q29" s="155" t="e">
        <f aca="false">IF(T31=1,(0.75*((N29+O29)/(1000*(1+T29))/24)/'Autres options'!B29),((N29+O29)/(1000*(1+T29))/24)/'Autres options'!B29)</f>
        <v>#DIV/0!</v>
      </c>
      <c r="R29" s="16" t="n">
        <f aca="false">ROUNDUP((SUM(N29:P29))/25000)</f>
        <v>0</v>
      </c>
      <c r="S29" s="159" t="s">
        <v>228</v>
      </c>
      <c r="T29" s="157" t="n">
        <v>10</v>
      </c>
    </row>
    <row r="30" customFormat="false" ht="8.2" hidden="false" customHeight="true" outlineLevel="0" collapsed="false">
      <c r="A30" s="152" t="s">
        <v>229</v>
      </c>
      <c r="B30" s="129" t="n">
        <v>1</v>
      </c>
      <c r="C30" s="153" t="n">
        <f aca="false">(0*2^($B30))-(0*2^($B30-1))</f>
        <v>0</v>
      </c>
      <c r="D30" s="153" t="n">
        <f aca="false">(4000*2^($B30-1))</f>
        <v>4000</v>
      </c>
      <c r="E30" s="153" t="n">
        <f aca="false">(2000*2^($B30-1))</f>
        <v>2000</v>
      </c>
      <c r="F30" s="16" t="n">
        <f aca="false">ROUNDUP((SUM(C30:E30))/25000)</f>
        <v>1</v>
      </c>
      <c r="G30" s="16"/>
      <c r="H30" s="154" t="e">
        <f aca="false">SECOND(IF($T$31=1,(0.75*(($C30+$D30)/(1000*(1+$T$29))/24)/'Autres options'!$B$29),(($C30+$D30)/(1000*(1+$T$29))/24)/'Autres options'!$B$29))+100*MINUTE(IF($T$31=1,(0.75*(($C30+$D30)/(1000*(1+$T$29))/24)/'Autres options'!$B$29),(($C30+$D30)/(1000*(1+$T$29))/24)/'Autres options'!$B$29))+10000*HOUR(IF($T$31=1,(0.75*(($C30+$D30)/(1000*(1+$T$29))/24)/'Autres options'!$B$29),(($C30+$D30)/(1000*(1+$T$29))/24)/'Autres options'!$B$29))+1000000*ROUNDDOWN((((IF($T$31=1,(0.75*(($C30+$D30)/(1000*(1+$T$29))/24)/'Autres options'!$B$29),(($C30+$D30)/(1000*(1+$T$29))/24)/'Autres options'!$B$29)))))</f>
        <v>#DIV/0!</v>
      </c>
      <c r="I30" s="111" t="e">
        <f aca="false">IF(750*(ROUNDUP((((IF($T$31=1,(0.75*(($C30+$D30)/(1000*(1+$T$29))/24)/'Autres options'!$B$29),(($C30+$D30)/(1000*(1+$T$29))/24)/'Autres options'!$B$29))*24)*60)/30))&lt;108000,750*(ROUNDUP((((IF($T$31=1,(0.75*(($C30+$D30)/(1000*(1+$T$29))/24)/'Autres options'!$B$29),(($C30+$D30)/(1000*(1+$T$29))/24)/'Autres options'!$B$29))*24)*60)/30)),108000)</f>
        <v>#DIV/0!</v>
      </c>
      <c r="J30" s="111" t="e">
        <f aca="false">I30*2</f>
        <v>#DIV/0!</v>
      </c>
      <c r="K30" s="152" t="s">
        <v>27</v>
      </c>
      <c r="L30" s="129" t="n">
        <v>0</v>
      </c>
      <c r="M30" s="129" t="n">
        <v>0</v>
      </c>
      <c r="N30" s="153" t="n">
        <f aca="false">(2000*2^($M30))-(2000*2^($L30))</f>
        <v>0</v>
      </c>
      <c r="O30" s="153" t="n">
        <f aca="false">(4000*2^($M30))-(4000*2^($L30))</f>
        <v>0</v>
      </c>
      <c r="P30" s="153" t="n">
        <f aca="false">(1000*2^($M30))-(1000*2^($L30))</f>
        <v>0</v>
      </c>
      <c r="Q30" s="155" t="e">
        <f aca="false">IF(T31=1,(0.75*((N30+O30)/(1000*(1+T29))/24)/'Autres options'!B29),((N30+O30)/(1000*(1+T29))/24)/'Autres options'!B29)</f>
        <v>#DIV/0!</v>
      </c>
      <c r="R30" s="16" t="n">
        <f aca="false">ROUNDUP((SUM(N30:P30))/25000)</f>
        <v>0</v>
      </c>
      <c r="S30" s="159"/>
      <c r="T30" s="157"/>
    </row>
    <row r="31" customFormat="false" ht="8.2" hidden="false" customHeight="true" outlineLevel="0" collapsed="false">
      <c r="A31" s="152" t="s">
        <v>40</v>
      </c>
      <c r="B31" s="129" t="n">
        <v>1</v>
      </c>
      <c r="C31" s="153" t="n">
        <f aca="false">(240000*2^($B31-1))</f>
        <v>240000</v>
      </c>
      <c r="D31" s="153" t="n">
        <f aca="false">(400000*2^($B31-1))</f>
        <v>400000</v>
      </c>
      <c r="E31" s="153" t="n">
        <f aca="false">(160000*2^($B31-1))</f>
        <v>160000</v>
      </c>
      <c r="F31" s="16" t="n">
        <f aca="false">ROUNDUP((SUM(C31:E31))/25000)</f>
        <v>32</v>
      </c>
      <c r="G31" s="16"/>
      <c r="H31" s="154" t="e">
        <f aca="false">SECOND(IF($T$31=1,(0.75*(($C31+$D31)/(1000*(1+$T$29))/24)/'Autres options'!$B$29),(($C31+$D31)/(1000*(1+$T$29))/24)/'Autres options'!$B$29))+100*MINUTE(IF($T$31=1,(0.75*(($C31+$D31)/(1000*(1+$T$29))/24)/'Autres options'!$B$29),(($C31+$D31)/(1000*(1+$T$29))/24)/'Autres options'!$B$29))+10000*HOUR(IF($T$31=1,(0.75*(($C31+$D31)/(1000*(1+$T$29))/24)/'Autres options'!$B$29),(($C31+$D31)/(1000*(1+$T$29))/24)/'Autres options'!$B$29))+1000000*ROUNDDOWN((((IF($T$31=1,(0.75*(($C31+$D31)/(1000*(1+$T$29))/24)/'Autres options'!$B$29),(($C31+$D31)/(1000*(1+$T$29))/24)/'Autres options'!$B$29)))))</f>
        <v>#DIV/0!</v>
      </c>
      <c r="I31" s="111" t="e">
        <f aca="false">IF(750*(ROUNDUP((((IF($T$31=1,(0.75*(($C31+$D31)/(1000*(1+$T$29))/24)/'Autres options'!$B$29),(($C31+$D31)/(1000*(1+$T$29))/24)/'Autres options'!$B$29))*24)*60)/30))&lt;108000,750*(ROUNDUP((((IF($T$31=1,(0.75*(($C31+$D31)/(1000*(1+$T$29))/24)/'Autres options'!$B$29),(($C31+$D31)/(1000*(1+$T$29))/24)/'Autres options'!$B$29))*24)*60)/30)),108000)</f>
        <v>#DIV/0!</v>
      </c>
      <c r="J31" s="111" t="e">
        <f aca="false">I31*2</f>
        <v>#DIV/0!</v>
      </c>
      <c r="K31" s="152" t="s">
        <v>229</v>
      </c>
      <c r="L31" s="129" t="n">
        <v>0</v>
      </c>
      <c r="M31" s="129" t="n">
        <v>0</v>
      </c>
      <c r="N31" s="153" t="n">
        <f aca="false">(0*2^($M31))-(0*2^($L31))</f>
        <v>0</v>
      </c>
      <c r="O31" s="153" t="n">
        <f aca="false">(4000*2^($M31))-(4000*2^($L31))</f>
        <v>0</v>
      </c>
      <c r="P31" s="153" t="n">
        <f aca="false">(1000*2^($M31))-(1000*2^($L31))</f>
        <v>0</v>
      </c>
      <c r="Q31" s="155" t="e">
        <f aca="false">IF(T31=1,(0.75*((N31+O31)/(1000*(1+T29))/24)/'Autres options'!B29),((N31+O31)/(1000*(1+T29))/24)/'Autres options'!B29)</f>
        <v>#DIV/0!</v>
      </c>
      <c r="R31" s="16" t="n">
        <f aca="false">ROUNDUP((SUM(N31:P31))/25000)</f>
        <v>0</v>
      </c>
      <c r="S31" s="66" t="s">
        <v>230</v>
      </c>
      <c r="T31" s="157" t="n">
        <v>0</v>
      </c>
    </row>
    <row r="32" customFormat="false" ht="8.2" hidden="false" customHeight="true" outlineLevel="0" collapsed="false">
      <c r="A32" s="152" t="s">
        <v>44</v>
      </c>
      <c r="B32" s="129" t="n">
        <v>1</v>
      </c>
      <c r="C32" s="153" t="n">
        <f aca="false">(400*2^($B32-1))</f>
        <v>400</v>
      </c>
      <c r="D32" s="153" t="n">
        <f aca="false">(0*2^($B32))-(0*2^($B32-1))</f>
        <v>0</v>
      </c>
      <c r="E32" s="153" t="n">
        <f aca="false">(600*2^($B32-1))</f>
        <v>600</v>
      </c>
      <c r="F32" s="16" t="n">
        <f aca="false">ROUNDUP((SUM(C32:E32))/25000)</f>
        <v>1</v>
      </c>
      <c r="G32" s="16"/>
      <c r="H32" s="154" t="e">
        <f aca="false">SECOND(IF($T$31=1,(0.75*(($C32+$D32)/(1000*(1+$T$29))/24)/'Autres options'!$B$29),(($C32+$D32)/(1000*(1+$T$29))/24)/'Autres options'!$B$29))+100*MINUTE(IF($T$31=1,(0.75*(($C32+$D32)/(1000*(1+$T$29))/24)/'Autres options'!$B$29),(($C32+$D32)/(1000*(1+$T$29))/24)/'Autres options'!$B$29))+10000*HOUR(IF($T$31=1,(0.75*(($C32+$D32)/(1000*(1+$T$29))/24)/'Autres options'!$B$29),(($C32+$D32)/(1000*(1+$T$29))/24)/'Autres options'!$B$29))+1000000*ROUNDDOWN((((IF($T$31=1,(0.75*(($C32+$D32)/(1000*(1+$T$29))/24)/'Autres options'!$B$29),(($C32+$D32)/(1000*(1+$T$29))/24)/'Autres options'!$B$29)))))</f>
        <v>#DIV/0!</v>
      </c>
      <c r="I32" s="111" t="e">
        <f aca="false">IF(750*(ROUNDUP((((IF($T$31=1,(0.75*(($C32+$D32)/(1000*(1+$T$29))/24)/'Autres options'!$B$29),(($C32+$D32)/(1000*(1+$T$29))/24)/'Autres options'!$B$29))*24)*60)/30))&lt;108000,750*(ROUNDUP((((IF($T$31=1,(0.75*(($C32+$D32)/(1000*(1+$T$29))/24)/'Autres options'!$B$29),(($C32+$D32)/(1000*(1+$T$29))/24)/'Autres options'!$B$29))*24)*60)/30)),108000)</f>
        <v>#DIV/0!</v>
      </c>
      <c r="J32" s="111" t="e">
        <f aca="false">I32*2</f>
        <v>#DIV/0!</v>
      </c>
      <c r="K32" s="152" t="s">
        <v>40</v>
      </c>
      <c r="L32" s="129" t="n">
        <v>0</v>
      </c>
      <c r="M32" s="129" t="n">
        <v>0</v>
      </c>
      <c r="N32" s="153" t="n">
        <f aca="false">(240000*2^($M32))-(240000*2^($L32))</f>
        <v>0</v>
      </c>
      <c r="O32" s="153" t="n">
        <f aca="false">(400000*2^($M32))-(400000*2^($L32))</f>
        <v>0</v>
      </c>
      <c r="P32" s="153" t="n">
        <f aca="false">(160000*2^($M32))-(160000*2^($L32))</f>
        <v>0</v>
      </c>
      <c r="Q32" s="155" t="e">
        <f aca="false">IF(T31=1,(0.75*((N32+O32)/(1000*(1+T29))/24)/'Autres options'!B29),((N32+O32)/(1000*(1+T29))/24)/'Autres options'!B29)</f>
        <v>#DIV/0!</v>
      </c>
      <c r="R32" s="16" t="n">
        <f aca="false">ROUNDUP((SUM(N32:P32))/25000)</f>
        <v>0</v>
      </c>
      <c r="S32" s="66"/>
      <c r="T32" s="157"/>
    </row>
    <row r="33" customFormat="false" ht="8.2" hidden="false" customHeight="true" outlineLevel="0" collapsed="false">
      <c r="A33" s="152" t="s">
        <v>46</v>
      </c>
      <c r="B33" s="129" t="n">
        <v>1</v>
      </c>
      <c r="C33" s="153" t="n">
        <f aca="false">(2000*2^($B33-1))</f>
        <v>2000</v>
      </c>
      <c r="D33" s="153" t="n">
        <f aca="false">(4000*2^($B33-1))</f>
        <v>4000</v>
      </c>
      <c r="E33" s="153" t="n">
        <f aca="false">(1000*2^($B33-1))</f>
        <v>1000</v>
      </c>
      <c r="F33" s="16" t="n">
        <f aca="false">ROUNDUP((SUM(C33:E33))/25000)</f>
        <v>1</v>
      </c>
      <c r="G33" s="16"/>
      <c r="H33" s="154" t="e">
        <f aca="false">SECOND(IF($T$31=1,(0.75*(($C33+$D33)/(1000*(1+$T$29))/24)/'Autres options'!$B$29),(($C33+$D33)/(1000*(1+$T$29))/24)/'Autres options'!$B$29))+100*MINUTE(IF($T$31=1,(0.75*(($C33+$D33)/(1000*(1+$T$29))/24)/'Autres options'!$B$29),(($C33+$D33)/(1000*(1+$T$29))/24)/'Autres options'!$B$29))+10000*HOUR(IF($T$31=1,(0.75*(($C33+$D33)/(1000*(1+$T$29))/24)/'Autres options'!$B$29),(($C33+$D33)/(1000*(1+$T$29))/24)/'Autres options'!$B$29))+1000000*ROUNDDOWN((((IF($T$31=1,(0.75*(($C33+$D33)/(1000*(1+$T$29))/24)/'Autres options'!$B$29),(($C33+$D33)/(1000*(1+$T$29))/24)/'Autres options'!$B$29)))))</f>
        <v>#DIV/0!</v>
      </c>
      <c r="I33" s="111" t="e">
        <f aca="false">IF(750*(ROUNDUP((((IF($T$31=1,(0.75*(($C33+$D33)/(1000*(1+$T$29))/24)/'Autres options'!$B$29),(($C33+$D33)/(1000*(1+$T$29))/24)/'Autres options'!$B$29))*24)*60)/30))&lt;108000,750*(ROUNDUP((((IF($T$31=1,(0.75*(($C33+$D33)/(1000*(1+$T$29))/24)/'Autres options'!$B$29),(($C33+$D33)/(1000*(1+$T$29))/24)/'Autres options'!$B$29))*24)*60)/30)),108000)</f>
        <v>#DIV/0!</v>
      </c>
      <c r="J33" s="111" t="e">
        <f aca="false">I33*2</f>
        <v>#DIV/0!</v>
      </c>
      <c r="K33" s="152" t="s">
        <v>44</v>
      </c>
      <c r="L33" s="129" t="n">
        <v>0</v>
      </c>
      <c r="M33" s="129" t="n">
        <v>0</v>
      </c>
      <c r="N33" s="153" t="n">
        <f aca="false">(400*2^($M33))-(400*2^($L33))</f>
        <v>0</v>
      </c>
      <c r="O33" s="153" t="n">
        <f aca="false">(0*2^($M33))-(0*2^($L33))</f>
        <v>0</v>
      </c>
      <c r="P33" s="153" t="n">
        <f aca="false">(600*2^($M33))-(600*2^($L33))</f>
        <v>0</v>
      </c>
      <c r="Q33" s="155" t="e">
        <f aca="false">IF(T31=1,(0.75*((N33+O33)/(1000*(1+T29))/24)/'Autres options'!B29),((N33+O33)/(1000*(1+T29))/24)/'Autres options'!B29)</f>
        <v>#DIV/0!</v>
      </c>
      <c r="R33" s="16" t="n">
        <f aca="false">ROUNDUP((SUM(N33:P33))/25000)</f>
        <v>0</v>
      </c>
    </row>
    <row r="34" customFormat="false" ht="8.2" hidden="false" customHeight="true" outlineLevel="0" collapsed="false">
      <c r="A34" s="152" t="s">
        <v>48</v>
      </c>
      <c r="B34" s="129" t="n">
        <v>1</v>
      </c>
      <c r="C34" s="153" t="n">
        <f aca="false">(10000*2^($B34-1))</f>
        <v>10000</v>
      </c>
      <c r="D34" s="153" t="n">
        <f aca="false">(20000*2^($B34-1))</f>
        <v>20000</v>
      </c>
      <c r="E34" s="153" t="n">
        <f aca="false">(6000*2^($B34-1))</f>
        <v>6000</v>
      </c>
      <c r="F34" s="16" t="n">
        <f aca="false">ROUNDUP((SUM(C34:E34))/25000)</f>
        <v>2</v>
      </c>
      <c r="G34" s="16"/>
      <c r="H34" s="154" t="e">
        <f aca="false">SECOND(IF($T$31=1,(0.75*(($C34+$D34)/(1000*(1+$T$29))/24)/'Autres options'!$B$29),(($C34+$D34)/(1000*(1+$T$29))/24)/'Autres options'!$B$29))+100*MINUTE(IF($T$31=1,(0.75*(($C34+$D34)/(1000*(1+$T$29))/24)/'Autres options'!$B$29),(($C34+$D34)/(1000*(1+$T$29))/24)/'Autres options'!$B$29))+10000*HOUR(IF($T$31=1,(0.75*(($C34+$D34)/(1000*(1+$T$29))/24)/'Autres options'!$B$29),(($C34+$D34)/(1000*(1+$T$29))/24)/'Autres options'!$B$29))+1000000*ROUNDDOWN((((IF($T$31=1,(0.75*(($C34+$D34)/(1000*(1+$T$29))/24)/'Autres options'!$B$29),(($C34+$D34)/(1000*(1+$T$29))/24)/'Autres options'!$B$29)))))</f>
        <v>#DIV/0!</v>
      </c>
      <c r="I34" s="111" t="e">
        <f aca="false">IF(750*(ROUNDUP((((IF($T$31=1,(0.75*(($C34+$D34)/(1000*(1+$T$29))/24)/'Autres options'!$B$29),(($C34+$D34)/(1000*(1+$T$29))/24)/'Autres options'!$B$29))*24)*60)/30))&lt;108000,750*(ROUNDUP((((IF($T$31=1,(0.75*(($C34+$D34)/(1000*(1+$T$29))/24)/'Autres options'!$B$29),(($C34+$D34)/(1000*(1+$T$29))/24)/'Autres options'!$B$29))*24)*60)/30)),108000)</f>
        <v>#DIV/0!</v>
      </c>
      <c r="J34" s="111" t="e">
        <f aca="false">I34*2</f>
        <v>#DIV/0!</v>
      </c>
      <c r="K34" s="152" t="s">
        <v>46</v>
      </c>
      <c r="L34" s="129" t="n">
        <v>0</v>
      </c>
      <c r="M34" s="129" t="n">
        <v>0</v>
      </c>
      <c r="N34" s="153" t="n">
        <f aca="false">(2000*2^($M34))-(2000*2^($L34))</f>
        <v>0</v>
      </c>
      <c r="O34" s="153" t="n">
        <f aca="false">(4000*2^($M34))-(4000*2^($L34))</f>
        <v>0</v>
      </c>
      <c r="P34" s="153" t="n">
        <f aca="false">(600*2^($M34))-(600*2^($L34))</f>
        <v>0</v>
      </c>
      <c r="Q34" s="155" t="e">
        <f aca="false">IF(T31=1,(0.75*((N34+O34)/(1000*(1+T29))/24)/'Autres options'!B29),((N34+O34)/(1000*(1+T29))/24)/'Autres options'!B29)</f>
        <v>#DIV/0!</v>
      </c>
      <c r="R34" s="16" t="n">
        <f aca="false">ROUNDUP((SUM(N34:P34))/25000)</f>
        <v>0</v>
      </c>
    </row>
    <row r="35" customFormat="false" ht="8.2" hidden="false" customHeight="true" outlineLevel="0" collapsed="false">
      <c r="A35" s="33" t="s">
        <v>231</v>
      </c>
      <c r="B35" s="33"/>
      <c r="C35" s="33"/>
      <c r="D35" s="33"/>
      <c r="E35" s="33"/>
      <c r="F35" s="33"/>
      <c r="G35" s="33"/>
      <c r="H35" s="33"/>
      <c r="I35" s="33" t="s">
        <v>214</v>
      </c>
      <c r="J35" s="33"/>
      <c r="K35" s="152" t="s">
        <v>48</v>
      </c>
      <c r="L35" s="129" t="n">
        <v>0</v>
      </c>
      <c r="M35" s="129" t="n">
        <v>0</v>
      </c>
      <c r="N35" s="153" t="n">
        <f aca="false">(10000*2^($M35))-(10000*2^($L35))</f>
        <v>0</v>
      </c>
      <c r="O35" s="153" t="n">
        <f aca="false">(20000*2^($M35))-(20000*2^($L35))</f>
        <v>0</v>
      </c>
      <c r="P35" s="153" t="n">
        <f aca="false">(6000*2^($M35))-(6000*2^($L35))</f>
        <v>0</v>
      </c>
      <c r="Q35" s="155" t="e">
        <f aca="false">IF(T31=1,(0.75*((N35+O35)/(1000*(1+T29))/24)/'Autres options'!B29),((N35+O35)/(1000*(1+T29))/24)/'Autres options'!B29)</f>
        <v>#DIV/0!</v>
      </c>
      <c r="R35" s="16" t="n">
        <f aca="false">ROUNDUP((SUM(N35:P35))/25000)</f>
        <v>0</v>
      </c>
    </row>
    <row r="36" customFormat="false" ht="8.2" hidden="false" customHeight="true" outlineLevel="0" collapsed="false">
      <c r="A36" s="51"/>
      <c r="B36" s="51" t="s">
        <v>232</v>
      </c>
      <c r="C36" s="51" t="s">
        <v>21</v>
      </c>
      <c r="D36" s="51" t="s">
        <v>23</v>
      </c>
      <c r="E36" s="51" t="s">
        <v>24</v>
      </c>
      <c r="F36" s="46" t="s">
        <v>233</v>
      </c>
      <c r="G36" s="46" t="s">
        <v>68</v>
      </c>
      <c r="H36" s="46" t="s">
        <v>217</v>
      </c>
      <c r="I36" s="151" t="n">
        <v>-0.5</v>
      </c>
      <c r="J36" s="46" t="s">
        <v>218</v>
      </c>
      <c r="K36" s="152" t="s">
        <v>5</v>
      </c>
      <c r="L36" s="152"/>
      <c r="M36" s="152"/>
      <c r="N36" s="153" t="n">
        <f aca="false">SUM(N21:N35)</f>
        <v>0</v>
      </c>
      <c r="O36" s="153" t="n">
        <f aca="false">SUM(O21:O35)</f>
        <v>0</v>
      </c>
      <c r="P36" s="153" t="n">
        <f aca="false">SUM(P21:P35)</f>
        <v>0</v>
      </c>
      <c r="Q36" s="155" t="e">
        <f aca="false">SUM(Q21:Q35)</f>
        <v>#DIV/0!</v>
      </c>
      <c r="R36" s="16" t="n">
        <f aca="false">SUM(R21:R35)</f>
        <v>0</v>
      </c>
    </row>
    <row r="37" customFormat="false" ht="8.2" hidden="false" customHeight="true" outlineLevel="0" collapsed="false">
      <c r="A37" s="152" t="s">
        <v>191</v>
      </c>
      <c r="B37" s="129" t="n">
        <v>1</v>
      </c>
      <c r="C37" s="153" t="n">
        <f aca="false">2000*B37</f>
        <v>2000</v>
      </c>
      <c r="D37" s="153" t="n">
        <f aca="false">2000*B37</f>
        <v>2000</v>
      </c>
      <c r="E37" s="153" t="n">
        <f aca="false">0*B37</f>
        <v>0</v>
      </c>
      <c r="F37" s="25" t="n">
        <f aca="false">IF('Projet Minier'!T25&gt;=5,10000*(1+2*('Projet Minier'!T25)/10),5000*(1+('Projet Minier'!T24)/10))</f>
        <v>5000</v>
      </c>
      <c r="G37" s="16" t="n">
        <f aca="false">ROUNDUP((SUM(C37:E37))/25000)</f>
        <v>1</v>
      </c>
      <c r="H37" s="154" t="e">
        <f aca="false">SECOND((ROUNDDOWN(((($C37+$D37)/5000)*(2/(1+$T$25))*0.5^$T$23)*3600,0)/86400)/'Autres options'!$B$29)+100*MINUTE((ROUNDUP(((($C37+$D37)/5000)*(2/(1+$T$25))*0.5^$T$23)*3600,0)/86400)/'Autres options'!$B$29)+10000*HOUR((ROUNDUP(((($C37+$D37)/5000)*(2/(1+$T$25))*0.5^$T$23)*3600,0)/86400)/'Autres options'!$B$29)+1000000*ROUNDDOWN((ROUNDDOWN(((($C37+$D37)/5000)*(2/(1+$T$25))*0.5^$T$23)*3600,0)/86400)/'Autres options'!$B$29,0)</f>
        <v>#DIV/0!</v>
      </c>
      <c r="I37" s="111" t="e">
        <f aca="false">IF(750*(ROUNDUP((((((($C37+$D37) / 5000 ) * ( 2 / (1 +$T$25))) * 0.5^$T$23)/'Autres options'!$B$29)*60)/30))&lt;72000,750*(ROUNDUP((((((($C37+$D37) / 5000 ) * ( 2 / (1 +$T$25))) * 0.5^$T$23)/'Autres options'!$B$29)*60)/30)),72000)</f>
        <v>#DIV/0!</v>
      </c>
      <c r="J37" s="111" t="e">
        <f aca="false">I37*2</f>
        <v>#DIV/0!</v>
      </c>
      <c r="K37" s="33" t="s">
        <v>234</v>
      </c>
      <c r="L37" s="33"/>
      <c r="M37" s="33"/>
      <c r="N37" s="33"/>
      <c r="O37" s="33"/>
      <c r="P37" s="33"/>
      <c r="Q37" s="33"/>
      <c r="R37" s="33" t="s">
        <v>214</v>
      </c>
      <c r="S37" s="33"/>
    </row>
    <row r="38" customFormat="false" ht="8.2" hidden="false" customHeight="true" outlineLevel="0" collapsed="false">
      <c r="A38" s="152" t="s">
        <v>192</v>
      </c>
      <c r="B38" s="129" t="n">
        <v>1</v>
      </c>
      <c r="C38" s="153" t="n">
        <f aca="false">6000*B38</f>
        <v>6000</v>
      </c>
      <c r="D38" s="153" t="n">
        <f aca="false">6000*B38</f>
        <v>6000</v>
      </c>
      <c r="E38" s="153" t="n">
        <f aca="false">0*B38</f>
        <v>0</v>
      </c>
      <c r="F38" s="25" t="n">
        <f aca="false">(7500*(1+'Projet Minier'!T24/10))</f>
        <v>7500</v>
      </c>
      <c r="G38" s="16" t="n">
        <f aca="false">ROUNDUP((SUM(C38:E38))/25000)</f>
        <v>1</v>
      </c>
      <c r="H38" s="154" t="e">
        <f aca="false">SECOND((ROUNDDOWN(((($C38+$D38)/5000)*(2/(1+$T$25))*0.5^$T$23)*3600,0)/86400)/'Autres options'!$B$29)+100*MINUTE((ROUNDUP(((($C38+$D38)/5000)*(2/(1+$T$25))*0.5^$T$23)*3600,0)/86400)/'Autres options'!$B$29)+10000*HOUR((ROUNDUP(((($C38+$D38)/5000)*(2/(1+$T$25))*0.5^$T$23)*3600,0)/86400)/'Autres options'!$B$29)+1000000*ROUNDDOWN((ROUNDDOWN(((($C38+$D38)/5000)*(2/(1+$T$25))*0.5^$T$23)*3600,0)/86400)/'Autres options'!$B$29,0)</f>
        <v>#DIV/0!</v>
      </c>
      <c r="I38" s="111" t="e">
        <f aca="false">IF(750*(ROUNDUP((((((($C38+$D38) / 5000 ) * ( 2 / (1 +$T$25))) * 0.5^$T$23)/'Autres options'!$B$29)*60)/30))&lt;72000,750*(ROUNDUP((((((($C38+$D38) / 5000 ) * ( 2 / (1 +$T$25))) * 0.5^$T$23)/'Autres options'!$B$29)*60)/30)),72000)</f>
        <v>#DIV/0!</v>
      </c>
      <c r="J38" s="111" t="e">
        <f aca="false">I38*2</f>
        <v>#DIV/0!</v>
      </c>
      <c r="K38" s="51"/>
      <c r="L38" s="51" t="s">
        <v>108</v>
      </c>
      <c r="M38" s="51" t="s">
        <v>21</v>
      </c>
      <c r="N38" s="51" t="s">
        <v>23</v>
      </c>
      <c r="O38" s="51" t="s">
        <v>24</v>
      </c>
      <c r="P38" s="46" t="s">
        <v>217</v>
      </c>
      <c r="Q38" s="46" t="s">
        <v>68</v>
      </c>
      <c r="R38" s="151" t="n">
        <v>-0.5</v>
      </c>
      <c r="S38" s="46" t="s">
        <v>218</v>
      </c>
    </row>
    <row r="39" customFormat="false" ht="8.2" hidden="false" customHeight="true" outlineLevel="0" collapsed="false">
      <c r="A39" s="152" t="s">
        <v>69</v>
      </c>
      <c r="B39" s="129" t="n">
        <v>1</v>
      </c>
      <c r="C39" s="153" t="n">
        <f aca="false">3000*B39</f>
        <v>3000</v>
      </c>
      <c r="D39" s="153" t="n">
        <f aca="false">1000*B39</f>
        <v>1000</v>
      </c>
      <c r="E39" s="153" t="n">
        <f aca="false">0*B39</f>
        <v>0</v>
      </c>
      <c r="F39" s="25" t="n">
        <f aca="false">(12500*(1+'Projet Minier'!T24/10))</f>
        <v>12500</v>
      </c>
      <c r="G39" s="16" t="n">
        <f aca="false">ROUNDUP((SUM(C39:E39))/25000)</f>
        <v>1</v>
      </c>
      <c r="H39" s="154" t="e">
        <f aca="false">SECOND((ROUNDDOWN(((($C39+$D39)/5000)*(2/(1+$T$25))*0.5^$T$23)*3600,0)/86400)/'Autres options'!$B$29)+100*MINUTE((ROUNDUP(((($C39+$D39)/5000)*(2/(1+$T$25))*0.5^$T$23)*3600,0)/86400)/'Autres options'!$B$29)+10000*HOUR((ROUNDUP(((($C39+$D39)/5000)*(2/(1+$T$25))*0.5^$T$23)*3600,0)/86400)/'Autres options'!$B$29)+1000000*ROUNDDOWN((ROUNDDOWN(((($C39+$D39)/5000)*(2/(1+$T$25))*0.5^$T$23)*3600,0)/86400)/'Autres options'!$B$29,0)</f>
        <v>#DIV/0!</v>
      </c>
      <c r="I39" s="111" t="e">
        <f aca="false">IF(750*(ROUNDUP((((((($C39+$D39) / 5000 ) * ( 2 / (1 +$T$25))) * 0.5^$T$23)/'Autres options'!$B$29)*60)/30))&lt;72000,750*(ROUNDUP((((((($C39+$D39) / 5000 ) * ( 2 / (1 +$T$25))) * 0.5^$T$23)/'Autres options'!$B$29)*60)/30)),72000)</f>
        <v>#DIV/0!</v>
      </c>
      <c r="J39" s="111" t="e">
        <f aca="false">I39*2</f>
        <v>#DIV/0!</v>
      </c>
      <c r="K39" s="160" t="s">
        <v>41</v>
      </c>
      <c r="L39" s="129" t="n">
        <v>1</v>
      </c>
      <c r="M39" s="153" t="n">
        <f aca="false">1000*2^(L39-1)</f>
        <v>1000</v>
      </c>
      <c r="N39" s="153" t="n">
        <f aca="false">0*2^(L39-1)</f>
        <v>0</v>
      </c>
      <c r="O39" s="153" t="n">
        <v>0</v>
      </c>
      <c r="P39" s="154" t="e">
        <f aca="false">SECOND((ROUNDDOWN((((($M39+$N39)/(2500*(1+$T$27)))*3600)),0)/86400)/'Autres options'!$B$29)+100*MINUTE((ROUNDUP(((((($M39+$N39)/(2500*(1+$T$27))))*3600)),0)/86400)/'Autres options'!$B$29)+10000*HOUR((ROUNDUP(((((($M39+$N39)/(2500*(1+$T$27))))*3600)),0)/86400)/'Autres options'!$B$29)+1000000*ROUNDDOWN((ROUNDUP(((((($M39+$N39)/(2500*(1+$T$27))))*3600)),0)/86400)/'Autres options'!$B$29,0)</f>
        <v>#DIV/0!</v>
      </c>
      <c r="Q39" s="16" t="n">
        <v>1</v>
      </c>
      <c r="R39" s="111" t="e">
        <f aca="false">IF(750*(ROUNDUP((((((($M39+$N39)/(2500*(1+$T$27)))/24)/'Autres options'!$B$29)*24)*60)/30))&lt;72000,750*(ROUNDUP((((((($M39+$N39)/(2500*(1+$T$27))/24)/'Autres options'!$B$29)*24)*60)/30))),72000)</f>
        <v>#DIV/0!</v>
      </c>
      <c r="S39" s="111" t="e">
        <f aca="false">R39*2</f>
        <v>#DIV/0!</v>
      </c>
    </row>
    <row r="40" customFormat="false" ht="8.2" hidden="false" customHeight="true" outlineLevel="0" collapsed="false">
      <c r="A40" s="152" t="s">
        <v>71</v>
      </c>
      <c r="B40" s="129" t="n">
        <v>1</v>
      </c>
      <c r="C40" s="153" t="n">
        <f aca="false">6000*B40</f>
        <v>6000</v>
      </c>
      <c r="D40" s="153" t="n">
        <f aca="false">4000*B40</f>
        <v>4000</v>
      </c>
      <c r="E40" s="153" t="n">
        <f aca="false">0*B40</f>
        <v>0</v>
      </c>
      <c r="F40" s="25" t="n">
        <f aca="false">10000*(1+2*'Projet Minier'!T25/10)</f>
        <v>10000</v>
      </c>
      <c r="G40" s="16" t="n">
        <f aca="false">ROUNDUP((SUM(C40:E40))/25000)</f>
        <v>1</v>
      </c>
      <c r="H40" s="154" t="e">
        <f aca="false">SECOND((ROUNDDOWN(((($C40+$D40)/5000)*(2/(1+$T$25))*0.5^$T$23)*3600,0)/86400)/'Autres options'!$B$29)+100*MINUTE((ROUNDUP(((($C40+$D40)/5000)*(2/(1+$T$25))*0.5^$T$23)*3600,0)/86400)/'Autres options'!$B$29)+10000*HOUR((ROUNDUP(((($C40+$D40)/5000)*(2/(1+$T$25))*0.5^$T$23)*3600,0)/86400)/'Autres options'!$B$29)+1000000*ROUNDDOWN((ROUNDDOWN(((($C40+$D40)/5000)*(2/(1+$T$25))*0.5^$T$23)*3600,0)/86400)/'Autres options'!$B$29,0)</f>
        <v>#DIV/0!</v>
      </c>
      <c r="I40" s="111" t="e">
        <f aca="false">IF(750*(ROUNDUP((((((($C40+$D40) / 5000 ) * ( 2 / (1 +$T$25))) * 0.5^$T$23)/'Autres options'!$B$29)*60)/30))&lt;72000,750*(ROUNDUP((((((($C40+$D40) / 5000 ) * ( 2 / (1 +$T$25))) * 0.5^$T$23)/'Autres options'!$B$29)*60)/30)),72000)</f>
        <v>#DIV/0!</v>
      </c>
      <c r="J40" s="111" t="e">
        <f aca="false">I40*2</f>
        <v>#DIV/0!</v>
      </c>
      <c r="K40" s="160" t="s">
        <v>43</v>
      </c>
      <c r="L40" s="129" t="n">
        <v>1</v>
      </c>
      <c r="M40" s="153" t="n">
        <f aca="false">1000*2^(L40-1)</f>
        <v>1000</v>
      </c>
      <c r="N40" s="153" t="n">
        <f aca="false">500*2^(L40-1)</f>
        <v>500</v>
      </c>
      <c r="O40" s="153" t="n">
        <v>0</v>
      </c>
      <c r="P40" s="154" t="e">
        <f aca="false">SECOND((ROUNDDOWN((((($M40+$N40)/(2500*(1+$T$27)))*3600)),0)/86400)/'Autres options'!$B$29)+100*MINUTE((ROUNDUP(((((($M40+$N40)/(2500*(1+$T$27))))*3600)),0)/86400)/'Autres options'!$B$29)+10000*HOUR((ROUNDUP(((((($M40+$N40)/(2500*(1+$T$27))))*3600)),0)/86400)/'Autres options'!$B$29)+1000000*ROUNDDOWN((ROUNDUP(((((($M40+$N40)/(2500*(1+$T$27))))*3600)),0)/86400)/'Autres options'!$B$29,0)</f>
        <v>#DIV/0!</v>
      </c>
      <c r="Q40" s="16" t="n">
        <v>1</v>
      </c>
      <c r="R40" s="111" t="e">
        <f aca="false">IF(750*(ROUNDUP((((((($M40+$N40)/(2500*(1+$T$27)))/24)/'Autres options'!$B$29)*24)*60)/30))&lt;72000,750*(ROUNDUP((((((($M40+$N40)/(2500*(1+$T$27))/24)/'Autres options'!$B$29)*24)*60)/30))),72000)</f>
        <v>#DIV/0!</v>
      </c>
      <c r="S40" s="111" t="e">
        <f aca="false">R40*2</f>
        <v>#DIV/0!</v>
      </c>
    </row>
    <row r="41" customFormat="false" ht="8.2" hidden="false" customHeight="true" outlineLevel="0" collapsed="false">
      <c r="A41" s="152" t="s">
        <v>212</v>
      </c>
      <c r="B41" s="129" t="n">
        <v>1</v>
      </c>
      <c r="C41" s="153" t="n">
        <f aca="false">20000*B41</f>
        <v>20000</v>
      </c>
      <c r="D41" s="153" t="n">
        <f aca="false">7000*B41</f>
        <v>7000</v>
      </c>
      <c r="E41" s="153" t="n">
        <f aca="false">2000*B41</f>
        <v>2000</v>
      </c>
      <c r="F41" s="25" t="n">
        <f aca="false">15000*(1+2*'Projet Minier'!T25/10)</f>
        <v>15000</v>
      </c>
      <c r="G41" s="16" t="n">
        <f aca="false">ROUNDUP((SUM(C41:E41))/25000)</f>
        <v>2</v>
      </c>
      <c r="H41" s="154" t="e">
        <f aca="false">SECOND((ROUNDDOWN(((($C41+$D41)/5000)*(2/(1+$T$25))*0.5^$T$23)*3600,0)/86400)/'Autres options'!$B$29)+100*MINUTE((ROUNDUP(((($C41+$D41)/5000)*(2/(1+$T$25))*0.5^$T$23)*3600,0)/86400)/'Autres options'!$B$29)+10000*HOUR((ROUNDUP(((($C41+$D41)/5000)*(2/(1+$T$25))*0.5^$T$23)*3600,0)/86400)/'Autres options'!$B$29)+1000000*ROUNDDOWN((ROUNDDOWN(((($C41+$D41)/5000)*(2/(1+$T$25))*0.5^$T$23)*3600,0)/86400)/'Autres options'!$B$29,0)</f>
        <v>#DIV/0!</v>
      </c>
      <c r="I41" s="111" t="e">
        <f aca="false">IF(750*(ROUNDUP((((((($C41+$D41) / 5000 ) * ( 2 / (1 +$T$25))) * 0.5^$T$23)/'Autres options'!$B$29)*60)/30))&lt;72000,750*(ROUNDUP((((((($C41+$D41) / 5000 ) * ( 2 / (1 +$T$25))) * 0.5^$T$23)/'Autres options'!$B$29)*60)/30)),72000)</f>
        <v>#DIV/0!</v>
      </c>
      <c r="J41" s="111" t="e">
        <f aca="false">I41*2</f>
        <v>#DIV/0!</v>
      </c>
      <c r="K41" s="160" t="s">
        <v>45</v>
      </c>
      <c r="L41" s="129" t="n">
        <v>1</v>
      </c>
      <c r="M41" s="153" t="n">
        <f aca="false">1000*2^(L41-1)</f>
        <v>1000</v>
      </c>
      <c r="N41" s="153" t="n">
        <f aca="false">1000*2^(L41-1)</f>
        <v>1000</v>
      </c>
      <c r="O41" s="153" t="n">
        <v>0</v>
      </c>
      <c r="P41" s="154" t="e">
        <f aca="false">SECOND((ROUNDDOWN((((($M41+$N41)/(2500*(1+$T$27)))*3600)),0)/86400)/'Autres options'!$B$29)+100*MINUTE((ROUNDUP(((((($M41+$N41)/(2500*(1+$T$27))))*3600)),0)/86400)/'Autres options'!$B$29)+10000*HOUR((ROUNDUP(((((($M41+$N41)/(2500*(1+$T$27))))*3600)),0)/86400)/'Autres options'!$B$29)+1000000*ROUNDDOWN((ROUNDUP(((((($M41+$N41)/(2500*(1+$T$27))))*3600)),0)/86400)/'Autres options'!$B$29,0)</f>
        <v>#DIV/0!</v>
      </c>
      <c r="Q41" s="16" t="n">
        <v>1</v>
      </c>
      <c r="R41" s="111" t="e">
        <f aca="false">IF(750*(ROUNDUP((((((($M41+$N41)/(2500*(1+$T$27)))/24)/'Autres options'!$B$29)*24)*60)/30))&lt;72000,750*(ROUNDUP((((((($M41+$N41)/(2500*(1+$T$27))/24)/'Autres options'!$B$29)*24)*60)/30))),72000)</f>
        <v>#DIV/0!</v>
      </c>
      <c r="S41" s="111" t="e">
        <f aca="false">R41*2</f>
        <v>#DIV/0!</v>
      </c>
    </row>
    <row r="42" customFormat="false" ht="8.2" hidden="false" customHeight="true" outlineLevel="0" collapsed="false">
      <c r="A42" s="152" t="s">
        <v>194</v>
      </c>
      <c r="B42" s="129" t="n">
        <v>1</v>
      </c>
      <c r="C42" s="153" t="n">
        <f aca="false">45000*B42</f>
        <v>45000</v>
      </c>
      <c r="D42" s="153" t="n">
        <f aca="false">15000*B42</f>
        <v>15000</v>
      </c>
      <c r="E42" s="153" t="n">
        <f aca="false">0*B42</f>
        <v>0</v>
      </c>
      <c r="F42" s="25" t="n">
        <f aca="false">10000*(1+3*'Projet Minier'!T26/10)</f>
        <v>10000</v>
      </c>
      <c r="G42" s="16" t="n">
        <f aca="false">ROUNDUP((SUM(C42:E42))/25000)</f>
        <v>3</v>
      </c>
      <c r="H42" s="154" t="e">
        <f aca="false">SECOND((ROUNDDOWN(((($C42+$D42)/5000)*(2/(1+$T$25))*0.5^$T$23)*3600,0)/86400)/'Autres options'!$B$29)+100*MINUTE((ROUNDUP(((($C42+$D42)/5000)*(2/(1+$T$25))*0.5^$T$23)*3600,0)/86400)/'Autres options'!$B$29)+10000*HOUR((ROUNDUP(((($C42+$D42)/5000)*(2/(1+$T$25))*0.5^$T$23)*3600,0)/86400)/'Autres options'!$B$29)+1000000*ROUNDDOWN((ROUNDDOWN(((($C42+$D42)/5000)*(2/(1+$T$25))*0.5^$T$23)*3600,0)/86400)/'Autres options'!$B$29,0)</f>
        <v>#DIV/0!</v>
      </c>
      <c r="I42" s="111" t="e">
        <f aca="false">IF(750*(ROUNDUP((((((($C42+$D42) / 5000 ) * ( 2 / (1 +$T$25))) * 0.5^$T$23)/'Autres options'!$B$29)*60)/30))&lt;72000,750*(ROUNDUP((((((($C42+$D42) / 5000 ) * ( 2 / (1 +$T$25))) * 0.5^$T$23)/'Autres options'!$B$29)*60)/30)),72000)</f>
        <v>#DIV/0!</v>
      </c>
      <c r="J42" s="111" t="e">
        <f aca="false">I42*2</f>
        <v>#DIV/0!</v>
      </c>
      <c r="K42" s="160" t="s">
        <v>51</v>
      </c>
      <c r="L42" s="129" t="n">
        <v>1</v>
      </c>
      <c r="M42" s="153" t="n">
        <f aca="false">400*2^(L42-1)</f>
        <v>400</v>
      </c>
      <c r="N42" s="153" t="n">
        <f aca="false">200*2^(L42-1)</f>
        <v>200</v>
      </c>
      <c r="O42" s="153" t="n">
        <f aca="false">100*2^(L42-1)</f>
        <v>100</v>
      </c>
      <c r="P42" s="154" t="e">
        <f aca="false">SECOND((ROUNDDOWN((((($M42+$N42)/(2500*(1+$T$27)))*3600)),0)/86400)/'Autres options'!$B$29)+100*MINUTE((ROUNDUP(((((($M42+$N42)/(2500*(1+$T$27))))*3600)),0)/86400)/'Autres options'!$B$29)+10000*HOUR((ROUNDUP(((((($M42+$N42)/(2500*(1+$T$27))))*3600)),0)/86400)/'Autres options'!$B$29)+1000000*ROUNDDOWN((ROUNDUP(((((($M42+$N42)/(2500*(1+$T$27))))*3600)),0)/86400)/'Autres options'!$B$29,0)</f>
        <v>#DIV/0!</v>
      </c>
      <c r="Q42" s="16" t="n">
        <v>1</v>
      </c>
      <c r="R42" s="111" t="e">
        <f aca="false">IF(750*(ROUNDUP((((((($M42+$N42)/(2500*(1+$T$27)))/24)/'Autres options'!$B$29)*24)*60)/30))&lt;72000,750*(ROUNDUP((((((($M42+$N42)/(2500*(1+$T$27))/24)/'Autres options'!$B$29)*24)*60)/30))),72000)</f>
        <v>#DIV/0!</v>
      </c>
      <c r="S42" s="111" t="e">
        <f aca="false">R42*2</f>
        <v>#DIV/0!</v>
      </c>
    </row>
    <row r="43" customFormat="false" ht="8.2" hidden="false" customHeight="true" outlineLevel="0" collapsed="false">
      <c r="A43" s="152" t="s">
        <v>198</v>
      </c>
      <c r="B43" s="129" t="n">
        <v>1</v>
      </c>
      <c r="C43" s="153" t="n">
        <f aca="false">10000*B43</f>
        <v>10000</v>
      </c>
      <c r="D43" s="153" t="n">
        <f aca="false">6000*B43</f>
        <v>6000</v>
      </c>
      <c r="E43" s="153" t="n">
        <f aca="false">1000*B43</f>
        <v>1000</v>
      </c>
      <c r="F43" s="25" t="n">
        <f aca="false">IF('Projet Minier'!T26&gt;=15,(6000*(1+3*'Projet Minier'!T26/10)),(2000*(1+'Projet Minier'!T24/10)))</f>
        <v>2000</v>
      </c>
      <c r="G43" s="16" t="n">
        <f aca="false">ROUNDUP((SUM(C43:E43))/25000)</f>
        <v>1</v>
      </c>
      <c r="H43" s="154" t="e">
        <f aca="false">SECOND((ROUNDDOWN(((($C43+$D43)/5000)*(2/(1+$T$25))*0.5^$T$23)*3600,0)/86400)/'Autres options'!$B$29)+100*MINUTE((ROUNDUP(((($C43+$D43)/5000)*(2/(1+$T$25))*0.5^$T$23)*3600,0)/86400)/'Autres options'!$B$29)+10000*HOUR((ROUNDUP(((($C43+$D43)/5000)*(2/(1+$T$25))*0.5^$T$23)*3600,0)/86400)/'Autres options'!$B$29)+1000000*ROUNDDOWN((ROUNDDOWN(((($C43+$D43)/5000)*(2/(1+$T$25))*0.5^$T$23)*3600,0)/86400)/'Autres options'!$B$29,0)</f>
        <v>#DIV/0!</v>
      </c>
      <c r="I43" s="111" t="e">
        <f aca="false">IF(750*(ROUNDUP((((((($C43+$D43) / 5000 ) * ( 2 / (1 +$T$25))) * 0.5^$T$23)/'Autres options'!$B$29)*60)/30))&lt;72000,750*(ROUNDUP((((((($C43+$D43) / 5000 ) * ( 2 / (1 +$T$25))) * 0.5^$T$23)/'Autres options'!$B$29)*60)/30)),72000)</f>
        <v>#DIV/0!</v>
      </c>
      <c r="J43" s="111" t="e">
        <f aca="false">I43*2</f>
        <v>#DIV/0!</v>
      </c>
      <c r="K43" s="160" t="s">
        <v>227</v>
      </c>
      <c r="L43" s="129" t="n">
        <v>1</v>
      </c>
      <c r="M43" s="153" t="n">
        <f aca="false">400*2^(L43-1)</f>
        <v>400</v>
      </c>
      <c r="N43" s="153" t="n">
        <f aca="false">120*2^(L43-1)</f>
        <v>120</v>
      </c>
      <c r="O43" s="153" t="n">
        <f aca="false">200*2^(L43-1)</f>
        <v>200</v>
      </c>
      <c r="P43" s="154" t="e">
        <f aca="false">SECOND((ROUNDDOWN((((($M43+$N43)/(2500*(1+$T$27)))*3600)),0)/86400)/'Autres options'!$B$29)+100*MINUTE((ROUNDUP(((((($M43+$N43)/(2500*(1+$T$27))))*3600)),0)/86400)/'Autres options'!$B$29)+10000*HOUR((ROUNDUP(((((($M43+$N43)/(2500*(1+$T$27))))*3600)),0)/86400)/'Autres options'!$B$29)+1000000*ROUNDDOWN((ROUNDUP(((((($M43+$N43)/(2500*(1+$T$27))))*3600)),0)/86400)/'Autres options'!$B$29,0)</f>
        <v>#DIV/0!</v>
      </c>
      <c r="Q43" s="16" t="n">
        <f aca="false">ROUNDUP((SUM(M43:O43))/25000)</f>
        <v>1</v>
      </c>
      <c r="R43" s="111" t="e">
        <f aca="false">IF(750*(ROUNDUP((((((($M43+$N43)/(2500*(1+$T$27)))/24)/'Autres options'!$B$29)*24)*60)/30))&lt;72000,750*(ROUNDUP((((((($M43+$N43)/(2500*(1+$T$27))/24)/'Autres options'!$B$29)*24)*60)/30))),72000)</f>
        <v>#DIV/0!</v>
      </c>
      <c r="S43" s="111" t="e">
        <f aca="false">R43*2</f>
        <v>#DIV/0!</v>
      </c>
    </row>
    <row r="44" customFormat="false" ht="8.2" hidden="false" customHeight="true" outlineLevel="0" collapsed="false">
      <c r="A44" s="152" t="s">
        <v>82</v>
      </c>
      <c r="B44" s="129" t="n">
        <v>1</v>
      </c>
      <c r="C44" s="153" t="n">
        <f aca="false">60000*B44</f>
        <v>60000</v>
      </c>
      <c r="D44" s="153" t="n">
        <f aca="false">50000*B44</f>
        <v>50000</v>
      </c>
      <c r="E44" s="153" t="n">
        <f aca="false">15000*B44</f>
        <v>15000</v>
      </c>
      <c r="F44" s="25" t="n">
        <f aca="false">5000*(1+3*'Projet Minier'!T26/10)</f>
        <v>5000</v>
      </c>
      <c r="G44" s="16" t="n">
        <f aca="false">ROUNDUP((SUM(C44:E44))/25000)</f>
        <v>5</v>
      </c>
      <c r="H44" s="154" t="e">
        <f aca="false">SECOND((ROUNDDOWN(((($C44+$D44)/5000)*(2/(1+$T$25))*0.5^$T$23)*3600,0)/86400)/'Autres options'!$B$29)+100*MINUTE((ROUNDUP(((($C44+$D44)/5000)*(2/(1+$T$25))*0.5^$T$23)*3600,0)/86400)/'Autres options'!$B$29)+10000*HOUR((ROUNDUP(((($C44+$D44)/5000)*(2/(1+$T$25))*0.5^$T$23)*3600,0)/86400)/'Autres options'!$B$29)+1000000*ROUNDDOWN((ROUNDDOWN(((($C44+$D44)/5000)*(2/(1+$T$25))*0.5^$T$23)*3600,0)/86400)/'Autres options'!$B$29,0)</f>
        <v>#DIV/0!</v>
      </c>
      <c r="I44" s="111" t="e">
        <f aca="false">IF(750*(ROUNDUP((((((($C44+$D44) / 5000 ) * ( 2 / (1 +$T$25))) * 0.5^$T$23)/'Autres options'!$B$29)*60)/30))&lt;72000,750*(ROUNDUP((((((($C44+$D44) / 5000 ) * ( 2 / (1 +$T$25))) * 0.5^$T$23)/'Autres options'!$B$29)*60)/30)),72000)</f>
        <v>#DIV/0!</v>
      </c>
      <c r="J44" s="111" t="e">
        <f aca="false">I44*2</f>
        <v>#DIV/0!</v>
      </c>
      <c r="K44" s="160" t="s">
        <v>98</v>
      </c>
      <c r="L44" s="129" t="n">
        <v>1</v>
      </c>
      <c r="M44" s="153" t="n">
        <f aca="false">20000*2^(L44-1)</f>
        <v>20000</v>
      </c>
      <c r="N44" s="153" t="n">
        <f aca="false">40000*2^(L44-1)</f>
        <v>40000</v>
      </c>
      <c r="O44" s="153" t="n">
        <f aca="false">20000*2^(L44-1)</f>
        <v>20000</v>
      </c>
      <c r="P44" s="154" t="e">
        <f aca="false">SECOND((ROUNDDOWN((((($M44+$N44)/(2500*(1+$T$27)))*3600)),0)/86400)/'Autres options'!$B$29)+100*MINUTE((ROUNDUP(((((($M44+$N44)/(2500*(1+$T$27))))*3600)),0)/86400)/'Autres options'!$B$29)+10000*HOUR((ROUNDUP(((((($M44+$N44)/(2500*(1+$T$27))))*3600)),0)/86400)/'Autres options'!$B$29)+1000000*ROUNDDOWN((ROUNDUP(((((($M44+$N44)/(2500*(1+$T$27))))*3600)),0)/86400)/'Autres options'!$B$29,0)</f>
        <v>#DIV/0!</v>
      </c>
      <c r="Q44" s="16" t="n">
        <f aca="false">ROUNDUP((SUM(M44:O44))/25000)</f>
        <v>4</v>
      </c>
      <c r="R44" s="111" t="e">
        <f aca="false">IF(750*(ROUNDUP((((((($M44+$N44)/(2500*(1+$T$27)))/24)/'Autres options'!$B$29)*24)*60)/30))&lt;72000,750*(ROUNDUP((((((($M44+$N44)/(2500*(1+$T$27))/24)/'Autres options'!$B$29)*24)*60)/30))),72000)</f>
        <v>#DIV/0!</v>
      </c>
      <c r="S44" s="111" t="e">
        <f aca="false">R44*2</f>
        <v>#DIV/0!</v>
      </c>
    </row>
    <row r="45" customFormat="false" ht="8.2" hidden="false" customHeight="true" outlineLevel="0" collapsed="false">
      <c r="A45" s="152" t="s">
        <v>84</v>
      </c>
      <c r="B45" s="129" t="n">
        <v>1</v>
      </c>
      <c r="C45" s="153" t="n">
        <f aca="false">30000*B45</f>
        <v>30000</v>
      </c>
      <c r="D45" s="153" t="n">
        <f aca="false">40000*B45</f>
        <v>40000</v>
      </c>
      <c r="E45" s="153" t="n">
        <f aca="false">15000*B45</f>
        <v>15000</v>
      </c>
      <c r="F45" s="25" t="n">
        <f aca="false">10000*(1+3*'Projet Minier'!T26/10)</f>
        <v>10000</v>
      </c>
      <c r="G45" s="16" t="n">
        <f aca="false">ROUNDUP((SUM(C45:E45))/25000)</f>
        <v>4</v>
      </c>
      <c r="H45" s="154" t="e">
        <f aca="false">SECOND((ROUNDDOWN(((($C45+$D45)/5000)*(2/(1+$T$25))*0.5^$T$23)*3600,0)/86400)/'Autres options'!$B$29)+100*MINUTE((ROUNDUP(((($C45+$D45)/5000)*(2/(1+$T$25))*0.5^$T$23)*3600,0)/86400)/'Autres options'!$B$29)+10000*HOUR((ROUNDUP(((($C45+$D45)/5000)*(2/(1+$T$25))*0.5^$T$23)*3600,0)/86400)/'Autres options'!$B$29)+1000000*ROUNDDOWN((ROUNDDOWN(((($C45+$D45)/5000)*(2/(1+$T$25))*0.5^$T$23)*3600,0)/86400)/'Autres options'!$B$29,0)</f>
        <v>#DIV/0!</v>
      </c>
      <c r="I45" s="111" t="e">
        <f aca="false">IF(750*(ROUNDUP((((((($C45+$D45) / 5000 ) * ( 2 / (1 +$T$25))) * 0.5^$T$23)/'Autres options'!$B$29)*60)/30))&lt;72000,750*(ROUNDUP((((((($C45+$D45) / 5000 ) * ( 2 / (1 +$T$25))) * 0.5^$T$23)/'Autres options'!$B$29)*60)/30)),72000)</f>
        <v>#DIV/0!</v>
      </c>
      <c r="J45" s="111" t="e">
        <f aca="false">I45*2</f>
        <v>#DIV/0!</v>
      </c>
      <c r="K45" s="160" t="s">
        <v>99</v>
      </c>
      <c r="L45" s="129" t="n">
        <v>1</v>
      </c>
      <c r="M45" s="153" t="n">
        <f aca="false">20000*2^(L45-1)</f>
        <v>20000</v>
      </c>
      <c r="N45" s="153" t="n">
        <f aca="false">40000*2^(L45-1)</f>
        <v>40000</v>
      </c>
      <c r="O45" s="153" t="n">
        <f aca="false">20000*2^(L45-1)</f>
        <v>20000</v>
      </c>
      <c r="P45" s="154" t="e">
        <f aca="false">SECOND((ROUNDDOWN((((($M45+$N45)/(2500*(1+$T$27)))*3600)),0)/86400)/'Autres options'!$B$29)+100*MINUTE((ROUNDUP(((((($M45+$N45)/(2500*(1+$T$27))))*3600)),0)/86400)/'Autres options'!$B$29)+10000*HOUR((ROUNDUP(((((($M45+$N45)/(2500*(1+$T$27))))*3600)),0)/86400)/'Autres options'!$B$29)+1000000*ROUNDDOWN((ROUNDUP(((((($M45+$N45)/(2500*(1+$T$27))))*3600)),0)/86400)/'Autres options'!$B$29,0)</f>
        <v>#DIV/0!</v>
      </c>
      <c r="Q45" s="16" t="n">
        <f aca="false">ROUNDUP((SUM(M45:O45))/25000)</f>
        <v>4</v>
      </c>
      <c r="R45" s="111" t="e">
        <f aca="false">IF(750*(ROUNDUP((((((($M45+$N45)/(2500*(1+$T$27)))/24)/'Autres options'!$B$29)*24)*60)/30))&lt;72000,750*(ROUNDUP((((((($M45+$N45)/(2500*(1+$T$27))/24)/'Autres options'!$B$29)*24)*60)/30))),72000)</f>
        <v>#DIV/0!</v>
      </c>
      <c r="S45" s="111" t="e">
        <f aca="false">R45*2</f>
        <v>#DIV/0!</v>
      </c>
    </row>
    <row r="46" customFormat="false" ht="8.2" hidden="false" customHeight="true" outlineLevel="0" collapsed="false">
      <c r="A46" s="152" t="s">
        <v>83</v>
      </c>
      <c r="B46" s="129" t="n">
        <v>1</v>
      </c>
      <c r="C46" s="153" t="n">
        <f aca="false">5000000*B46</f>
        <v>5000000</v>
      </c>
      <c r="D46" s="153" t="n">
        <f aca="false">4000000*B46</f>
        <v>4000000</v>
      </c>
      <c r="E46" s="153" t="n">
        <f aca="false">1000000*B46</f>
        <v>1000000</v>
      </c>
      <c r="F46" s="25" t="n">
        <f aca="false">100*(1+3*'Projet Minier'!T26/10)</f>
        <v>100</v>
      </c>
      <c r="G46" s="16" t="n">
        <f aca="false">ROUNDUP((SUM(C46:E46))/25000)</f>
        <v>400</v>
      </c>
      <c r="H46" s="154" t="e">
        <f aca="false">SECOND((ROUNDDOWN(((($C46+$D46)/5000)*(2/(1+$T$25))*0.5^$T$23)*3600,0)/86400)/'Autres options'!$B$29)+100*MINUTE((ROUNDUP(((($C46+$D46)/5000)*(2/(1+$T$25))*0.5^$T$23)*3600,0)/86400)/'Autres options'!$B$29)+10000*HOUR((ROUNDUP(((($C46+$D46)/5000)*(2/(1+$T$25))*0.5^$T$23)*3600,0)/86400)/'Autres options'!$B$29)+1000000*ROUNDDOWN((ROUNDDOWN(((($C46+$D46)/5000)*(2/(1+$T$25))*0.5^$T$23)*3600,0)/86400)/'Autres options'!$B$29,0)</f>
        <v>#DIV/0!</v>
      </c>
      <c r="I46" s="111" t="e">
        <f aca="false">IF(750*(ROUNDUP((((((($C46+$D46) / 5000 ) * ( 2 / (1 +$T$25))) * 0.5^$T$23)/'Autres options'!$B$29)*60)/30))&lt;72000,750*(ROUNDUP((((((($C46+$D46) / 5000 ) * ( 2 / (1 +$T$25))) * 0.5^$T$23)/'Autres options'!$B$29)*60)/30)),72000)</f>
        <v>#DIV/0!</v>
      </c>
      <c r="J46" s="111" t="e">
        <f aca="false">I46*2</f>
        <v>#DIV/0!</v>
      </c>
      <c r="K46" s="160" t="s">
        <v>100</v>
      </c>
      <c r="L46" s="129" t="n">
        <v>1</v>
      </c>
      <c r="M46" s="153" t="n">
        <f aca="false">2000000*2^(L46-1)</f>
        <v>2000000</v>
      </c>
      <c r="N46" s="153" t="n">
        <f aca="false">4000000*2^(L46-1)</f>
        <v>4000000</v>
      </c>
      <c r="O46" s="153" t="n">
        <f aca="false">2000000*2^(L46-1)</f>
        <v>2000000</v>
      </c>
      <c r="P46" s="154" t="e">
        <f aca="false">SECOND((ROUNDDOWN((((($M46+$N46)/(2500*(1+$T$27)))*3600)),0)/86400)/'Autres options'!$B$29)+100*MINUTE((ROUNDUP(((((($M46+$N46)/(2500*(1+$T$27))))*3600)),0)/86400)/'Autres options'!$B$29)+10000*HOUR((ROUNDUP(((((($M46+$N46)/(2500*(1+$T$27))))*3600)),0)/86400)/'Autres options'!$B$29)+1000000*ROUNDDOWN((ROUNDUP(((((($M46+$N46)/(2500*(1+$T$27))))*3600)),0)/86400)/'Autres options'!$B$29,0)</f>
        <v>#DIV/0!</v>
      </c>
      <c r="Q46" s="16" t="n">
        <f aca="false">ROUNDUP((SUM(M46:O46))/25000)</f>
        <v>320</v>
      </c>
      <c r="R46" s="111" t="e">
        <f aca="false">IF(750*(ROUNDUP((((((($M46+$N46)/(2500*(1+$T$27)))/24)/'Autres options'!$B$29)*24)*60)/30))&lt;72000,750*(ROUNDUP((((((($M46+$N46)/(2500*(1+$T$27))/24)/'Autres options'!$B$29)*24)*60)/30))),72000)</f>
        <v>#DIV/0!</v>
      </c>
      <c r="S46" s="111" t="e">
        <f aca="false">R46*2</f>
        <v>#DIV/0!</v>
      </c>
    </row>
    <row r="47" customFormat="false" ht="8.2" hidden="false" customHeight="true" outlineLevel="0" collapsed="false">
      <c r="A47" s="152" t="s">
        <v>80</v>
      </c>
      <c r="B47" s="129" t="n">
        <v>1</v>
      </c>
      <c r="C47" s="153" t="n">
        <f aca="false">50000*B47</f>
        <v>50000</v>
      </c>
      <c r="D47" s="153" t="n">
        <f aca="false">25000*B47</f>
        <v>25000</v>
      </c>
      <c r="E47" s="153" t="n">
        <f aca="false">15000*B47</f>
        <v>15000</v>
      </c>
      <c r="F47" s="25" t="n">
        <f aca="false">IF('Projet Minier'!T26&gt;=8,(5000*(1+3*'Projet Minier'!T26/10)),(4000*(1+'Projet Minier'!T24/10)))</f>
        <v>4000</v>
      </c>
      <c r="G47" s="16" t="n">
        <f aca="false">ROUNDUP((SUM(C47:E47))/25000)</f>
        <v>4</v>
      </c>
      <c r="H47" s="154" t="e">
        <f aca="false">SECOND((ROUNDDOWN(((($C47+$D47)/5000)*(2/(1+$T$25))*0.5^$T$23)*3600,0)/86400)/'Autres options'!$B$29)+100*MINUTE((ROUNDUP(((($C47+$D47)/5000)*(2/(1+$T$25))*0.5^$T$23)*3600,0)/86400)/'Autres options'!$B$29)+10000*HOUR((ROUNDUP(((($C47+$D47)/5000)*(2/(1+$T$25))*0.5^$T$23)*3600,0)/86400)/'Autres options'!$B$29)+1000000*ROUNDDOWN((ROUNDDOWN(((($C47+$D47)/5000)*(2/(1+$T$25))*0.5^$T$23)*3600,0)/86400)/'Autres options'!$B$29,0)</f>
        <v>#DIV/0!</v>
      </c>
      <c r="I47" s="111" t="e">
        <f aca="false">IF(750*(ROUNDUP((((((($C47+$D47) / 5000 ) * ( 2 / (1 +$T$25))) * 0.5^$T$23)/'Autres options'!$B$29)*60)/30))&lt;72000,750*(ROUNDUP((((((($C47+$D47) / 5000 ) * ( 2 / (1 +$T$25))) * 0.5^$T$23)/'Autres options'!$B$29)*60)/30)),72000)</f>
        <v>#DIV/0!</v>
      </c>
      <c r="J47" s="111" t="e">
        <f aca="false">I47*2</f>
        <v>#DIV/0!</v>
      </c>
      <c r="K47" s="33" t="s">
        <v>235</v>
      </c>
      <c r="L47" s="33"/>
      <c r="M47" s="33"/>
      <c r="N47" s="33"/>
      <c r="O47" s="33"/>
      <c r="P47" s="33"/>
      <c r="Q47" s="0"/>
      <c r="R47" s="0"/>
    </row>
    <row r="48" customFormat="false" ht="8.2" hidden="false" customHeight="true" outlineLevel="0" collapsed="false">
      <c r="A48" s="152" t="s">
        <v>236</v>
      </c>
      <c r="B48" s="129" t="n">
        <v>1</v>
      </c>
      <c r="C48" s="153" t="n">
        <v>0</v>
      </c>
      <c r="D48" s="153" t="n">
        <f aca="false">2000*B48</f>
        <v>2000</v>
      </c>
      <c r="E48" s="153" t="n">
        <f aca="false">500*B48</f>
        <v>500</v>
      </c>
      <c r="F48" s="25" t="n">
        <f aca="false">0</f>
        <v>0</v>
      </c>
      <c r="G48" s="16" t="n">
        <f aca="false">ROUNDUP((SUM(C48:E48))/25000)</f>
        <v>1</v>
      </c>
      <c r="H48" s="154" t="e">
        <f aca="false">SECOND((ROUNDDOWN(((($C48+$D48)/5000)*(2/(1+$T$25))*0.5^$T$23)*3600,0)/86400)/'Autres options'!$B$29)+100*MINUTE((ROUNDUP(((($C48+$D48)/5000)*(2/(1+$T$25))*0.5^$T$23)*3600,0)/86400)/'Autres options'!$B$29)+10000*HOUR((ROUNDUP(((($C48+$D48)/5000)*(2/(1+$T$25))*0.5^$T$23)*3600,0)/86400)/'Autres options'!$B$29)+1000000*ROUNDDOWN((ROUNDDOWN(((($C48+$D48)/5000)*(2/(1+$T$25))*0.5^$T$23)*3600,0)/86400)/'Autres options'!$B$29,0)</f>
        <v>#DIV/0!</v>
      </c>
      <c r="I48" s="111" t="e">
        <f aca="false">IF(750*(ROUNDUP((((((($C48+$D48) / 5000 ) * ( 2 / (1 +$T$25))) * 0.5^$T$23)/'Autres options'!$B$29)*60)/30))&lt;72000,750*(ROUNDUP((((((($C48+$D48) / 5000 ) * ( 2 / (1 +$T$25))) * 0.5^$T$23)/'Autres options'!$B$29)*60)/30)),72000)</f>
        <v>#DIV/0!</v>
      </c>
      <c r="J48" s="111" t="e">
        <f aca="false">I48*2</f>
        <v>#DIV/0!</v>
      </c>
      <c r="K48" s="51"/>
      <c r="L48" s="51" t="s">
        <v>108</v>
      </c>
      <c r="M48" s="51" t="s">
        <v>226</v>
      </c>
      <c r="N48" s="51" t="s">
        <v>21</v>
      </c>
      <c r="O48" s="51" t="s">
        <v>23</v>
      </c>
      <c r="P48" s="51" t="s">
        <v>24</v>
      </c>
      <c r="Q48" s="46" t="s">
        <v>68</v>
      </c>
      <c r="R48" s="0"/>
    </row>
    <row r="49" customFormat="false" ht="8.2" hidden="false" customHeight="true" outlineLevel="0" collapsed="false">
      <c r="A49" s="152" t="s">
        <v>195</v>
      </c>
      <c r="B49" s="129" t="n">
        <v>1</v>
      </c>
      <c r="C49" s="153" t="n">
        <f aca="false">10000*B49</f>
        <v>10000</v>
      </c>
      <c r="D49" s="153" t="n">
        <f aca="false">20000*B49</f>
        <v>20000</v>
      </c>
      <c r="E49" s="153" t="n">
        <f aca="false">10000*B49</f>
        <v>10000</v>
      </c>
      <c r="F49" s="25" t="n">
        <f aca="false">2500*(1+2*'Projet Minier'!T25/10)</f>
        <v>2500</v>
      </c>
      <c r="G49" s="16" t="n">
        <f aca="false">ROUNDUP((SUM(C49:E49))/25000)</f>
        <v>2</v>
      </c>
      <c r="H49" s="154" t="e">
        <f aca="false">SECOND((ROUNDDOWN(((($C49+$D49)/5000)*(2/(1+$T$25))*0.5^$T$23)*3600,0)/86400)/'Autres options'!$B$29)+100*MINUTE((ROUNDUP(((($C49+$D49)/5000)*(2/(1+$T$25))*0.5^$T$23)*3600,0)/86400)/'Autres options'!$B$29)+10000*HOUR((ROUNDUP(((($C49+$D49)/5000)*(2/(1+$T$25))*0.5^$T$23)*3600,0)/86400)/'Autres options'!$B$29)+1000000*ROUNDDOWN((ROUNDDOWN(((($C49+$D49)/5000)*(2/(1+$T$25))*0.5^$T$23)*3600,0)/86400)/'Autres options'!$B$29,0)</f>
        <v>#DIV/0!</v>
      </c>
      <c r="I49" s="111" t="e">
        <f aca="false">IF(750*(ROUNDUP((((((($C49+$D49) / 5000 ) * ( 2 / (1 +$T$25))) * 0.5^$T$23)/'Autres options'!$B$29)*60)/30))&lt;72000,750*(ROUNDUP((((((($C49+$D49) / 5000 ) * ( 2 / (1 +$T$25))) * 0.5^$T$23)/'Autres options'!$B$29)*60)/30)),72000)</f>
        <v>#DIV/0!</v>
      </c>
      <c r="J49" s="111" t="e">
        <f aca="false">I49*2</f>
        <v>#DIV/0!</v>
      </c>
      <c r="K49" s="160" t="s">
        <v>41</v>
      </c>
      <c r="L49" s="129" t="n">
        <v>0</v>
      </c>
      <c r="M49" s="129" t="n">
        <v>1</v>
      </c>
      <c r="N49" s="153" t="n">
        <f aca="false">(1000*  - (1 - 2^$M49))-((1000*  - (1 - 2^$L49)))</f>
        <v>1000</v>
      </c>
      <c r="O49" s="153" t="n">
        <f aca="false">(0*  - (1 - 2^$M49))-(0*  - (1 - 2^$L49))</f>
        <v>0</v>
      </c>
      <c r="P49" s="153" t="n">
        <f aca="false">(0*  - (1 - 2^$M49))-(0*  - (1 - 2^$L49))</f>
        <v>0</v>
      </c>
      <c r="Q49" s="16" t="n">
        <f aca="false">ROUNDUP((SUM(N49:P49))/25000)</f>
        <v>1</v>
      </c>
      <c r="R49" s="0"/>
    </row>
    <row r="50" customFormat="false" ht="8.2" hidden="false" customHeight="true" outlineLevel="0" collapsed="false">
      <c r="A50" s="152" t="s">
        <v>196</v>
      </c>
      <c r="B50" s="129" t="n">
        <v>1</v>
      </c>
      <c r="C50" s="153" t="n">
        <v>0</v>
      </c>
      <c r="D50" s="153" t="n">
        <f aca="false">1000*B50</f>
        <v>1000</v>
      </c>
      <c r="E50" s="153" t="n">
        <v>0</v>
      </c>
      <c r="F50" s="25" t="n">
        <f aca="false">(100000000*(1+'Projet Minier'!T24/10))</f>
        <v>100000000</v>
      </c>
      <c r="G50" s="16" t="n">
        <f aca="false">ROUNDUP((SUM(C50:E50))/25000)</f>
        <v>1</v>
      </c>
      <c r="H50" s="154" t="e">
        <f aca="false">SECOND((ROUNDDOWN(((($C50+$D50)/5000)*(2/(1+$T$25))*0.5^$T$23)*3600,0)/86400)/'Autres options'!$B$29)+100*MINUTE((ROUNDUP(((($C50+$D50)/5000)*(2/(1+$T$25))*0.5^$T$23)*3600,0)/86400)/'Autres options'!$B$29)+10000*HOUR((ROUNDUP(((($C50+$D50)/5000)*(2/(1+$T$25))*0.5^$T$23)*3600,0)/86400)/'Autres options'!$B$29)+1000000*ROUNDDOWN((ROUNDDOWN(((($C50+$D50)/5000)*(2/(1+$T$25))*0.5^$T$23)*3600,0)/86400)/'Autres options'!$B$29,0)</f>
        <v>#DIV/0!</v>
      </c>
      <c r="I50" s="111" t="e">
        <f aca="false">IF(750*(ROUNDUP((((((($C50+$D50) / 5000 ) * ( 2 / (1 +$T$25))) * 0.5^$T$23)/'Autres options'!$B$29)*60)/30))&lt;72000,750*(ROUNDUP((((((($C50+$D50) / 5000 ) * ( 2 / (1 +$T$25))) * 0.5^$T$23)/'Autres options'!$B$29)*60)/30)),72000)</f>
        <v>#DIV/0!</v>
      </c>
      <c r="J50" s="111" t="e">
        <f aca="false">I50*2</f>
        <v>#DIV/0!</v>
      </c>
      <c r="K50" s="160" t="s">
        <v>43</v>
      </c>
      <c r="L50" s="129" t="n">
        <v>0</v>
      </c>
      <c r="M50" s="129" t="n">
        <v>1</v>
      </c>
      <c r="N50" s="153" t="n">
        <f aca="false">(1000*  - (1 - 2^$M50))-((1000*  - (1 - 2^$L50)))</f>
        <v>1000</v>
      </c>
      <c r="O50" s="153" t="n">
        <f aca="false">(500*  - (1 - 2^$M50))-(500*  - (1 - 2^$L50))</f>
        <v>500</v>
      </c>
      <c r="P50" s="153" t="n">
        <f aca="false">(0*  - (1 - 2^$M50))-(0*  - (1 - 2^$L50))</f>
        <v>0</v>
      </c>
      <c r="Q50" s="16" t="n">
        <f aca="false">ROUNDUP((SUM(N50:P50))/25000)</f>
        <v>1</v>
      </c>
      <c r="R50" s="0"/>
    </row>
    <row r="51" customFormat="false" ht="8.2" hidden="false" customHeight="true" outlineLevel="0" collapsed="false">
      <c r="A51" s="33" t="s">
        <v>237</v>
      </c>
      <c r="B51" s="33"/>
      <c r="C51" s="33"/>
      <c r="D51" s="33"/>
      <c r="E51" s="33"/>
      <c r="F51" s="33"/>
      <c r="G51" s="33"/>
      <c r="H51" s="33"/>
      <c r="I51" s="33" t="s">
        <v>214</v>
      </c>
      <c r="J51" s="33"/>
      <c r="K51" s="160" t="s">
        <v>45</v>
      </c>
      <c r="L51" s="129" t="n">
        <v>0</v>
      </c>
      <c r="M51" s="129" t="n">
        <v>1</v>
      </c>
      <c r="N51" s="153" t="n">
        <f aca="false">(1000*  - (1 - 2^$M51))-((1000*  - (1 - 2^$L51)))</f>
        <v>1000</v>
      </c>
      <c r="O51" s="153" t="n">
        <f aca="false">(1000*  - (1 - 2^$M51))-(1000*  - (1 - 2^$L51))</f>
        <v>1000</v>
      </c>
      <c r="P51" s="153" t="n">
        <f aca="false">(0*  - (1 - 2^$M51))-(0*  - (1 - 2^$L51))</f>
        <v>0</v>
      </c>
      <c r="Q51" s="16" t="n">
        <f aca="false">ROUNDUP((SUM(N51:P51))/25000)</f>
        <v>1</v>
      </c>
      <c r="R51" s="0"/>
    </row>
    <row r="52" customFormat="false" ht="8.2" hidden="false" customHeight="true" outlineLevel="0" collapsed="false">
      <c r="A52" s="51"/>
      <c r="B52" s="51" t="s">
        <v>232</v>
      </c>
      <c r="C52" s="51" t="s">
        <v>21</v>
      </c>
      <c r="D52" s="51" t="s">
        <v>23</v>
      </c>
      <c r="E52" s="51" t="s">
        <v>24</v>
      </c>
      <c r="F52" s="46" t="s">
        <v>68</v>
      </c>
      <c r="G52" s="46"/>
      <c r="H52" s="46" t="s">
        <v>217</v>
      </c>
      <c r="I52" s="151" t="n">
        <v>-0.5</v>
      </c>
      <c r="J52" s="46" t="s">
        <v>218</v>
      </c>
      <c r="K52" s="160" t="s">
        <v>51</v>
      </c>
      <c r="L52" s="129" t="n">
        <v>0</v>
      </c>
      <c r="M52" s="129" t="n">
        <v>1</v>
      </c>
      <c r="N52" s="153" t="n">
        <f aca="false">(400*  - (1 - 2^$M52))-((400*  - (1 - 2^$L52)))</f>
        <v>400</v>
      </c>
      <c r="O52" s="153" t="n">
        <f aca="false">(200*  - (1 - 2^$M52))-(200*  - (1 - 2^$L52))</f>
        <v>200</v>
      </c>
      <c r="P52" s="153" t="n">
        <f aca="false">(100*  - (1 - 2^$M52))-(100*  - (1 - 2^$L52))</f>
        <v>100</v>
      </c>
      <c r="Q52" s="16" t="n">
        <f aca="false">ROUNDUP((SUM(N52:P52))/25000)</f>
        <v>1</v>
      </c>
      <c r="R52" s="0"/>
    </row>
    <row r="53" customFormat="false" ht="8.2" hidden="false" customHeight="true" outlineLevel="0" collapsed="false">
      <c r="A53" s="152" t="s">
        <v>85</v>
      </c>
      <c r="B53" s="129" t="n">
        <v>1</v>
      </c>
      <c r="C53" s="153" t="n">
        <f aca="false">2000*B53</f>
        <v>2000</v>
      </c>
      <c r="D53" s="153" t="n">
        <f aca="false">0*B53</f>
        <v>0</v>
      </c>
      <c r="E53" s="153" t="n">
        <f aca="false">0*B53</f>
        <v>0</v>
      </c>
      <c r="F53" s="16" t="n">
        <f aca="false">ROUNDUP((SUM(C53:E53))/25000)</f>
        <v>1</v>
      </c>
      <c r="G53" s="16"/>
      <c r="H53" s="154" t="e">
        <f aca="false">SECOND((ROUNDDOWN(((($C53+$D53)/5000)*(2/(1+$T$25))*0.5^$T$23)*3600,0)/86400)/'Autres options'!$B$29)+100*MINUTE((ROUNDUP(((($C53+$D53)/5000)*(2/(1+$T$25))*0.5^$T$23)*3600,0)/86400)/'Autres options'!$B$29)+10000*HOUR((ROUNDUP(((($C53+$D53)/5000)*(2/(1+$T$25))*0.5^$T$23)*3600,0)/86400)/'Autres options'!$B$29)+1000000*ROUNDDOWN((ROUNDDOWN(((($C53+$D53)/5000)*(2/(1+$T$25))*0.5^$T$23)*3600,0)/86400)/'Autres options'!$B$29,0)</f>
        <v>#DIV/0!</v>
      </c>
      <c r="I53" s="111" t="e">
        <f aca="false">IF(750*(ROUNDUP((((((($C53+$D53) / 5000 ) * ( 2 / (1 +$T$25))) * 0.5^$T$23)/'Autres options'!$B$29)*60)/30))&lt;72000,750*(ROUNDUP((((((($C53+$D53) / 5000 ) * ( 2 / (1 +$T$25))) * 0.5^$T$23)/'Autres options'!$B$29)*60)/30)),72000)</f>
        <v>#DIV/0!</v>
      </c>
      <c r="J53" s="111" t="e">
        <f aca="false">I53*2</f>
        <v>#DIV/0!</v>
      </c>
      <c r="K53" s="160" t="s">
        <v>227</v>
      </c>
      <c r="L53" s="129" t="n">
        <v>0</v>
      </c>
      <c r="M53" s="129" t="n">
        <v>1</v>
      </c>
      <c r="N53" s="153" t="n">
        <f aca="false">(200*  - (1 - 2^$M53))-((200*  - (1 - 2^$L53)))</f>
        <v>200</v>
      </c>
      <c r="O53" s="153" t="n">
        <f aca="false">(120*  - (1 - 2^$M53))-(120*  - (1 - 2^$L53))</f>
        <v>120</v>
      </c>
      <c r="P53" s="153" t="n">
        <f aca="false">(200*  - (1 - 2^$M53))-(200*  - (1 - 2^$L53))</f>
        <v>200</v>
      </c>
      <c r="Q53" s="16" t="n">
        <f aca="false">ROUNDUP((SUM(N53:P53))/25000)</f>
        <v>1</v>
      </c>
      <c r="R53" s="0"/>
    </row>
    <row r="54" customFormat="false" ht="8.2" hidden="false" customHeight="true" outlineLevel="0" collapsed="false">
      <c r="A54" s="152" t="s">
        <v>199</v>
      </c>
      <c r="B54" s="129" t="n">
        <v>1</v>
      </c>
      <c r="C54" s="153" t="n">
        <f aca="false">1500*B54</f>
        <v>1500</v>
      </c>
      <c r="D54" s="153" t="n">
        <f aca="false">500*B54</f>
        <v>500</v>
      </c>
      <c r="E54" s="153" t="n">
        <f aca="false">0*B54</f>
        <v>0</v>
      </c>
      <c r="F54" s="16" t="n">
        <f aca="false">ROUNDUP((SUM(C54:E54))/25000)</f>
        <v>1</v>
      </c>
      <c r="G54" s="16"/>
      <c r="H54" s="154" t="e">
        <f aca="false">SECOND((ROUNDDOWN(((($C54+$D54)/5000)*(2/(1+$T$25))*0.5^$T$23)*3600,0)/86400)/'Autres options'!$B$29)+100*MINUTE((ROUNDUP(((($C54+$D54)/5000)*(2/(1+$T$25))*0.5^$T$23)*3600,0)/86400)/'Autres options'!$B$29)+10000*HOUR((ROUNDUP(((($C54+$D54)/5000)*(2/(1+$T$25))*0.5^$T$23)*3600,0)/86400)/'Autres options'!$B$29)+1000000*ROUNDDOWN((ROUNDDOWN(((($C54+$D54)/5000)*(2/(1+$T$25))*0.5^$T$23)*3600,0)/86400)/'Autres options'!$B$29,0)</f>
        <v>#DIV/0!</v>
      </c>
      <c r="I54" s="111" t="e">
        <f aca="false">IF(750*(ROUNDUP((((((($C54+$D54) / 5000 ) * ( 2 / (1 +$T$25))) * 0.5^$T$23)/'Autres options'!$B$29)*60)/30))&lt;72000,750*(ROUNDUP((((((($C54+$D54) / 5000 ) * ( 2 / (1 +$T$25))) * 0.5^$T$23)/'Autres options'!$B$29)*60)/30)),72000)</f>
        <v>#DIV/0!</v>
      </c>
      <c r="J54" s="111" t="e">
        <f aca="false">I54*2</f>
        <v>#DIV/0!</v>
      </c>
      <c r="K54" s="160" t="s">
        <v>98</v>
      </c>
      <c r="L54" s="129" t="n">
        <v>0</v>
      </c>
      <c r="M54" s="129" t="n">
        <v>1</v>
      </c>
      <c r="N54" s="153" t="n">
        <f aca="false">(20000*  - (1 - 2^$M54))-((20000*  - (1 - 2^$L54)))</f>
        <v>20000</v>
      </c>
      <c r="O54" s="153" t="n">
        <f aca="false">(40000*  - (1 - 2^$M54))-(40000*  - (1 - 2^$L54))</f>
        <v>40000</v>
      </c>
      <c r="P54" s="153" t="n">
        <f aca="false">(20000*  - (1 - 2^$M54))-(20000*  - (1 - 2^$L54))</f>
        <v>20000</v>
      </c>
      <c r="Q54" s="16" t="n">
        <f aca="false">ROUNDUP((SUM(N54:P54))/25000)</f>
        <v>4</v>
      </c>
      <c r="R54" s="0"/>
    </row>
    <row r="55" customFormat="false" ht="8.2" hidden="false" customHeight="true" outlineLevel="0" collapsed="false">
      <c r="A55" s="152" t="s">
        <v>200</v>
      </c>
      <c r="B55" s="129" t="n">
        <v>1</v>
      </c>
      <c r="C55" s="153" t="n">
        <f aca="false">6000*B55</f>
        <v>6000</v>
      </c>
      <c r="D55" s="153" t="n">
        <f aca="false">2000*B55</f>
        <v>2000</v>
      </c>
      <c r="E55" s="153" t="n">
        <f aca="false">0*B55</f>
        <v>0</v>
      </c>
      <c r="F55" s="16" t="n">
        <f aca="false">ROUNDUP((SUM(C55:E55))/25000)</f>
        <v>1</v>
      </c>
      <c r="G55" s="16"/>
      <c r="H55" s="154" t="e">
        <f aca="false">SECOND((ROUNDDOWN(((($C55+$D55)/5000)*(2/(1+$T$25))*0.5^$T$23)*3600,0)/86400)/'Autres options'!$B$29)+100*MINUTE((ROUNDUP(((($C55+$D55)/5000)*(2/(1+$T$25))*0.5^$T$23)*3600,0)/86400)/'Autres options'!$B$29)+10000*HOUR((ROUNDUP(((($C55+$D55)/5000)*(2/(1+$T$25))*0.5^$T$23)*3600,0)/86400)/'Autres options'!$B$29)+1000000*ROUNDDOWN((ROUNDDOWN(((($C55+$D55)/5000)*(2/(1+$T$25))*0.5^$T$23)*3600,0)/86400)/'Autres options'!$B$29,0)</f>
        <v>#DIV/0!</v>
      </c>
      <c r="I55" s="111" t="e">
        <f aca="false">IF(750*(ROUNDUP((((((($C55+$D55) / 5000 ) * ( 2 / (1 +$T$25))) * 0.5^$T$23)/'Autres options'!$B$29)*60)/30))&lt;72000,750*(ROUNDUP((((((($C55+$D55) / 5000 ) * ( 2 / (1 +$T$25))) * 0.5^$T$23)/'Autres options'!$B$29)*60)/30)),72000)</f>
        <v>#DIV/0!</v>
      </c>
      <c r="J55" s="111" t="e">
        <f aca="false">I55*2</f>
        <v>#DIV/0!</v>
      </c>
      <c r="K55" s="160" t="s">
        <v>99</v>
      </c>
      <c r="L55" s="129" t="n">
        <v>0</v>
      </c>
      <c r="M55" s="129" t="n">
        <v>1</v>
      </c>
      <c r="N55" s="153" t="n">
        <f aca="false">(20000*  - (1 - 2^$M55))-((20000*  - (1 - 2^$L55)))</f>
        <v>20000</v>
      </c>
      <c r="O55" s="153" t="n">
        <f aca="false">(40000*  - (1 - 2^$M55))-(40000*  - (1 - 2^$L55))</f>
        <v>40000</v>
      </c>
      <c r="P55" s="153" t="n">
        <f aca="false">(20000*  - (1 - 2^$M55))-(20000*  - (1 - 2^$L55))</f>
        <v>20000</v>
      </c>
      <c r="Q55" s="16" t="n">
        <f aca="false">ROUNDUP((SUM(N55:P55))/25000)</f>
        <v>4</v>
      </c>
      <c r="R55" s="0"/>
    </row>
    <row r="56" customFormat="false" ht="8.2" hidden="false" customHeight="true" outlineLevel="0" collapsed="false">
      <c r="A56" s="152" t="s">
        <v>201</v>
      </c>
      <c r="B56" s="129" t="n">
        <v>1</v>
      </c>
      <c r="C56" s="153" t="n">
        <f aca="false">20000*B56</f>
        <v>20000</v>
      </c>
      <c r="D56" s="153" t="n">
        <f aca="false">15000*B56</f>
        <v>15000</v>
      </c>
      <c r="E56" s="153" t="n">
        <f aca="false">2000*B56</f>
        <v>2000</v>
      </c>
      <c r="F56" s="16" t="n">
        <f aca="false">ROUNDUP((SUM(C56:E56))/25000)</f>
        <v>2</v>
      </c>
      <c r="G56" s="16"/>
      <c r="H56" s="154" t="e">
        <f aca="false">SECOND((ROUNDDOWN(((($C56+$D56)/5000)*(2/(1+$T$25))*0.5^$T$23)*3600,0)/86400)/'Autres options'!$B$29)+100*MINUTE((ROUNDUP(((($C56+$D56)/5000)*(2/(1+$T$25))*0.5^$T$23)*3600,0)/86400)/'Autres options'!$B$29)+10000*HOUR((ROUNDUP(((($C56+$D56)/5000)*(2/(1+$T$25))*0.5^$T$23)*3600,0)/86400)/'Autres options'!$B$29)+1000000*ROUNDDOWN((ROUNDDOWN(((($C56+$D56)/5000)*(2/(1+$T$25))*0.5^$T$23)*3600,0)/86400)/'Autres options'!$B$29,0)</f>
        <v>#DIV/0!</v>
      </c>
      <c r="I56" s="111" t="e">
        <f aca="false">IF(750*(ROUNDUP((((((($C56+$D56) / 5000 ) * ( 2 / (1 +$T$25))) * 0.5^$T$23)/'Autres options'!$B$29)*60)/30))&lt;72000,750*(ROUNDUP((((((($C56+$D56) / 5000 ) * ( 2 / (1 +$T$25))) * 0.5^$T$23)/'Autres options'!$B$29)*60)/30)),72000)</f>
        <v>#DIV/0!</v>
      </c>
      <c r="J56" s="111" t="e">
        <f aca="false">I56*2</f>
        <v>#DIV/0!</v>
      </c>
      <c r="K56" s="160" t="s">
        <v>100</v>
      </c>
      <c r="L56" s="129" t="n">
        <v>0</v>
      </c>
      <c r="M56" s="129" t="n">
        <v>1</v>
      </c>
      <c r="N56" s="153" t="n">
        <f aca="false">(2000000*  - (1 - 2^$M56))-((2000000*  - (1 - 2^$L56)))</f>
        <v>2000000</v>
      </c>
      <c r="O56" s="153" t="n">
        <f aca="false">(4000000*  - (1 - 2^$M56))-(4000000*  - (1 - 2^$L56))</f>
        <v>4000000</v>
      </c>
      <c r="P56" s="153" t="n">
        <f aca="false">(2000000*  - (1 - 2^$M56))-(2000000*  - (1 - 2^$L56))</f>
        <v>2000000</v>
      </c>
      <c r="Q56" s="16" t="n">
        <f aca="false">ROUNDUP((SUM(N56:P56))/25000)</f>
        <v>320</v>
      </c>
      <c r="R56" s="0"/>
    </row>
    <row r="57" customFormat="false" ht="8.2" hidden="false" customHeight="true" outlineLevel="0" collapsed="false">
      <c r="A57" s="152" t="s">
        <v>25</v>
      </c>
      <c r="B57" s="129" t="n">
        <v>1</v>
      </c>
      <c r="C57" s="153" t="n">
        <f aca="false">2000*B57</f>
        <v>2000</v>
      </c>
      <c r="D57" s="153" t="n">
        <f aca="false">6000*B57</f>
        <v>6000</v>
      </c>
      <c r="E57" s="153" t="n">
        <f aca="false">0*B57</f>
        <v>0</v>
      </c>
      <c r="F57" s="16" t="n">
        <f aca="false">ROUNDUP((SUM(C57:E57))/25000)</f>
        <v>1</v>
      </c>
      <c r="G57" s="16"/>
      <c r="H57" s="154" t="e">
        <f aca="false">SECOND((ROUNDDOWN(((($C57+$D57)/5000)*(2/(1+$T$25))*0.5^$T$23)*3600,0)/86400)/'Autres options'!$B$29)+100*MINUTE((ROUNDUP(((($C57+$D57)/5000)*(2/(1+$T$25))*0.5^$T$23)*3600,0)/86400)/'Autres options'!$B$29)+10000*HOUR((ROUNDUP(((($C57+$D57)/5000)*(2/(1+$T$25))*0.5^$T$23)*3600,0)/86400)/'Autres options'!$B$29)+1000000*ROUNDDOWN((ROUNDDOWN(((($C57+$D57)/5000)*(2/(1+$T$25))*0.5^$T$23)*3600,0)/86400)/'Autres options'!$B$29,0)</f>
        <v>#DIV/0!</v>
      </c>
      <c r="I57" s="111" t="e">
        <f aca="false">IF(750*(ROUNDUP((((((($C57+$D57) / 5000 ) * ( 2 / (1 +$T$25))) * 0.5^$T$23)/'Autres options'!$B$29)*60)/30))&lt;72000,750*(ROUNDUP((((((($C57+$D57) / 5000 ) * ( 2 / (1 +$T$25))) * 0.5^$T$23)/'Autres options'!$B$29)*60)/30)),72000)</f>
        <v>#DIV/0!</v>
      </c>
      <c r="J57" s="111" t="e">
        <f aca="false">I57*2</f>
        <v>#DIV/0!</v>
      </c>
      <c r="Q57" s="0"/>
      <c r="R57" s="0"/>
    </row>
    <row r="58" customFormat="false" ht="8.2" hidden="false" customHeight="true" outlineLevel="0" collapsed="false">
      <c r="A58" s="152" t="s">
        <v>27</v>
      </c>
      <c r="B58" s="129" t="n">
        <v>1</v>
      </c>
      <c r="C58" s="153" t="n">
        <f aca="false">50000*B58</f>
        <v>50000</v>
      </c>
      <c r="D58" s="153" t="n">
        <f aca="false">50000*B58</f>
        <v>50000</v>
      </c>
      <c r="E58" s="153" t="n">
        <f aca="false">30000*B58</f>
        <v>30000</v>
      </c>
      <c r="F58" s="16" t="n">
        <f aca="false">ROUNDUP((SUM(C58:E58))/25000)</f>
        <v>6</v>
      </c>
      <c r="G58" s="16"/>
      <c r="H58" s="154" t="e">
        <f aca="false">SECOND((ROUNDDOWN(((($C58+$D58)/5000)*(2/(1+$T$25))*0.5^$T$23)*3600,0)/86400)/'Autres options'!$B$29)+100*MINUTE((ROUNDUP(((($C58+$D58)/5000)*(2/(1+$T$25))*0.5^$T$23)*3600,0)/86400)/'Autres options'!$B$29)+10000*HOUR((ROUNDUP(((($C58+$D58)/5000)*(2/(1+$T$25))*0.5^$T$23)*3600,0)/86400)/'Autres options'!$B$29)+1000000*ROUNDDOWN((ROUNDDOWN(((($C58+$D58)/5000)*(2/(1+$T$25))*0.5^$T$23)*3600,0)/86400)/'Autres options'!$B$29,0)</f>
        <v>#DIV/0!</v>
      </c>
      <c r="I58" s="111" t="e">
        <f aca="false">IF(750*(ROUNDUP((((((($C58+$D58) / 5000 ) * ( 2 / (1 +$T$25))) * 0.5^$T$23)/'Autres options'!$B$29)*60)/30))&lt;72000,750*(ROUNDUP((((((($C58+$D58) / 5000 ) * ( 2 / (1 +$T$25))) * 0.5^$T$23)/'Autres options'!$B$29)*60)/30)),72000)</f>
        <v>#DIV/0!</v>
      </c>
      <c r="J58" s="111" t="e">
        <f aca="false">I58*2</f>
        <v>#DIV/0!</v>
      </c>
      <c r="Q58" s="0"/>
      <c r="R58" s="0"/>
    </row>
    <row r="59" customFormat="false" ht="8.2" hidden="false" customHeight="true" outlineLevel="0" collapsed="false">
      <c r="A59" s="152" t="s">
        <v>89</v>
      </c>
      <c r="B59" s="129" t="n">
        <v>1</v>
      </c>
      <c r="C59" s="153" t="n">
        <f aca="false">10000*B59</f>
        <v>10000</v>
      </c>
      <c r="D59" s="153" t="n">
        <f aca="false">10000*B59</f>
        <v>10000</v>
      </c>
      <c r="E59" s="153" t="n">
        <f aca="false">0*B59</f>
        <v>0</v>
      </c>
      <c r="F59" s="16" t="n">
        <f aca="false">ROUNDUP((SUM(C59:E59))/25000)</f>
        <v>1</v>
      </c>
      <c r="G59" s="16"/>
      <c r="H59" s="154" t="e">
        <f aca="false">SECOND((ROUNDDOWN(((($C59+$D59)/5000)*(2/(1+$T$25))*0.5^$T$23)*3600,0)/86400)/'Autres options'!$B$29)+100*MINUTE((ROUNDUP(((($C59+$D59)/5000)*(2/(1+$T$25))*0.5^$T$23)*3600,0)/86400)/'Autres options'!$B$29)+10000*HOUR((ROUNDUP(((($C59+$D59)/5000)*(2/(1+$T$25))*0.5^$T$23)*3600,0)/86400)/'Autres options'!$B$29)+1000000*ROUNDDOWN((ROUNDDOWN(((($C59+$D59)/5000)*(2/(1+$T$25))*0.5^$T$23)*3600,0)/86400)/'Autres options'!$B$29,0)</f>
        <v>#DIV/0!</v>
      </c>
      <c r="I59" s="111" t="e">
        <f aca="false">IF(750*(ROUNDUP((((((($C59+$D59) / 5000 ) * ( 2 / (1 +$T$25))) * 0.5^$T$23)/'Autres options'!$B$29)*60)/30))&lt;72000,750*(ROUNDUP((((((($C59+$D59) / 5000 ) * ( 2 / (1 +$T$25))) * 0.5^$T$23)/'Autres options'!$B$29)*60)/30)),72000)</f>
        <v>#DIV/0!</v>
      </c>
      <c r="J59" s="111" t="e">
        <f aca="false">I59*2</f>
        <v>#DIV/0!</v>
      </c>
    </row>
    <row r="60" customFormat="false" ht="8.2" hidden="false" customHeight="true" outlineLevel="0" collapsed="false">
      <c r="A60" s="152" t="s">
        <v>90</v>
      </c>
      <c r="B60" s="129" t="n">
        <v>1</v>
      </c>
      <c r="C60" s="153" t="n">
        <f aca="false">50000*B60</f>
        <v>50000</v>
      </c>
      <c r="D60" s="153" t="n">
        <f aca="false">50000*B60</f>
        <v>50000</v>
      </c>
      <c r="E60" s="153" t="n">
        <f aca="false">0*B60</f>
        <v>0</v>
      </c>
      <c r="F60" s="16" t="n">
        <f aca="false">ROUNDUP((SUM(C60:E60))/25000)</f>
        <v>4</v>
      </c>
      <c r="G60" s="16"/>
      <c r="H60" s="154" t="e">
        <f aca="false">SECOND((ROUNDDOWN(((($C60+$D60)/5000)*(2/(1+$T$25))*0.5^$T$23)*3600,0)/86400)/'Autres options'!$B$29)+100*MINUTE((ROUNDUP(((($C60+$D60)/5000)*(2/(1+$T$25))*0.5^$T$23)*3600,0)/86400)/'Autres options'!$B$29)+10000*HOUR((ROUNDUP(((($C60+$D60)/5000)*(2/(1+$T$25))*0.5^$T$23)*3600,0)/86400)/'Autres options'!$B$29)+1000000*ROUNDDOWN((ROUNDDOWN(((($C60+$D60)/5000)*(2/(1+$T$25))*0.5^$T$23)*3600,0)/86400)/'Autres options'!$B$29,0)</f>
        <v>#DIV/0!</v>
      </c>
      <c r="I60" s="111" t="e">
        <f aca="false">IF(750*(ROUNDUP((((((($C60+$D60) / 5000 ) * ( 2 / (1 +$T$25))) * 0.5^$T$23)/'Autres options'!$B$29)*60)/30))&lt;72000,750*(ROUNDUP((((((($C60+$D60) / 5000 ) * ( 2 / (1 +$T$25))) * 0.5^$T$23)/'Autres options'!$B$29)*60)/30)),72000)</f>
        <v>#DIV/0!</v>
      </c>
      <c r="J60" s="111" t="e">
        <f aca="false">I60*2</f>
        <v>#DIV/0!</v>
      </c>
    </row>
    <row r="61" customFormat="false" ht="8.2" hidden="false" customHeight="true" outlineLevel="0" collapsed="false">
      <c r="A61" s="152" t="s">
        <v>91</v>
      </c>
      <c r="B61" s="129" t="n">
        <v>1</v>
      </c>
      <c r="C61" s="153" t="n">
        <f aca="false">8000*B61</f>
        <v>8000</v>
      </c>
      <c r="D61" s="153" t="n">
        <f aca="false">0*B61</f>
        <v>0</v>
      </c>
      <c r="E61" s="153" t="n">
        <f aca="false">2000*B61</f>
        <v>2000</v>
      </c>
      <c r="F61" s="16" t="n">
        <f aca="false">ROUNDUP((SUM(C61:E61))/25000)</f>
        <v>1</v>
      </c>
      <c r="G61" s="16"/>
      <c r="H61" s="154" t="e">
        <f aca="false">SECOND((ROUNDDOWN(((($C61+$D61)/5000)*(2/(1+$T$25))*0.5^$T$23)*3600,0)/86400)/'Autres options'!$B$29)+100*MINUTE((ROUNDUP(((($C61+$D61)/5000)*(2/(1+$T$25))*0.5^$T$23)*3600,0)/86400)/'Autres options'!$B$29)+10000*HOUR((ROUNDUP(((($C61+$D61)/5000)*(2/(1+$T$25))*0.5^$T$23)*3600,0)/86400)/'Autres options'!$B$29)+1000000*ROUNDDOWN((ROUNDDOWN(((($C61+$D61)/5000)*(2/(1+$T$25))*0.5^$T$23)*3600,0)/86400)/'Autres options'!$B$29,0)</f>
        <v>#DIV/0!</v>
      </c>
      <c r="I61" s="111" t="e">
        <f aca="false">IF(750*(ROUNDUP((((((($C61+$D61) / 5000 ) * ( 2 / (1 +$T$25))) * 0.5^$T$23)/'Autres options'!$B$29)*60)/30))&lt;72000,750*(ROUNDUP((((((($C61+$D61) / 5000 ) * ( 2 / (1 +$T$25))) * 0.5^$T$23)/'Autres options'!$B$29)*60)/30)),72000)</f>
        <v>#DIV/0!</v>
      </c>
      <c r="J61" s="111" t="e">
        <f aca="false">I61*2</f>
        <v>#DIV/0!</v>
      </c>
    </row>
    <row r="62" customFormat="false" ht="8.2" hidden="false" customHeight="true" outlineLevel="0" collapsed="false">
      <c r="A62" s="152" t="s">
        <v>92</v>
      </c>
      <c r="B62" s="129" t="n">
        <v>1</v>
      </c>
      <c r="C62" s="153" t="n">
        <f aca="false">12500*B62</f>
        <v>12500</v>
      </c>
      <c r="D62" s="153" t="n">
        <f aca="false">2500*B62</f>
        <v>2500</v>
      </c>
      <c r="E62" s="153" t="n">
        <f aca="false">10000*B62</f>
        <v>10000</v>
      </c>
      <c r="F62" s="16" t="n">
        <f aca="false">ROUNDUP((SUM(C62:E62))/25000)</f>
        <v>1</v>
      </c>
      <c r="G62" s="16"/>
      <c r="H62" s="154" t="e">
        <f aca="false">SECOND((ROUNDDOWN(((($C62+$D62)/5000)*(2/(1+$T$25))*0.5^$T$23)*3600,0)/86400)/'Autres options'!$B$29)+100*MINUTE((ROUNDUP(((($C62+$D62)/5000)*(2/(1+$T$25))*0.5^$T$23)*3600,0)/86400)/'Autres options'!$B$29)+10000*HOUR((ROUNDUP(((($C62+$D62)/5000)*(2/(1+$T$25))*0.5^$T$23)*3600,0)/86400)/'Autres options'!$B$29)+1000000*ROUNDDOWN((ROUNDDOWN(((($C62+$D62)/5000)*(2/(1+$T$25))*0.5^$T$23)*3600,0)/86400)/'Autres options'!$B$29,0)</f>
        <v>#DIV/0!</v>
      </c>
      <c r="I62" s="111" t="e">
        <f aca="false">IF(750*(ROUNDUP((((((($C62+$D62) / 5000 ) * ( 2 / (1 +$T$25))) * 0.5^$T$23)/'Autres options'!$B$29)*60)/30))&lt;72000,750*(ROUNDUP((((((($C62+$D62) / 5000 ) * ( 2 / (1 +$T$25))) * 0.5^$T$23)/'Autres options'!$B$29)*60)/30)),72000)</f>
        <v>#DIV/0!</v>
      </c>
      <c r="J62" s="111" t="e">
        <f aca="false">I62*2</f>
        <v>#DIV/0!</v>
      </c>
    </row>
  </sheetData>
  <mergeCells count="56">
    <mergeCell ref="A1:H1"/>
    <mergeCell ref="I1:J1"/>
    <mergeCell ref="K1:R1"/>
    <mergeCell ref="S1:Z1"/>
    <mergeCell ref="S17:U17"/>
    <mergeCell ref="A18:H18"/>
    <mergeCell ref="I18:J18"/>
    <mergeCell ref="K18:M18"/>
    <mergeCell ref="F19:G19"/>
    <mergeCell ref="K19:R19"/>
    <mergeCell ref="F20:G20"/>
    <mergeCell ref="F21:G21"/>
    <mergeCell ref="S21:S22"/>
    <mergeCell ref="T21:T22"/>
    <mergeCell ref="F22:G22"/>
    <mergeCell ref="F23:G23"/>
    <mergeCell ref="S23:S24"/>
    <mergeCell ref="T23:T24"/>
    <mergeCell ref="F24:G24"/>
    <mergeCell ref="F25:G25"/>
    <mergeCell ref="S25:S26"/>
    <mergeCell ref="T25:T26"/>
    <mergeCell ref="F26:G26"/>
    <mergeCell ref="F27:G27"/>
    <mergeCell ref="S27:S28"/>
    <mergeCell ref="T27:T28"/>
    <mergeCell ref="F28:G28"/>
    <mergeCell ref="F29:G29"/>
    <mergeCell ref="S29:S30"/>
    <mergeCell ref="T29:T30"/>
    <mergeCell ref="F30:G30"/>
    <mergeCell ref="F31:G31"/>
    <mergeCell ref="S31:S32"/>
    <mergeCell ref="T31:T32"/>
    <mergeCell ref="F32:G32"/>
    <mergeCell ref="F33:G33"/>
    <mergeCell ref="F34:G34"/>
    <mergeCell ref="A35:H35"/>
    <mergeCell ref="I35:J35"/>
    <mergeCell ref="K36:M36"/>
    <mergeCell ref="K37:Q37"/>
    <mergeCell ref="R37:S37"/>
    <mergeCell ref="K47:P47"/>
    <mergeCell ref="A51:H51"/>
    <mergeCell ref="I51:J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7" activeCellId="0" sqref="B7"/>
    </sheetView>
  </sheetViews>
  <sheetFormatPr defaultRowHeight="8.5"/>
  <cols>
    <col collapsed="false" hidden="false" max="1" min="1" style="1" width="14.4438775510204"/>
    <col collapsed="false" hidden="false" max="17" min="2" style="1" width="9.17857142857143"/>
    <col collapsed="false" hidden="false" max="1025" min="18" style="1" width="11.5204081632653"/>
  </cols>
  <sheetData>
    <row r="1" customFormat="false" ht="8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8.5" hidden="false" customHeight="true" outlineLevel="0" collapsed="false">
      <c r="A2" s="5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customFormat="false" ht="8.5" hidden="false" customHeight="true" outlineLevel="0" collapsed="false">
      <c r="A3" s="5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5</v>
      </c>
    </row>
    <row r="4" customFormat="false" ht="8.5" hidden="false" customHeight="true" outlineLevel="0" collapsed="false">
      <c r="A4" s="5" t="s">
        <v>96</v>
      </c>
      <c r="B4" s="11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customFormat="false" ht="8.5" hidden="false" customHeight="true" outlineLevel="0" collapsed="false">
      <c r="A5" s="5" t="s">
        <v>97</v>
      </c>
      <c r="B5" s="64" t="n">
        <f aca="false">ROUNDDOWN((B4/1000)^2)</f>
        <v>0</v>
      </c>
      <c r="C5" s="64" t="n">
        <f aca="false">ROUNDDOWN((C4/1000)^2)</f>
        <v>0</v>
      </c>
      <c r="D5" s="64" t="n">
        <f aca="false">ROUNDDOWN((D4/1000)^2)</f>
        <v>0</v>
      </c>
      <c r="E5" s="64" t="n">
        <f aca="false">ROUNDDOWN((E4/1000)^2)</f>
        <v>0</v>
      </c>
      <c r="F5" s="64" t="n">
        <f aca="false">ROUNDDOWN((F4/1000)^2)</f>
        <v>0</v>
      </c>
      <c r="G5" s="64" t="n">
        <f aca="false">ROUNDDOWN((G4/1000)^2)</f>
        <v>0</v>
      </c>
      <c r="H5" s="64" t="n">
        <f aca="false">ROUNDDOWN((H4/1000)^2)</f>
        <v>0</v>
      </c>
      <c r="I5" s="64" t="n">
        <f aca="false">ROUNDDOWN((I4/1000)^2)</f>
        <v>0</v>
      </c>
      <c r="J5" s="64" t="n">
        <f aca="false">ROUNDDOWN((J4/1000)^2)</f>
        <v>0</v>
      </c>
      <c r="K5" s="64" t="n">
        <f aca="false">ROUNDDOWN((K4/1000)^2)</f>
        <v>0</v>
      </c>
      <c r="L5" s="64" t="n">
        <f aca="false">ROUNDDOWN((L4/1000)^2)</f>
        <v>0</v>
      </c>
      <c r="M5" s="64" t="n">
        <f aca="false">ROUNDDOWN((M4/1000)^2)</f>
        <v>0</v>
      </c>
      <c r="N5" s="64" t="n">
        <f aca="false">ROUNDDOWN((N4/1000)^2)</f>
        <v>0</v>
      </c>
      <c r="O5" s="64" t="n">
        <f aca="false">ROUNDDOWN((O4/1000)^2)</f>
        <v>0</v>
      </c>
      <c r="P5" s="64" t="n">
        <f aca="false">ROUNDDOWN((P4/1000)^2)</f>
        <v>0</v>
      </c>
      <c r="Q5" s="12"/>
    </row>
    <row r="6" customFormat="false" ht="8.5" hidden="false" customHeight="true" outlineLevel="0" collapsed="false">
      <c r="A6" s="5" t="s">
        <v>10</v>
      </c>
      <c r="B6" s="20" t="n">
        <f aca="false">(B14*3+1)</f>
        <v>1</v>
      </c>
      <c r="C6" s="20" t="n">
        <f aca="false">(C14*3+1)</f>
        <v>1</v>
      </c>
      <c r="D6" s="20" t="n">
        <f aca="false">(D14*3+1)</f>
        <v>1</v>
      </c>
      <c r="E6" s="20" t="n">
        <f aca="false">(E14*3+1)</f>
        <v>1</v>
      </c>
      <c r="F6" s="20" t="n">
        <f aca="false">(F14*3+1)</f>
        <v>1</v>
      </c>
      <c r="G6" s="20" t="n">
        <f aca="false">(G14*3+1)</f>
        <v>1</v>
      </c>
      <c r="H6" s="20" t="n">
        <f aca="false">(H14*3+1)</f>
        <v>1</v>
      </c>
      <c r="I6" s="20" t="n">
        <f aca="false">(I14*3+1)</f>
        <v>1</v>
      </c>
      <c r="J6" s="20" t="n">
        <f aca="false">(J14*3+1)</f>
        <v>1</v>
      </c>
      <c r="K6" s="20" t="n">
        <f aca="false">(K14*3+1)</f>
        <v>1</v>
      </c>
      <c r="L6" s="20" t="n">
        <f aca="false">(L14*3+1)</f>
        <v>1</v>
      </c>
      <c r="M6" s="20" t="n">
        <f aca="false">(M14*3+1)</f>
        <v>1</v>
      </c>
      <c r="N6" s="20" t="n">
        <f aca="false">(N14*3+1)</f>
        <v>1</v>
      </c>
      <c r="O6" s="20" t="n">
        <f aca="false">(O14*3+1)</f>
        <v>1</v>
      </c>
      <c r="P6" s="20" t="n">
        <f aca="false">(P14*3+1)</f>
        <v>1</v>
      </c>
      <c r="Q6" s="16" t="n">
        <f aca="false">SUM(B6:P6)</f>
        <v>15</v>
      </c>
    </row>
    <row r="7" customFormat="false" ht="8.5" hidden="false" customHeight="true" outlineLevel="0" collapsed="false">
      <c r="A7" s="5" t="s">
        <v>14</v>
      </c>
      <c r="B7" s="20" t="n">
        <f aca="false">B6-(SUM(B9:B16))</f>
        <v>1</v>
      </c>
      <c r="C7" s="20" t="n">
        <f aca="false">C6-(SUM(C9:C16))</f>
        <v>1</v>
      </c>
      <c r="D7" s="20" t="n">
        <f aca="false">D6-(SUM(D9:D16))</f>
        <v>1</v>
      </c>
      <c r="E7" s="20" t="n">
        <f aca="false">E6-(SUM(E9:E16))</f>
        <v>1</v>
      </c>
      <c r="F7" s="20" t="n">
        <f aca="false">F6-(SUM(F9:F16))</f>
        <v>1</v>
      </c>
      <c r="G7" s="20" t="n">
        <f aca="false">G6-(SUM(G9:G16))</f>
        <v>1</v>
      </c>
      <c r="H7" s="20" t="n">
        <f aca="false">H6-(SUM(H9:H16))</f>
        <v>1</v>
      </c>
      <c r="I7" s="20" t="n">
        <f aca="false">I6-(SUM(I9:I16))</f>
        <v>1</v>
      </c>
      <c r="J7" s="20" t="n">
        <f aca="false">J6-(SUM(J9:J16))</f>
        <v>1</v>
      </c>
      <c r="K7" s="20" t="n">
        <f aca="false">K6-(SUM(K9:K16))</f>
        <v>1</v>
      </c>
      <c r="L7" s="20" t="n">
        <f aca="false">L6-(SUM(L9:L16))</f>
        <v>1</v>
      </c>
      <c r="M7" s="20" t="n">
        <f aca="false">M6-(SUM(M9:M16))</f>
        <v>1</v>
      </c>
      <c r="N7" s="20" t="n">
        <f aca="false">N6-(SUM(N9:N16))</f>
        <v>1</v>
      </c>
      <c r="O7" s="20" t="n">
        <f aca="false">O6-(SUM(O9:O16))</f>
        <v>1</v>
      </c>
      <c r="P7" s="20" t="n">
        <f aca="false">P6-(SUM(P9:P16))</f>
        <v>1</v>
      </c>
      <c r="Q7" s="16" t="n">
        <f aca="false">SUM(B7:P7)</f>
        <v>15</v>
      </c>
    </row>
    <row r="8" customFormat="false" ht="8.5" hidden="false" customHeight="true" outlineLevel="0" collapsed="false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customFormat="false" ht="8.5" hidden="false" customHeight="true" outlineLevel="0" collapsed="false">
      <c r="A9" s="5" t="s">
        <v>41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12" t="n">
        <f aca="false">SUM(B9:P9)</f>
        <v>0</v>
      </c>
    </row>
    <row r="10" customFormat="false" ht="8.5" hidden="false" customHeight="true" outlineLevel="0" collapsed="false">
      <c r="A10" s="5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12" t="n">
        <f aca="false">SUM(B10:P10)</f>
        <v>0</v>
      </c>
    </row>
    <row r="11" customFormat="false" ht="8.5" hidden="false" customHeight="true" outlineLevel="0" collapsed="false">
      <c r="A11" s="5" t="s">
        <v>45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12" t="n">
        <f aca="false">SUM(B11:P11)</f>
        <v>0</v>
      </c>
    </row>
    <row r="12" customFormat="false" ht="8.5" hidden="false" customHeight="true" outlineLevel="0" collapsed="false">
      <c r="A12" s="5" t="s">
        <v>47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12" t="n">
        <f aca="false">SUM(B12:P12)</f>
        <v>0</v>
      </c>
    </row>
    <row r="13" customFormat="false" ht="8.5" hidden="false" customHeight="true" outlineLevel="0" collapsed="false">
      <c r="A13" s="5" t="s">
        <v>51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12" t="n">
        <f aca="false">SUM(B13:P13)</f>
        <v>0</v>
      </c>
    </row>
    <row r="14" customFormat="false" ht="8.5" hidden="false" customHeight="true" outlineLevel="0" collapsed="false">
      <c r="A14" s="5" t="s">
        <v>98</v>
      </c>
      <c r="B14" s="45"/>
      <c r="C14" s="45"/>
      <c r="D14" s="4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12" t="n">
        <f aca="false">SUM(B14:P14)</f>
        <v>0</v>
      </c>
    </row>
    <row r="15" customFormat="false" ht="8.5" hidden="false" customHeight="true" outlineLevel="0" collapsed="false">
      <c r="A15" s="5" t="s">
        <v>99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12" t="n">
        <f aca="false">SUM(B15:P15)</f>
        <v>0</v>
      </c>
    </row>
    <row r="16" customFormat="false" ht="8.5" hidden="false" customHeight="true" outlineLevel="0" collapsed="false">
      <c r="A16" s="5" t="s">
        <v>100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12" t="n">
        <f aca="false">SUM(B16:P16)</f>
        <v>0</v>
      </c>
    </row>
    <row r="17" customFormat="false" ht="8.5" hidden="false" customHeight="true" outlineLevel="0" collapsed="false">
      <c r="A17" s="33" t="s">
        <v>66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customFormat="false" ht="8.5" hidden="false" customHeight="true" outlineLevel="0" collapsed="false">
      <c r="A18" s="5" t="s">
        <v>67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16" t="n">
        <f aca="false">SUM(B18:P18)</f>
        <v>0</v>
      </c>
    </row>
    <row r="19" customFormat="false" ht="8.5" hidden="false" customHeight="true" outlineLevel="0" collapsed="false">
      <c r="A19" s="5" t="s">
        <v>68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16" t="n">
        <f aca="false">SUM(B19:P19)</f>
        <v>0</v>
      </c>
    </row>
    <row r="20" customFormat="false" ht="8.5" hidden="false" customHeight="true" outlineLevel="0" collapsed="false">
      <c r="A20" s="5" t="s">
        <v>69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16" t="n">
        <f aca="false">SUM(B20:P20)</f>
        <v>0</v>
      </c>
    </row>
    <row r="21" customFormat="false" ht="8.5" hidden="false" customHeight="true" outlineLevel="0" collapsed="false">
      <c r="A21" s="5" t="s">
        <v>71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16" t="n">
        <f aca="false">SUM(B21:P21)</f>
        <v>0</v>
      </c>
    </row>
    <row r="22" customFormat="false" ht="8.5" hidden="false" customHeight="true" outlineLevel="0" collapsed="false">
      <c r="A22" s="5" t="s">
        <v>73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16" t="n">
        <f aca="false">SUM(B22:P22)</f>
        <v>0</v>
      </c>
    </row>
    <row r="23" customFormat="false" ht="8.5" hidden="false" customHeight="true" outlineLevel="0" collapsed="false">
      <c r="A23" s="5" t="s">
        <v>75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16" t="n">
        <f aca="false">SUM(B23:P23)</f>
        <v>0</v>
      </c>
    </row>
    <row r="24" customFormat="false" ht="8.5" hidden="false" customHeight="true" outlineLevel="0" collapsed="false">
      <c r="A24" s="5" t="s">
        <v>76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16" t="n">
        <f aca="false">SUM(B24:P24)</f>
        <v>0</v>
      </c>
    </row>
    <row r="25" customFormat="false" ht="8.5" hidden="false" customHeight="true" outlineLevel="0" collapsed="false">
      <c r="A25" s="5" t="s">
        <v>78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16" t="n">
        <f aca="false">SUM(B25:P25)</f>
        <v>0</v>
      </c>
    </row>
    <row r="26" customFormat="false" ht="8.5" hidden="false" customHeight="true" outlineLevel="0" collapsed="false">
      <c r="A26" s="5" t="s">
        <v>79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16" t="n">
        <f aca="false">SUM(B26:P26)</f>
        <v>0</v>
      </c>
    </row>
    <row r="27" customFormat="false" ht="8.5" hidden="false" customHeight="true" outlineLevel="0" collapsed="false">
      <c r="A27" s="5" t="s">
        <v>101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16" t="n">
        <f aca="false">SUM(B27:P27)</f>
        <v>0</v>
      </c>
    </row>
    <row r="28" customFormat="false" ht="8.5" hidden="false" customHeight="true" outlineLevel="0" collapsed="false">
      <c r="A28" s="5" t="s">
        <v>80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16" t="n">
        <f aca="false">SUM(B28:P28)</f>
        <v>0</v>
      </c>
    </row>
    <row r="29" customFormat="false" ht="8.5" hidden="false" customHeight="true" outlineLevel="0" collapsed="false">
      <c r="A29" s="5" t="s">
        <v>82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6" t="n">
        <f aca="false">SUM(B29:P29)</f>
        <v>0</v>
      </c>
    </row>
    <row r="30" customFormat="false" ht="8.5" hidden="false" customHeight="true" outlineLevel="0" collapsed="false">
      <c r="A30" s="5" t="s">
        <v>83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6" t="n">
        <f aca="false">SUM(B30:P30)</f>
        <v>0</v>
      </c>
    </row>
    <row r="31" customFormat="false" ht="8.5" hidden="false" customHeight="true" outlineLevel="0" collapsed="false">
      <c r="A31" s="5" t="s">
        <v>84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16" t="n">
        <f aca="false">SUM(B31:P31)</f>
        <v>0</v>
      </c>
    </row>
    <row r="32" customFormat="false" ht="8.5" hidden="false" customHeight="true" outlineLevel="0" collapsed="false">
      <c r="A32" s="33" t="s">
        <v>11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customFormat="false" ht="8.5" hidden="false" customHeight="true" outlineLevel="0" collapsed="false">
      <c r="A33" s="5" t="s">
        <v>85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16" t="n">
        <f aca="false">SUM(B33:P33)</f>
        <v>0</v>
      </c>
    </row>
    <row r="34" customFormat="false" ht="8.5" hidden="false" customHeight="true" outlineLevel="0" collapsed="false">
      <c r="A34" s="5" t="s">
        <v>86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6" t="n">
        <f aca="false">SUM(B34:P34)</f>
        <v>0</v>
      </c>
    </row>
    <row r="35" customFormat="false" ht="8.5" hidden="false" customHeight="true" outlineLevel="0" collapsed="false">
      <c r="A35" s="5" t="s">
        <v>87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16" t="n">
        <f aca="false">SUM(B35:P35)</f>
        <v>0</v>
      </c>
    </row>
    <row r="36" customFormat="false" ht="8.5" hidden="false" customHeight="true" outlineLevel="0" collapsed="false">
      <c r="A36" s="5" t="s">
        <v>88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16" t="n">
        <f aca="false">SUM(B36:P36)</f>
        <v>0</v>
      </c>
    </row>
    <row r="37" customFormat="false" ht="8.5" hidden="false" customHeight="true" outlineLevel="0" collapsed="false">
      <c r="A37" s="5" t="s">
        <v>25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16" t="n">
        <f aca="false">SUM(B37:P37)</f>
        <v>0</v>
      </c>
    </row>
    <row r="38" customFormat="false" ht="8.5" hidden="false" customHeight="true" outlineLevel="0" collapsed="false">
      <c r="A38" s="5" t="s">
        <v>27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6" t="n">
        <f aca="false">SUM(B38:P38)</f>
        <v>0</v>
      </c>
    </row>
    <row r="39" customFormat="false" ht="8.5" hidden="false" customHeight="true" outlineLevel="0" collapsed="false">
      <c r="A39" s="5" t="s">
        <v>89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16" t="n">
        <f aca="false">SUM(B39:P39)</f>
        <v>0</v>
      </c>
    </row>
    <row r="40" customFormat="false" ht="8.5" hidden="false" customHeight="true" outlineLevel="0" collapsed="false">
      <c r="A40" s="5" t="s">
        <v>90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16" t="n">
        <f aca="false">SUM(B40:P40)</f>
        <v>0</v>
      </c>
    </row>
  </sheetData>
  <mergeCells count="4">
    <mergeCell ref="A1:Q1"/>
    <mergeCell ref="A8:Q8"/>
    <mergeCell ref="A17:Q17"/>
    <mergeCell ref="A32:Q32"/>
  </mergeCells>
  <conditionalFormatting sqref="B7:P7">
    <cfRule type="cellIs" priority="2" operator="lessThanOrEqual" aboveAverage="0" equalAverage="0" bottom="0" percent="0" rank="0" text="" dxfId="0">
      <formula>5</formula>
    </cfRule>
    <cfRule type="cellIs" priority="3" operator="lessThanOrEqual" aboveAverage="0" equalAverage="0" bottom="0" percent="0" rank="0" text="" dxfId="1">
      <formula>15</formula>
    </cfRule>
    <cfRule type="cellIs" priority="4" operator="greaterThan" aboveAverage="0" equalAverage="0" bottom="0" percent="0" rank="0" text="" dxfId="2">
      <formula>15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4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RowHeight="12.8"/>
  <cols>
    <col collapsed="false" hidden="false" max="1" min="1" style="1" width="9.02551020408163"/>
    <col collapsed="false" hidden="false" max="2" min="2" style="1" width="5.15816326530612"/>
    <col collapsed="false" hidden="false" max="3" min="3" style="1" width="5.83163265306122"/>
    <col collapsed="false" hidden="false" max="4" min="4" style="1" width="8.18877551020408"/>
    <col collapsed="false" hidden="false" max="5" min="5" style="1" width="7.64795918367347"/>
    <col collapsed="false" hidden="false" max="6" min="6" style="1" width="7.14795918367347"/>
    <col collapsed="false" hidden="false" max="7" min="7" style="1" width="8.46938775510204"/>
    <col collapsed="false" hidden="false" max="8" min="8" style="1" width="7.91836734693878"/>
    <col collapsed="false" hidden="false" max="9" min="9" style="1" width="7.36224489795918"/>
    <col collapsed="false" hidden="false" max="10" min="10" style="1" width="7.64795918367347"/>
    <col collapsed="false" hidden="false" max="11" min="11" style="1" width="7.14795918367347"/>
    <col collapsed="false" hidden="false" max="12" min="12" style="1" width="8.75"/>
    <col collapsed="false" hidden="false" max="13" min="13" style="1" width="5.55102040816327"/>
    <col collapsed="false" hidden="false" max="14" min="14" style="1" width="8.16326530612245"/>
    <col collapsed="false" hidden="false" max="15" min="15" style="1" width="7.64795918367347"/>
    <col collapsed="false" hidden="false" max="16" min="16" style="1" width="7.14795918367347"/>
    <col collapsed="false" hidden="false" max="17" min="17" style="1" width="8.05612244897959"/>
    <col collapsed="false" hidden="false" max="18" min="18" style="1" width="7.49489795918367"/>
    <col collapsed="false" hidden="false" max="19" min="19" style="1" width="1.94387755102041"/>
    <col collapsed="false" hidden="false" max="21" min="20" style="1" width="9.8469387755102"/>
    <col collapsed="false" hidden="false" max="22" min="22" style="1" width="10.8367346938776"/>
    <col collapsed="false" hidden="false" max="1025" min="23" style="1" width="11.5204081632653"/>
  </cols>
  <sheetData>
    <row r="1" customFormat="false" ht="12.75" hidden="false" customHeight="true" outlineLevel="0" collapsed="false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T1" s="66" t="s">
        <v>103</v>
      </c>
      <c r="U1" s="66"/>
      <c r="V1" s="66"/>
      <c r="W1" s="66"/>
    </row>
    <row r="2" customFormat="false" ht="12.75" hidden="false" customHeight="true" outlineLevel="0" collapsed="false">
      <c r="A2" s="67"/>
      <c r="B2" s="67"/>
      <c r="C2" s="68" t="s">
        <v>104</v>
      </c>
      <c r="D2" s="68"/>
      <c r="E2" s="68"/>
      <c r="F2" s="68"/>
      <c r="G2" s="68"/>
      <c r="H2" s="69" t="s">
        <v>105</v>
      </c>
      <c r="I2" s="69"/>
      <c r="J2" s="69"/>
      <c r="K2" s="69"/>
      <c r="L2" s="69"/>
      <c r="M2" s="70" t="s">
        <v>106</v>
      </c>
      <c r="N2" s="70"/>
      <c r="O2" s="70"/>
      <c r="P2" s="70"/>
      <c r="Q2" s="70"/>
      <c r="R2" s="71"/>
      <c r="T2" s="72"/>
      <c r="U2" s="68" t="s">
        <v>21</v>
      </c>
      <c r="V2" s="69" t="s">
        <v>23</v>
      </c>
      <c r="W2" s="70" t="s">
        <v>24</v>
      </c>
    </row>
    <row r="3" customFormat="false" ht="12.75" hidden="false" customHeight="true" outlineLevel="0" collapsed="false">
      <c r="A3" s="73"/>
      <c r="B3" s="74" t="s">
        <v>107</v>
      </c>
      <c r="C3" s="75" t="s">
        <v>108</v>
      </c>
      <c r="D3" s="76" t="s">
        <v>109</v>
      </c>
      <c r="E3" s="77" t="s">
        <v>110</v>
      </c>
      <c r="F3" s="78" t="s">
        <v>27</v>
      </c>
      <c r="G3" s="79" t="s">
        <v>111</v>
      </c>
      <c r="H3" s="80" t="s">
        <v>108</v>
      </c>
      <c r="I3" s="81" t="s">
        <v>109</v>
      </c>
      <c r="J3" s="82" t="s">
        <v>110</v>
      </c>
      <c r="K3" s="83" t="s">
        <v>27</v>
      </c>
      <c r="L3" s="84" t="s">
        <v>111</v>
      </c>
      <c r="M3" s="85" t="s">
        <v>108</v>
      </c>
      <c r="N3" s="86" t="s">
        <v>109</v>
      </c>
      <c r="O3" s="87" t="s">
        <v>110</v>
      </c>
      <c r="P3" s="87" t="s">
        <v>27</v>
      </c>
      <c r="Q3" s="88" t="s">
        <v>112</v>
      </c>
      <c r="R3" s="71" t="s">
        <v>113</v>
      </c>
      <c r="T3" s="72" t="s">
        <v>114</v>
      </c>
      <c r="U3" s="68" t="n">
        <f aca="false">G19</f>
        <v>90</v>
      </c>
      <c r="V3" s="69" t="n">
        <f aca="false">L19</f>
        <v>45</v>
      </c>
      <c r="W3" s="70" t="n">
        <f aca="false">Q19</f>
        <v>0</v>
      </c>
    </row>
    <row r="4" customFormat="false" ht="12.75" hidden="false" customHeight="true" outlineLevel="0" collapsed="false">
      <c r="A4" s="89" t="n">
        <f aca="false">Planètes!B2</f>
        <v>0</v>
      </c>
      <c r="B4" s="90" t="n">
        <f aca="false">Planètes!B9</f>
        <v>40</v>
      </c>
      <c r="C4" s="91" t="n">
        <f aca="false">Planètes!B18</f>
        <v>0</v>
      </c>
      <c r="D4" s="92" t="n">
        <f aca="false"> (30*B29)+(ROUND(30 * C4 * 1.1^C4*1)*B29)</f>
        <v>90</v>
      </c>
      <c r="E4" s="93" t="n">
        <f aca="false">IF($B$31=1,0.1*((ROUND(30*$C4*1.1^$C4)*$B$29)),IF($B$31=2,0.12*((ROUND(30*$C4*1.1^$C4)*$B$29)),0))</f>
        <v>0</v>
      </c>
      <c r="F4" s="94" t="n">
        <f aca="false">ROUND(30 * C4 *1.1^C4*0.01 *Planètes!T15*1*B29)</f>
        <v>0</v>
      </c>
      <c r="G4" s="68" t="n">
        <f aca="false">SUM(D4:F4)</f>
        <v>90</v>
      </c>
      <c r="H4" s="95" t="n">
        <f aca="false">Planètes!B19</f>
        <v>0</v>
      </c>
      <c r="I4" s="96" t="n">
        <f aca="false">(15*B29)+(ROUND(20 * H4 *1.1^H4*(1*B29)))</f>
        <v>45</v>
      </c>
      <c r="J4" s="97" t="n">
        <f aca="false">IF($B$31=1,0.1*((ROUND(20*$H4*1.1^$H4)*$B$29)),IF($B$31=2,0.12*((ROUND(20*$H4*1.1^$H4*(1*$B$29),0)))))</f>
        <v>0</v>
      </c>
      <c r="K4" s="98" t="n">
        <f aca="false">ROUND(20 *H4*1.1^H4*0.0066*Planètes!T15*1)*B29</f>
        <v>0</v>
      </c>
      <c r="L4" s="69" t="n">
        <f aca="false">SUM(I4:K4)</f>
        <v>45</v>
      </c>
      <c r="M4" s="99" t="n">
        <f aca="false">Planètes!B20</f>
        <v>0</v>
      </c>
      <c r="N4" s="100" t="n">
        <f aca="false">(ROUND(10 * M4* 1.1 ^M4* (1.44 - 0.004 *Planètes!B9)*B29))</f>
        <v>0</v>
      </c>
      <c r="O4" s="101" t="n">
        <f aca="false">IF($B$31=1,0.1*((ROUND(10 * M4* 1.1 ^M4* (1.44 - 0.004 *Planètes!B9)*B29))),IF($B$31=2,0.12*((ROUND(10 * M4* 1.1 ^M4* (1.44 - 0.004 *Planètes!B9)*B29))),0))</f>
        <v>0</v>
      </c>
      <c r="P4" s="101" t="n">
        <f aca="false">ROUND(10 * $M4 *1.1^$M4*0.0033 *Planètes!$T$15*(1.44 - 0.004 *$B4)*$B$29)</f>
        <v>0</v>
      </c>
      <c r="Q4" s="70" t="n">
        <f aca="false">SUM(N4:P4)-ROUND(10*Planètes!B$22*1.1^Planètes!B$22*$B$29)</f>
        <v>0</v>
      </c>
      <c r="R4" s="102" t="n">
        <f aca="false">(G4*24)+(L4*24)+(Q4*24)</f>
        <v>3240</v>
      </c>
      <c r="T4" s="72" t="s">
        <v>115</v>
      </c>
      <c r="U4" s="68" t="n">
        <f aca="false">U3*24</f>
        <v>2160</v>
      </c>
      <c r="V4" s="69" t="n">
        <f aca="false">V3*24</f>
        <v>1080</v>
      </c>
      <c r="W4" s="70" t="n">
        <f aca="false">W3*24</f>
        <v>0</v>
      </c>
    </row>
    <row r="5" customFormat="false" ht="12.75" hidden="false" customHeight="true" outlineLevel="0" collapsed="false">
      <c r="A5" s="89" t="n">
        <f aca="false">Planètes!C2</f>
        <v>0</v>
      </c>
      <c r="B5" s="90" t="n">
        <f aca="false">Planètes!C9</f>
        <v>40</v>
      </c>
      <c r="C5" s="91" t="n">
        <f aca="false">Planètes!C18</f>
        <v>0</v>
      </c>
      <c r="D5" s="92" t="n">
        <f aca="false">IF(Planètes!T21&gt;=1,(30*B29)+(ROUND(30 * C5 * 1.1^C5)*B29))</f>
        <v>0</v>
      </c>
      <c r="E5" s="93" t="n">
        <f aca="false">IF(Planètes!$T$21&gt;=1,IF($B$31=1,0.1*((ROUND(30*$C5*1.1^$C5)*$B$29)),IF($B$31=2,0.12*((ROUND(30*$C5*1.1^$C5)*$B$29)),0)))</f>
        <v>0</v>
      </c>
      <c r="F5" s="94" t="n">
        <f aca="false">IF(Planètes!$T$21&gt;=1,ROUND(30 * C5 *1.1^C5*0.01 *Planètes!$T$15*1*$B$29))</f>
        <v>0</v>
      </c>
      <c r="G5" s="68" t="n">
        <f aca="false">IF(Planètes!T21&gt;=1,SUM(D5:F5))</f>
        <v>0</v>
      </c>
      <c r="H5" s="95" t="n">
        <f aca="false">Planètes!C19</f>
        <v>0</v>
      </c>
      <c r="I5" s="96" t="n">
        <f aca="false">IF(Planètes!T21&gt;=1,(15*B29)+(ROUND(20 * H5 *1.1^H5*(1*B29))))</f>
        <v>0</v>
      </c>
      <c r="J5" s="97" t="n">
        <f aca="false">IF(Planètes!$T$21&gt;=1,IF($B$31=1,0.1*((ROUND(20*$H5*1.1^$H5)*$B$29)),IF($B$31=2,0.12*((ROUND(20*$H5*1.1^$H5*(1*$B$29),0))))))</f>
        <v>0</v>
      </c>
      <c r="K5" s="98" t="n">
        <f aca="false">IF(Planètes!$T$21&gt;=1,ROUND(20 *H5*1.1^H5*0.0066*Planètes!$T$15*1*$B$29))</f>
        <v>0</v>
      </c>
      <c r="L5" s="69" t="n">
        <f aca="false">IF(Planètes!T21&gt;=1,SUM(I5:K5))</f>
        <v>0</v>
      </c>
      <c r="M5" s="99" t="n">
        <f aca="false">Planètes!C20</f>
        <v>0</v>
      </c>
      <c r="N5" s="100" t="n">
        <f aca="false">IF(Planètes!T21&gt;=1,ROUND(10 * M5* 1.1 ^M5* (1.44 - 0.004 *Planètes!C9)*B29))</f>
        <v>0</v>
      </c>
      <c r="O5" s="101" t="n">
        <f aca="false">IF(Planètes!$T$21&gt;=1,IF($B$31=1,0.1*(ROUND(10*$M5*1.1^$M5*(1.44-0.004*Planètes!C$9)*$B$29)),IF($B$31=2,0.12*(ROUND(10*$M5*1.1^$M5*(1.44-0.004*Planètes!C$9)*$B$29)),0)))</f>
        <v>0</v>
      </c>
      <c r="P5" s="101" t="n">
        <f aca="false">IF(Planètes!$T$21&gt;=1,ROUND(10 * $M5 *1.1^$M5*0.0033 *Planètes!$T$15*(1.44 - 0.004 *$B5)*$B$29))</f>
        <v>0</v>
      </c>
      <c r="Q5" s="70" t="n">
        <f aca="false">SUM(N5:P5)-ROUND(10*Planètes!C$22*1.1^Planètes!C$22*$B$29)</f>
        <v>0</v>
      </c>
      <c r="R5" s="102" t="n">
        <f aca="false">(G5*24)+(L5*24)+(Q5*24)</f>
        <v>0</v>
      </c>
      <c r="T5" s="72" t="s">
        <v>116</v>
      </c>
      <c r="U5" s="68" t="n">
        <f aca="false">U3*24*7</f>
        <v>15120</v>
      </c>
      <c r="V5" s="69" t="n">
        <f aca="false">V4*7</f>
        <v>7560</v>
      </c>
      <c r="W5" s="70" t="n">
        <f aca="false">W4*7</f>
        <v>0</v>
      </c>
    </row>
    <row r="6" customFormat="false" ht="12.75" hidden="false" customHeight="true" outlineLevel="0" collapsed="false">
      <c r="A6" s="89" t="n">
        <f aca="false">Planètes!D2</f>
        <v>0</v>
      </c>
      <c r="B6" s="90" t="n">
        <f aca="false">Planètes!D9</f>
        <v>40</v>
      </c>
      <c r="C6" s="91" t="n">
        <f aca="false">Planètes!D18</f>
        <v>0</v>
      </c>
      <c r="D6" s="92" t="n">
        <f aca="false"> IF(Planètes!T21&gt;=3,(30*B29)+(ROUND(30 * C6 * 1.1^C6)*B29))</f>
        <v>0</v>
      </c>
      <c r="E6" s="93" t="n">
        <f aca="false">IF(Planètes!$T$21&gt;=3,IF($B$31=1,0.1*((ROUND(30*$C6*1.1^$C6)*$B$29)),IF($B$31=2,0.12*((ROUND(30*$C6*1.1^$C6)*$B$29)),0)))</f>
        <v>0</v>
      </c>
      <c r="F6" s="94" t="n">
        <f aca="false">IF(Planètes!$T$21&gt;=3,ROUND(30 * C6 *1.1^C6*0.01 *Planètes!$T$15*1*$B$29))</f>
        <v>0</v>
      </c>
      <c r="G6" s="68" t="n">
        <f aca="false">IF(Planètes!T21&gt;=3,SUM(D6:F6))</f>
        <v>0</v>
      </c>
      <c r="H6" s="95" t="n">
        <f aca="false">Planètes!D19</f>
        <v>0</v>
      </c>
      <c r="I6" s="96" t="n">
        <f aca="false">IF(Planètes!T21&gt;=3,(15*B29)+(ROUND(20 * H6 *1.1^H6*(1*B29))))</f>
        <v>0</v>
      </c>
      <c r="J6" s="97" t="n">
        <f aca="false">IF(Planètes!$T$21&gt;=3,IF($B$31=1,0.1*((ROUND(20*$H6*1.1^$H6)*$B$29)),IF($B$31=2,0.12*((ROUND(20*$H6*1.1^$H6*(1*$B$29),0))))))</f>
        <v>0</v>
      </c>
      <c r="K6" s="98" t="n">
        <f aca="false">IF(Planètes!$T$21&gt;=3,ROUND(20 *H6*1.1^H6*0.0066*Planètes!$T$15*1*$B$29))</f>
        <v>0</v>
      </c>
      <c r="L6" s="69" t="n">
        <f aca="false">IF(Planètes!T21&gt;=3,SUM(I6:K6))</f>
        <v>0</v>
      </c>
      <c r="M6" s="99" t="n">
        <f aca="false">Planètes!D20</f>
        <v>0</v>
      </c>
      <c r="N6" s="100" t="n">
        <f aca="false">IF(Planètes!T21&gt;=3,ROUND(10 * M6* 1.1 ^M6* (1.44 - 0.004 *Planètes!D9)*B29))</f>
        <v>0</v>
      </c>
      <c r="O6" s="101" t="n">
        <f aca="false">IF(Planètes!$T$21&gt;=3,IF($B$31=1,0.1*(ROUND(10*$M6*1.1^$M6*(1.44-0.004*Planètes!D$9)*$B$29)),IF($B$31=2,0.12*(ROUND(10*$M6*1.1^$M6*(1.44-0.004*Planètes!D$9)*$B$29)),0)))</f>
        <v>0</v>
      </c>
      <c r="P6" s="101" t="n">
        <f aca="false">IF(Planètes!$T$21&gt;=3,ROUND(10 * $M6 *1.1^$M6*0.0033 *Planètes!$T$15*(1.44 - 0.004 *$B6)*$B$29))</f>
        <v>0</v>
      </c>
      <c r="Q6" s="70" t="n">
        <f aca="false">SUM(N6:P6)-ROUND(10*Planètes!D$22*1.1^Planètes!D$22*$B$29)</f>
        <v>0</v>
      </c>
      <c r="R6" s="102" t="n">
        <f aca="false">(G6*24)+(L6*24)+(Q6*24)</f>
        <v>0</v>
      </c>
      <c r="T6" s="72" t="s">
        <v>117</v>
      </c>
      <c r="U6" s="68" t="n">
        <f aca="false">U4*30.41667</f>
        <v>65700.0072</v>
      </c>
      <c r="V6" s="69" t="n">
        <f aca="false">V4*30.41667</f>
        <v>32850.0036</v>
      </c>
      <c r="W6" s="70" t="n">
        <f aca="false">W4*30.41667</f>
        <v>0</v>
      </c>
    </row>
    <row r="7" customFormat="false" ht="12.75" hidden="false" customHeight="true" outlineLevel="0" collapsed="false">
      <c r="A7" s="89" t="n">
        <f aca="false">Planètes!E2</f>
        <v>0</v>
      </c>
      <c r="B7" s="90" t="n">
        <f aca="false">Planètes!E9</f>
        <v>40</v>
      </c>
      <c r="C7" s="91" t="n">
        <f aca="false">Planètes!E18</f>
        <v>0</v>
      </c>
      <c r="D7" s="92" t="n">
        <f aca="false"> IF(Planètes!T21&gt;=5,(30*B29)+(ROUND(30 * C7 * 1.1^C7)*B29))</f>
        <v>0</v>
      </c>
      <c r="E7" s="93" t="n">
        <f aca="false">IF(Planètes!$T$21&gt;=5,IF($B$31=1,0.1*((ROUND(30*$C7*1.1^$C7)*$B$29)),IF($B$31=2,0.12*((ROUND(30*$C7*1.1^$C7)*$B$29)),0)))</f>
        <v>0</v>
      </c>
      <c r="F7" s="94" t="n">
        <f aca="false">IF(Planètes!$T$21&gt;=5,ROUND(30 * C7 *1.1^C7*0.01 *Planètes!$T$15*1*$B$29))</f>
        <v>0</v>
      </c>
      <c r="G7" s="68" t="n">
        <f aca="false">IF(Planètes!T21&gt;=5,SUM(D7:F7))</f>
        <v>0</v>
      </c>
      <c r="H7" s="95" t="n">
        <f aca="false">Planètes!E19</f>
        <v>0</v>
      </c>
      <c r="I7" s="96" t="n">
        <f aca="false">IF(Planètes!T21&gt;=5,(15*B29)+(ROUND(20 * H7 *1.1^H7*(1*B29))))</f>
        <v>0</v>
      </c>
      <c r="J7" s="97" t="n">
        <f aca="false">IF(Planètes!$T$21&gt;=5,IF($B$31=1,0.1*((ROUND(20*$H7*1.1^$H7)*$B$29)),IF($B$31=2,0.12*((ROUND(20*$H7*1.1^$H7*(1*$B$29),0))))))</f>
        <v>0</v>
      </c>
      <c r="K7" s="98" t="n">
        <f aca="false">IF(Planètes!$T$21&gt;=5,ROUND(20 *H7*1.1^H7*0.0066*Planètes!$T$15*1*$B$29))</f>
        <v>0</v>
      </c>
      <c r="L7" s="69" t="n">
        <f aca="false">IF(Planètes!T21&gt;=5,SUM(I7:K7))</f>
        <v>0</v>
      </c>
      <c r="M7" s="99" t="n">
        <f aca="false">Planètes!E20</f>
        <v>0</v>
      </c>
      <c r="N7" s="100" t="n">
        <f aca="false">IF(Planètes!T21&gt;=5,ROUND(10 * M7* 1.1 ^M7* (1.44 - 0.004 *Planètes!E9)*B29))</f>
        <v>0</v>
      </c>
      <c r="O7" s="101" t="n">
        <f aca="false">IF(Planètes!$T$21&gt;=5,IF($B$31=1,0.1*(ROUND(10*$M7*1.1^$M7*(1.44-0.004*Planètes!E$9)*$B$29)),IF($B$31=2,0.12*(ROUND(10*$M7*1.1^$M7*(1.44-0.004*Planètes!E$9)*$B$29)),0)))</f>
        <v>0</v>
      </c>
      <c r="P7" s="101" t="n">
        <f aca="false">IF(Planètes!$T$21&gt;=5,ROUND(10 * $M7 *1.1^$M7*0.0033 *Planètes!$T$15*(1.44 - 0.004 *$B7)*$B$29))</f>
        <v>0</v>
      </c>
      <c r="Q7" s="70" t="n">
        <f aca="false">SUM(N7:P7)-ROUND(10*Planètes!E$22*1.1^Planètes!E$22*$B$29)</f>
        <v>0</v>
      </c>
      <c r="R7" s="102" t="n">
        <f aca="false">(G7*24)+(L7*24)+(Q7*24)</f>
        <v>0</v>
      </c>
      <c r="T7" s="72" t="s">
        <v>118</v>
      </c>
      <c r="U7" s="68" t="n">
        <f aca="false">U4*365</f>
        <v>788400</v>
      </c>
      <c r="V7" s="69" t="n">
        <f aca="false">V4*365</f>
        <v>394200</v>
      </c>
      <c r="W7" s="70" t="n">
        <f aca="false">W4*365</f>
        <v>0</v>
      </c>
    </row>
    <row r="8" customFormat="false" ht="12.75" hidden="false" customHeight="true" outlineLevel="0" collapsed="false">
      <c r="A8" s="89" t="n">
        <f aca="false">Planètes!F2</f>
        <v>0</v>
      </c>
      <c r="B8" s="90" t="n">
        <f aca="false">Planètes!F9</f>
        <v>40</v>
      </c>
      <c r="C8" s="91" t="n">
        <f aca="false">Planètes!F18</f>
        <v>0</v>
      </c>
      <c r="D8" s="92" t="n">
        <f aca="false"> IF(Planètes!T21&gt;=7,(30*B29)+(ROUND(30 * C8 * 1.1^C8)*B29))</f>
        <v>0</v>
      </c>
      <c r="E8" s="93" t="n">
        <f aca="false">IF(Planètes!$T$21&gt;=7,IF($B$31=1,0.1*((ROUND(30*$C8*1.1^$C8)*$B$29)),IF($B$31=2,0.12*((ROUND(30*$C8*1.1^$C8)*$B$29)),0)))</f>
        <v>0</v>
      </c>
      <c r="F8" s="94" t="n">
        <f aca="false">IF(Planètes!$T$21&gt;=7,ROUND(30 * C8 *1.1^C8*0.01 *Planètes!$T$15*1*$B$29))</f>
        <v>0</v>
      </c>
      <c r="G8" s="68" t="n">
        <f aca="false">IF(Planètes!T21&gt;=7,SUM(D8:F8))</f>
        <v>0</v>
      </c>
      <c r="H8" s="95" t="n">
        <f aca="false">Planètes!F19</f>
        <v>0</v>
      </c>
      <c r="I8" s="96" t="n">
        <f aca="false">IF(Planètes!T21&gt;=7,(15*B29)+(ROUND(20 * H8 *1.1^H8*(1*B29))))</f>
        <v>0</v>
      </c>
      <c r="J8" s="97" t="n">
        <f aca="false">IF(Planètes!$T$21&gt;=7,IF($B$31=1,0.1*((ROUND(20*$H8*1.1^$H8)*$B$29)),IF($B$31=2,0.12*((ROUND(20*$H8*1.1^$H8*(1*$B$29),0))))))</f>
        <v>0</v>
      </c>
      <c r="K8" s="98" t="n">
        <f aca="false">IF(Planètes!$T$21&gt;=7,ROUND(20 *H8*1.1^H8*0.0066*Planètes!$T$15*1*$B$29))</f>
        <v>0</v>
      </c>
      <c r="L8" s="69" t="n">
        <f aca="false">IF(Planètes!T21&gt;=7,SUM(I8:K8))</f>
        <v>0</v>
      </c>
      <c r="M8" s="99" t="n">
        <f aca="false">Planètes!F20</f>
        <v>0</v>
      </c>
      <c r="N8" s="100" t="n">
        <f aca="false">IF(Planètes!T21&gt;=7,ROUND(10 * M8* 1.1 ^M8* (1.44 - 0.004 *Planètes!F9)*B29))</f>
        <v>0</v>
      </c>
      <c r="O8" s="101" t="n">
        <f aca="false">IF(Planètes!$T$21&gt;=7,IF($B$31=1,0.1*(ROUND(10*$M8*1.1^$M8*(1.44-0.004*Planètes!F$9)*$B$29)),IF($B$31=2,0.12*(ROUND(10*$M8*1.1^$M8*(1.44-0.004*Planètes!F$9)*$B$29)),0)))</f>
        <v>0</v>
      </c>
      <c r="P8" s="101" t="n">
        <f aca="false">IF(Planètes!$T$21&gt;=7,ROUND(10 * $M8 *1.1^$M8*0.0033 *Planètes!$T$15*(1.44 - 0.004 *$B8)*$B$29))</f>
        <v>0</v>
      </c>
      <c r="Q8" s="70" t="n">
        <f aca="false">SUM(N8:P8)-ROUND(10*Planètes!F$22*1.1^Planètes!F$22*$B$29)</f>
        <v>0</v>
      </c>
      <c r="R8" s="102" t="n">
        <f aca="false">(G8*24)+(L8*24)+(Q8*24)</f>
        <v>0</v>
      </c>
      <c r="T8" s="72" t="s">
        <v>119</v>
      </c>
      <c r="U8" s="103" t="n">
        <f aca="false">U4/R19</f>
        <v>0.666666666666667</v>
      </c>
      <c r="V8" s="104" t="n">
        <f aca="false">V4/R19</f>
        <v>0.333333333333333</v>
      </c>
      <c r="W8" s="105" t="n">
        <f aca="false">W4/R19</f>
        <v>0</v>
      </c>
    </row>
    <row r="9" customFormat="false" ht="12.75" hidden="false" customHeight="true" outlineLevel="0" collapsed="false">
      <c r="A9" s="89" t="n">
        <f aca="false">Planètes!G2</f>
        <v>0</v>
      </c>
      <c r="B9" s="90" t="n">
        <f aca="false">Planètes!G9</f>
        <v>40</v>
      </c>
      <c r="C9" s="91" t="n">
        <f aca="false">Planètes!G18</f>
        <v>0</v>
      </c>
      <c r="D9" s="92" t="n">
        <f aca="false"> IF(Planètes!T21&gt;=9,(30*B29)+(ROUND(30 * C9 * 1.1^C9)*B29))</f>
        <v>0</v>
      </c>
      <c r="E9" s="93" t="n">
        <f aca="false">IF(Planètes!$T$21&gt;=9,IF($B$31=1,0.1*((ROUND(30*$C9*1.1^$C9)*$B$29)),IF($B$31=2,0.12*((ROUND(30*$C9*1.1^$C9)*$B$29)),0)))</f>
        <v>0</v>
      </c>
      <c r="F9" s="94" t="n">
        <f aca="false">IF(Planètes!$T$21&gt;=9,ROUND(30 * C9 *1.1^C9*0.01 *Planètes!$T$15*1*$B$29))</f>
        <v>0</v>
      </c>
      <c r="G9" s="68" t="n">
        <f aca="false">IF(Planètes!T21&gt;=9,SUM(D9:F9))</f>
        <v>0</v>
      </c>
      <c r="H9" s="95" t="n">
        <f aca="false">Planètes!G19</f>
        <v>0</v>
      </c>
      <c r="I9" s="96" t="n">
        <f aca="false">IF(Planètes!T21&gt;=9,(15*B29)+(ROUND(20 * H9 *1.1^H9*(1*B29))))</f>
        <v>0</v>
      </c>
      <c r="J9" s="97" t="n">
        <f aca="false">IF(Planètes!$T$21&gt;=9,IF($B$31=1,0.1*((ROUND(20*$H9*1.1^$H9)*$B$29)),IF($B$31=2,0.12*((ROUND(20*$H9*1.1^$H9*(1*$B$29),0))))))</f>
        <v>0</v>
      </c>
      <c r="K9" s="98" t="n">
        <f aca="false">IF(Planètes!$T$21&gt;=9,ROUND(20 *H9*1.1^H9*0.0066*Planètes!$T$15*1*$B$29))</f>
        <v>0</v>
      </c>
      <c r="L9" s="69" t="n">
        <f aca="false">IF(Planètes!T21&gt;=9,SUM(I9:K9))</f>
        <v>0</v>
      </c>
      <c r="M9" s="99" t="n">
        <f aca="false">Planètes!G20</f>
        <v>0</v>
      </c>
      <c r="N9" s="100" t="n">
        <f aca="false">IF(Planètes!T21&gt;=9,ROUND(10 * M9* 1.1 ^M9* (1.44 - 0.004 *Planètes!G9)*B29))</f>
        <v>0</v>
      </c>
      <c r="O9" s="101" t="n">
        <f aca="false">IF(Planètes!$T$21&gt;=9,IF($B$31=1,0.1*(ROUND(10*$M9*1.1^$M9*(1.44-0.004*Planètes!G$9)*$B$29)),IF($B$31=2,0.12*(ROUND(10*$M9*1.1^$M9*(1.44-0.004*Planètes!G$9)*$B$29)),0)))</f>
        <v>0</v>
      </c>
      <c r="P9" s="101" t="n">
        <f aca="false">IF(Planètes!$T$21&gt;=9,ROUND(10 * $M9 *1.1^$M9*0.0033 *Planètes!$T$15*(1.44 - 0.004 *$B9)*$B$29))</f>
        <v>0</v>
      </c>
      <c r="Q9" s="70" t="n">
        <f aca="false">SUM(N9:P9)-ROUND(10*Planètes!G$22*1.1^Planètes!G$22*$B$29)</f>
        <v>0</v>
      </c>
      <c r="R9" s="102" t="n">
        <f aca="false">(G9*24)+(L9*24)+(Q9*24)</f>
        <v>0</v>
      </c>
    </row>
    <row r="10" customFormat="false" ht="12.75" hidden="false" customHeight="true" outlineLevel="0" collapsed="false">
      <c r="A10" s="89" t="n">
        <f aca="false">Planètes!H2</f>
        <v>0</v>
      </c>
      <c r="B10" s="90" t="n">
        <f aca="false">Planètes!H9</f>
        <v>40</v>
      </c>
      <c r="C10" s="91" t="n">
        <f aca="false">Planètes!H18</f>
        <v>0</v>
      </c>
      <c r="D10" s="92" t="n">
        <f aca="false"> IF(Planètes!T21&gt;=11,(30*B29)+(ROUND(30 * C10 * 1.1^C10)*B29))</f>
        <v>0</v>
      </c>
      <c r="E10" s="93" t="n">
        <f aca="false">IF(Planètes!$T$21&gt;=11,IF($B$31=1,0.1*((ROUND(30*$C10*1.1^$C10)*$B$29)),IF($B$31=2,0.12*((ROUND(30*$C10*1.1^$C10)*$B$29)),0)))</f>
        <v>0</v>
      </c>
      <c r="F10" s="94" t="n">
        <f aca="false">IF(Planètes!$T$21&gt;=11,ROUND(30 * C10 *1.1^C10*0.01 *Planètes!$T$15*1*$B$29))</f>
        <v>0</v>
      </c>
      <c r="G10" s="68" t="n">
        <f aca="false">IF(Planètes!T21&gt;=11,SUM(D10:F10))</f>
        <v>0</v>
      </c>
      <c r="H10" s="95" t="n">
        <f aca="false">Planètes!H19</f>
        <v>0</v>
      </c>
      <c r="I10" s="96" t="n">
        <f aca="false">IF(Planètes!T21&gt;=11,(15*B29)+(ROUND(20 * H10 *1.1^H10*(1*B29))))</f>
        <v>0</v>
      </c>
      <c r="J10" s="97" t="n">
        <f aca="false">IF(Planètes!$T$21&gt;=11,IF($B$31=1,0.1*((ROUND(20*$H10*1.1^$H10)*$B$29)),IF($B$31=2,0.12*((ROUND(20*$H10*1.1^$H10*(1*$B$29),0))))))</f>
        <v>0</v>
      </c>
      <c r="K10" s="98" t="n">
        <f aca="false">IF(Planètes!$T$21&gt;=11,ROUND(20 *H10*1.1^H10*0.0066*Planètes!$T$15*1*$B$29))</f>
        <v>0</v>
      </c>
      <c r="L10" s="69" t="n">
        <f aca="false">IF(Planètes!T21&gt;=11,SUM(I10:K10))</f>
        <v>0</v>
      </c>
      <c r="M10" s="99" t="n">
        <f aca="false">Planètes!H20</f>
        <v>0</v>
      </c>
      <c r="N10" s="100" t="n">
        <f aca="false">IF(Planètes!T21&gt;=11,ROUND(10 * M10* 1.1 ^M10* (1.44 - 0.004 *Planètes!H9)*B29))</f>
        <v>0</v>
      </c>
      <c r="O10" s="101" t="n">
        <f aca="false">IF(Planètes!$T$21&gt;=11,IF($B$31=1,0.1*(ROUND(10*$M10*1.1^$M10*(1.44-0.004*Planètes!H$9)*$B$29)),IF($B$31=2,0.12*(ROUND(10*$M10*1.1^$M10*(1.44-0.004*Planètes!H$9)*$B$29)),0)))</f>
        <v>0</v>
      </c>
      <c r="P10" s="101" t="n">
        <f aca="false">IF(Planètes!$T$21&gt;=11,ROUND(10 * $M10 *1.1^$M10*0.0033 *Planètes!$T$15*(1.44 - 0.004 *$B10)*$B$29))</f>
        <v>0</v>
      </c>
      <c r="Q10" s="70" t="n">
        <f aca="false">SUM(N10:P10)-ROUND(10*Planètes!H$22*1.1^Planètes!H$22*$B$29)</f>
        <v>0</v>
      </c>
      <c r="R10" s="102" t="n">
        <f aca="false">(G10*24)+(L10*24)+(Q10*24)</f>
        <v>0</v>
      </c>
      <c r="T10" s="66" t="s">
        <v>120</v>
      </c>
      <c r="U10" s="66"/>
      <c r="V10" s="66"/>
      <c r="W10" s="66"/>
    </row>
    <row r="11" customFormat="false" ht="12.75" hidden="false" customHeight="true" outlineLevel="0" collapsed="false">
      <c r="A11" s="89" t="n">
        <f aca="false">Planètes!I2</f>
        <v>0</v>
      </c>
      <c r="B11" s="90" t="n">
        <f aca="false">Planètes!I9</f>
        <v>40</v>
      </c>
      <c r="C11" s="91" t="n">
        <f aca="false">Planètes!I18</f>
        <v>0</v>
      </c>
      <c r="D11" s="92" t="n">
        <f aca="false"> IF(Planètes!T21&gt;=13,(30*B29)+(ROUND(30 * C11 * 1.1^C11)*B29))</f>
        <v>0</v>
      </c>
      <c r="E11" s="93" t="n">
        <f aca="false">IF(Planètes!$T$21&gt;=13,IF($B$31=1,0.1*((ROUND(30*$C11*1.1^$C11)*$B$29)),IF($B$31=2,0.12*((ROUND(30*$C11*1.1^$C11)*$B$29)),0)))</f>
        <v>0</v>
      </c>
      <c r="F11" s="94" t="n">
        <f aca="false">IF(Planètes!$T$21&gt;=13,ROUND(30 * C11 *1.1^C11*0.01 *Planètes!$T$15*1*$B$29))</f>
        <v>0</v>
      </c>
      <c r="G11" s="68" t="n">
        <f aca="false">IF(Planètes!T21&gt;=13,SUM(D11:F11))</f>
        <v>0</v>
      </c>
      <c r="H11" s="95" t="n">
        <f aca="false">Planètes!I19</f>
        <v>0</v>
      </c>
      <c r="I11" s="96" t="n">
        <f aca="false">IF(Planètes!T21&gt;=13,(15*B29)+(ROUND(20 * H11 *1.1^H11*(1*B29))))</f>
        <v>0</v>
      </c>
      <c r="J11" s="97" t="n">
        <f aca="false">IF(Planètes!$T$21&gt;=13,IF($B$31=1,0.1*((ROUND(20*$H11*1.1^$H11)*$B$29)),IF($B$31=2,0.12*((ROUND(20*$H11*1.1^$H11*(1*$B$29),0))))))</f>
        <v>0</v>
      </c>
      <c r="K11" s="98" t="n">
        <f aca="false">IF(Planètes!$T$21&gt;=13,ROUND(20 *H11*1.1^H11*0.0066*Planètes!$T$15*1*$B$29))</f>
        <v>0</v>
      </c>
      <c r="L11" s="69" t="n">
        <f aca="false">IF(Planètes!T21&gt;=13,SUM(I11:K11))</f>
        <v>0</v>
      </c>
      <c r="M11" s="99" t="n">
        <f aca="false">Planètes!I20</f>
        <v>0</v>
      </c>
      <c r="N11" s="100" t="n">
        <f aca="false">IF(Planètes!T21&gt;=13,ROUND(10 * M11* 1.1 ^M11* (1.44 - 0.004 *Planètes!I9)*B29))</f>
        <v>0</v>
      </c>
      <c r="O11" s="101" t="n">
        <f aca="false">IF(Planètes!$T$21&gt;=13,IF($B$31=1,0.1*(ROUND(10*$M11*1.1^$M11*(1.44-0.004*Planètes!I$9)*$B$29)),IF($B$31=2,0.12*(ROUND(10*$M11*1.1^$M11*(1.44-0.004*Planètes!I$9)*$B$29)),0)))</f>
        <v>0</v>
      </c>
      <c r="P11" s="101" t="n">
        <f aca="false">IF(Planètes!$T$21&gt;=13,ROUND(10 * $M11 *1.1^$M11*0.0033 *Planètes!$T$15*(1.44 - 0.004 *$B11)*$B$29))</f>
        <v>0</v>
      </c>
      <c r="Q11" s="70" t="n">
        <f aca="false">SUM(N11:P11)-ROUND(10*Planètes!I$22*1.1^Planètes!I$22*$B$29)</f>
        <v>0</v>
      </c>
      <c r="R11" s="102" t="n">
        <f aca="false">(G11*24)+(L11*24)+(Q11*24)</f>
        <v>0</v>
      </c>
      <c r="T11" s="16" t="s">
        <v>121</v>
      </c>
      <c r="U11" s="16" t="s">
        <v>122</v>
      </c>
      <c r="V11" s="16" t="s">
        <v>123</v>
      </c>
      <c r="W11" s="16" t="s">
        <v>120</v>
      </c>
    </row>
    <row r="12" customFormat="false" ht="12.75" hidden="false" customHeight="true" outlineLevel="0" collapsed="false">
      <c r="A12" s="89" t="n">
        <f aca="false">Planètes!J2</f>
        <v>0</v>
      </c>
      <c r="B12" s="90" t="n">
        <f aca="false">Planètes!J9</f>
        <v>40</v>
      </c>
      <c r="C12" s="91" t="n">
        <f aca="false">Planètes!J18</f>
        <v>0</v>
      </c>
      <c r="D12" s="92" t="n">
        <f aca="false"> IF(Planètes!T21&gt;=15,(30*B29)+(ROUND(30 * C12 * 1.1^C12)*B29))</f>
        <v>0</v>
      </c>
      <c r="E12" s="93" t="n">
        <f aca="false">IF(Planètes!$T$21&gt;=15,IF($B$31=1,0.1*((ROUND(30*$C12*1.1^$C12)*$B$29)),IF($B$31=2,0.12*((ROUND(30*$C12*1.1^$C12)*$B$29)),0)))</f>
        <v>0</v>
      </c>
      <c r="F12" s="94" t="n">
        <f aca="false">IF(Planètes!$T$21&gt;=15,ROUND(30 * C12 *1.1^C12*0.01 *Planètes!$T$15*1*$B$29))</f>
        <v>0</v>
      </c>
      <c r="G12" s="68" t="n">
        <f aca="false">IF(Planètes!T21&gt;=15,SUM(D12:F12))</f>
        <v>0</v>
      </c>
      <c r="H12" s="95" t="n">
        <f aca="false">Planètes!J19</f>
        <v>0</v>
      </c>
      <c r="I12" s="96" t="n">
        <f aca="false">IF(Planètes!T21&gt;=15,(15*B29)+(ROUND(20 * H12 *1.1^H12*(1*B29))))</f>
        <v>0</v>
      </c>
      <c r="J12" s="97" t="n">
        <f aca="false">IF(Planètes!$T$21&gt;=15,IF($B$31=1,0.1*((ROUND(20*$H12*1.1^$H12)*$B$29)),IF($B$31=2,0.12*((ROUND(20*$H12*1.1^$H12*(1*$B$29),0))))))</f>
        <v>0</v>
      </c>
      <c r="K12" s="98" t="n">
        <f aca="false">IF(Planètes!$T$21&gt;=15,ROUND(20 *H12*1.1^H12*0.0066*Planètes!$T$15*1*$B$29))</f>
        <v>0</v>
      </c>
      <c r="L12" s="69" t="n">
        <f aca="false">IF(Planètes!T21&gt;=15,SUM(I12:K12))</f>
        <v>0</v>
      </c>
      <c r="M12" s="99" t="n">
        <f aca="false">Planètes!J20</f>
        <v>0</v>
      </c>
      <c r="N12" s="100" t="n">
        <f aca="false">IF(Planètes!T21&gt;=15,ROUND(10 * M12* 1.1 ^M12* (1.44 - 0.004 *Planètes!J9)*B29))</f>
        <v>0</v>
      </c>
      <c r="O12" s="101" t="n">
        <f aca="false">IF(Planètes!$T$21&gt;=15,IF($B$31=1,0.1*(ROUND(10*$M12*1.1^$M12*(1.44-0.004*Planètes!J$9)*$B$29)),IF($B$31=2,0.12*(ROUND(10*$M12*1.1^$M12*(1.44-0.004*Planètes!J$9)*$B$29)),0)))</f>
        <v>0</v>
      </c>
      <c r="P12" s="101" t="n">
        <f aca="false">IF(Planètes!$T$21&gt;=15,ROUND(10 * $M12 *1.1^$M12*0.0033 *Planètes!$T$15*(1.44 - 0.004 *$B12)*$B$29))</f>
        <v>0</v>
      </c>
      <c r="Q12" s="70" t="n">
        <f aca="false">SUM(N12:P12)-ROUND(10*Planètes!J$22*1.1^Planètes!J$22*$B$29)</f>
        <v>0</v>
      </c>
      <c r="R12" s="102" t="n">
        <f aca="false">(G12*24)+(L12*24)+(Q12*24)</f>
        <v>0</v>
      </c>
      <c r="T12" s="16" t="s">
        <v>21</v>
      </c>
      <c r="U12" s="106" t="n">
        <f aca="false">J24</f>
        <v>1</v>
      </c>
      <c r="V12" s="16" t="n">
        <f aca="false">K24+1.4*L24</f>
        <v>81</v>
      </c>
      <c r="W12" s="107" t="n">
        <f aca="false">(N24/V12)*100000</f>
        <v>122222.222222222</v>
      </c>
    </row>
    <row r="13" customFormat="false" ht="12.75" hidden="false" customHeight="true" outlineLevel="0" collapsed="false">
      <c r="A13" s="89" t="n">
        <f aca="false">Planètes!K2</f>
        <v>0</v>
      </c>
      <c r="B13" s="90" t="n">
        <f aca="false">Planètes!K9</f>
        <v>40</v>
      </c>
      <c r="C13" s="91" t="n">
        <f aca="false">Planètes!K18</f>
        <v>0</v>
      </c>
      <c r="D13" s="92" t="n">
        <f aca="false"> IF(Planètes!T21&gt;=17,(30*B29)+(ROUND(30 * C13 * 1.1^C13)*B29))</f>
        <v>0</v>
      </c>
      <c r="E13" s="93" t="n">
        <f aca="false">IF(Planètes!$T$21&gt;=17,IF($B$31=1,0.1*((ROUND(30*$C13*1.1^$C13)*$B$29)),IF($B$31=2,0.12*((ROUND(30*$C13*1.1^$C13)*$B$29)),0)))</f>
        <v>0</v>
      </c>
      <c r="F13" s="94" t="n">
        <f aca="false">IF(Planètes!$T$21&gt;=17,ROUND(30 * C13 *1.1^C13*0.01 *Planètes!$T$15*1*$B$29))</f>
        <v>0</v>
      </c>
      <c r="G13" s="68" t="n">
        <f aca="false">IF(Planètes!T21&gt;=17,SUM(D13:F13))</f>
        <v>0</v>
      </c>
      <c r="H13" s="95" t="n">
        <f aca="false">Planètes!K19</f>
        <v>0</v>
      </c>
      <c r="I13" s="96" t="n">
        <f aca="false">IF(Planètes!T21&gt;=17,(15*B29)+(ROUND(20 * H13 *1.1^H13*(1*B29))))</f>
        <v>0</v>
      </c>
      <c r="J13" s="97" t="n">
        <f aca="false">IF(Planètes!$T$21&gt;=17,IF($B$31=1,0.1*((ROUND(20*$H13*1.1^$H13)*$B$29)),IF($B$31=2,0.12*((ROUND(20*$H13*1.1^$H13*(1*$B$29),0))))))</f>
        <v>0</v>
      </c>
      <c r="K13" s="98" t="n">
        <f aca="false">IF(Planètes!$T$21&gt;=17,ROUND(20 *H13*1.1^H13*0.0066*Planètes!$T$15*1*$B$29))</f>
        <v>0</v>
      </c>
      <c r="L13" s="69" t="n">
        <f aca="false">IF(Planètes!T21&gt;=17,SUM(I13:K13))</f>
        <v>0</v>
      </c>
      <c r="M13" s="99" t="n">
        <f aca="false">Planètes!K20</f>
        <v>0</v>
      </c>
      <c r="N13" s="100" t="n">
        <f aca="false">IF(Planètes!T21&gt;=17,ROUND(10 * M13* 1.1 ^M13* (1.44 - 0.004 *Planètes!K9)*B29))</f>
        <v>0</v>
      </c>
      <c r="O13" s="101" t="n">
        <f aca="false">IF(Planètes!$T$21&gt;=17,IF($B$31=1,0.1*(ROUND(10*$M13*1.1^$M13*(1.44-0.004*Planètes!K$9)*$B$29)),IF($B$31=2,0.12*(ROUND(10*$M13*1.1^$M13*(1.44-0.004*Planètes!K$9)*$B$29)),0)))</f>
        <v>0</v>
      </c>
      <c r="P13" s="101" t="n">
        <f aca="false">IF(Planètes!$T$21&gt;=17,ROUND(10 * $M13 *1.1^$M13*0.0033 *Planètes!$T$15*(1.44 - 0.004 *$B13)*$B$29))</f>
        <v>0</v>
      </c>
      <c r="Q13" s="70" t="n">
        <f aca="false">SUM(N13:P13)-ROUND(10*Planètes!K$22*1.1^Planètes!K$22*$B$29)</f>
        <v>0</v>
      </c>
      <c r="R13" s="102" t="n">
        <f aca="false">(G13*24)+(L13*24)+(Q13*24)</f>
        <v>0</v>
      </c>
      <c r="T13" s="16" t="s">
        <v>23</v>
      </c>
      <c r="U13" s="106" t="n">
        <f aca="false">J25</f>
        <v>1</v>
      </c>
      <c r="V13" s="16" t="n">
        <f aca="false">K25+1.4*L25</f>
        <v>81.6</v>
      </c>
      <c r="W13" s="107" t="n">
        <f aca="false">(N25*1.4/V13)*100000</f>
        <v>113235.294117647</v>
      </c>
    </row>
    <row r="14" customFormat="false" ht="12.75" hidden="false" customHeight="true" outlineLevel="0" collapsed="false">
      <c r="A14" s="89" t="n">
        <f aca="false">Planètes!L2</f>
        <v>0</v>
      </c>
      <c r="B14" s="90" t="n">
        <f aca="false">Planètes!L9</f>
        <v>40</v>
      </c>
      <c r="C14" s="91" t="n">
        <f aca="false">Planètes!L18</f>
        <v>0</v>
      </c>
      <c r="D14" s="92" t="n">
        <f aca="false"> IF(Planètes!T21&gt;=19,(30*B29)+(ROUND(30 * C14 * 1.1^C14)*B29))</f>
        <v>0</v>
      </c>
      <c r="E14" s="93" t="n">
        <f aca="false">IF(Planètes!$T$21&gt;=19,IF($B$31=1,0.1*((ROUND(30*$C14*1.1^$C14)*$B$29)),IF($B$31=2,0.12*((ROUND(30*$C14*1.1^$C14)*$B$29)),0)))</f>
        <v>0</v>
      </c>
      <c r="F14" s="94" t="n">
        <f aca="false">IF(Planètes!$T$21&gt;=19,ROUND(30 * C14 *1.1^C14*0.01 *Planètes!$T$15*1*$B$29))</f>
        <v>0</v>
      </c>
      <c r="G14" s="68" t="n">
        <f aca="false">IF(Planètes!T21&gt;=19,SUM(D14:F14))</f>
        <v>0</v>
      </c>
      <c r="H14" s="95" t="n">
        <f aca="false">Planètes!L19</f>
        <v>0</v>
      </c>
      <c r="I14" s="96" t="n">
        <f aca="false">IF(Planètes!T21&gt;=19,(15*B29)+(ROUND(20 * H14 *1.1^H14*(1*B29))))</f>
        <v>0</v>
      </c>
      <c r="J14" s="97" t="n">
        <f aca="false">IF(Planètes!$T$21&gt;=19,IF($B$31=1,0.1*((ROUND(20*$H14*1.1^$H14)*$B$29)),IF($B$31=2,0.12*((ROUND(20*$H14*1.1^$H14*(1*$B$29),0))))))</f>
        <v>0</v>
      </c>
      <c r="K14" s="98" t="n">
        <f aca="false">IF(Planètes!$T$21&gt;=19,ROUND(20 *H14*1.1^H14*0.0066*Planètes!$T$15*1*$B$29))</f>
        <v>0</v>
      </c>
      <c r="L14" s="69" t="n">
        <f aca="false">IF(Planètes!T21&gt;=19,SUM(I14:K14))</f>
        <v>0</v>
      </c>
      <c r="M14" s="99" t="n">
        <f aca="false">Planètes!L20</f>
        <v>0</v>
      </c>
      <c r="N14" s="100" t="n">
        <f aca="false">IF(Planètes!T21&gt;=19,ROUND(10 * M14* 1.1 ^M14* (1.44 - 0.004 *Planètes!L9)*B29))</f>
        <v>0</v>
      </c>
      <c r="O14" s="101" t="n">
        <f aca="false">IF(Planètes!$T$21&gt;=19,IF($B$31=1,0.1*(ROUND(10*$M14*1.1^$M14*(1.44-0.004*Planètes!L$9)*$B$29)),IF($B$31=2,0.12*(ROUND(10*$M14*1.1^$M14*(1.44-0.004*Planètes!L$9)*$B$29)),0)))</f>
        <v>0</v>
      </c>
      <c r="P14" s="101" t="n">
        <f aca="false">IF(Planètes!$T$21&gt;=19,ROUND(10 * $M14 *1.1^$M14*0.0033 *Planètes!$T$15*(1.44 - 0.004 *$B14)*$B$29))</f>
        <v>0</v>
      </c>
      <c r="Q14" s="70" t="n">
        <f aca="false">SUM(N14:P14)-ROUND(10*Planètes!L$22*1.1^Planètes!L$22*$B$29)</f>
        <v>0</v>
      </c>
      <c r="R14" s="102" t="n">
        <f aca="false">(G14*24)+(L14*24)+(Q14*24)</f>
        <v>0</v>
      </c>
      <c r="T14" s="16" t="s">
        <v>24</v>
      </c>
      <c r="U14" s="106" t="n">
        <f aca="false">J26</f>
        <v>1</v>
      </c>
      <c r="V14" s="16" t="n">
        <f aca="false">K26+1.4*L26</f>
        <v>330</v>
      </c>
      <c r="W14" s="107" t="n">
        <f aca="false">(O26*2/V14)*100000</f>
        <v>24848.4848484848</v>
      </c>
    </row>
    <row r="15" customFormat="false" ht="12.75" hidden="false" customHeight="true" outlineLevel="0" collapsed="false">
      <c r="A15" s="89" t="n">
        <f aca="false">Planètes!M2</f>
        <v>0</v>
      </c>
      <c r="B15" s="90" t="n">
        <f aca="false">Planètes!M9</f>
        <v>40</v>
      </c>
      <c r="C15" s="91" t="n">
        <f aca="false">Planètes!M18</f>
        <v>0</v>
      </c>
      <c r="D15" s="92" t="n">
        <f aca="false"> IF(Planètes!T21&gt;=21,(30*B29)+(ROUND(30 * C15 * 1.1^C15)*B29))</f>
        <v>0</v>
      </c>
      <c r="E15" s="93" t="n">
        <f aca="false">IF(Planètes!$T$21&gt;=21,IF($B$31=1,0.1*((ROUND(30*$C15*1.1^$C15)*$B$29)),IF($B$31=2,0.12*((ROUND(30*$C15*1.1^$C15)*$B$29)),0)))</f>
        <v>0</v>
      </c>
      <c r="F15" s="94" t="n">
        <f aca="false">IF(Planètes!$T$21&gt;=21,ROUND(30 * C15 *1.1^C15*0.01 *Planètes!$T$15*1*$B$29))</f>
        <v>0</v>
      </c>
      <c r="G15" s="68" t="n">
        <f aca="false">IF(Planètes!T21&gt;=21,SUM(D15:F15))</f>
        <v>0</v>
      </c>
      <c r="H15" s="95" t="n">
        <f aca="false">Planètes!M19</f>
        <v>0</v>
      </c>
      <c r="I15" s="96" t="n">
        <f aca="false">IF(Planètes!T21&gt;=21,(15*B29)+(ROUND(20 * H15 *1.1^H15*(1*B29))))</f>
        <v>0</v>
      </c>
      <c r="J15" s="97" t="n">
        <f aca="false">IF(Planètes!$T$21&gt;=21,IF($B$31=1,0.1*((ROUND(20*$H15*1.1^$H15)*$B$29)),IF($B$31=2,0.12*((ROUND(20*$H15*1.1^$H15*(1*$B$29),0))))))</f>
        <v>0</v>
      </c>
      <c r="K15" s="98" t="n">
        <f aca="false">IF(Planètes!$T$21&gt;=21,ROUND(20 *H15*1.1^H15*0.0066*Planètes!$T$15*1*$B$29))</f>
        <v>0</v>
      </c>
      <c r="L15" s="69" t="n">
        <f aca="false">IF(Planètes!T21&gt;=21,SUM(I15:K15))</f>
        <v>0</v>
      </c>
      <c r="M15" s="99" t="n">
        <f aca="false">Planètes!M20</f>
        <v>0</v>
      </c>
      <c r="N15" s="100" t="n">
        <f aca="false">IF(Planètes!T21&gt;=21,ROUND(10 * M15* 1.1 ^M15* (1.44 - 0.004 *Planètes!M9)*B29))</f>
        <v>0</v>
      </c>
      <c r="O15" s="101" t="n">
        <f aca="false">IF(Planètes!$T$21&gt;=21,IF($B$31=1,0.1*(ROUND(10*$M15*1.1^$M15*(1.44-0.004*Planètes!M$9)*$B$29)),IF($B$31=2,0.12*(ROUND(10*$M15*1.1^$M15*(1.44-0.004*Planètes!M$9)*$B$29)),0)))</f>
        <v>0</v>
      </c>
      <c r="P15" s="101" t="n">
        <f aca="false">IF(Planètes!$T$21&gt;=21,ROUND(10 * $M15 *1.1^$M15*0.0033 *Planètes!$T$15*(1.44 - 0.004 *$B15)*$B$29))</f>
        <v>0</v>
      </c>
      <c r="Q15" s="70" t="n">
        <f aca="false">SUM(N15:P15)-ROUND(10*Planètes!M$22*1.1^Planètes!M$22*$B$29)</f>
        <v>0</v>
      </c>
      <c r="R15" s="102" t="n">
        <f aca="false">(G15*24)+(L15*24)+(Q15*24)</f>
        <v>0</v>
      </c>
      <c r="T15" s="16" t="s">
        <v>124</v>
      </c>
      <c r="U15" s="16"/>
      <c r="V15" s="16" t="n">
        <f aca="false">Astrophysique!B29</f>
        <v>23200</v>
      </c>
      <c r="W15" s="107" t="n">
        <f aca="false">(Astrophysique!B36/Astrophysique!B29)*100000</f>
        <v>659.48275862069</v>
      </c>
    </row>
    <row r="16" customFormat="false" ht="12.75" hidden="false" customHeight="true" outlineLevel="0" collapsed="false">
      <c r="A16" s="89" t="n">
        <f aca="false">Planètes!N2</f>
        <v>0</v>
      </c>
      <c r="B16" s="90" t="n">
        <f aca="false">Planètes!N9</f>
        <v>40</v>
      </c>
      <c r="C16" s="91" t="n">
        <f aca="false">Planètes!N18</f>
        <v>0</v>
      </c>
      <c r="D16" s="92" t="n">
        <f aca="false"> IF(Planètes!T21&gt;=23,(30*B29)+(ROUND(30 * C16 * 1.1^C16)*B29))</f>
        <v>0</v>
      </c>
      <c r="E16" s="93" t="n">
        <f aca="false">IF(Planètes!$T$21&gt;=23,IF($B$31=1,0.1*((ROUND(30*$C16*1.1^$C16)*$B$29)),IF($B$31=2,0.12*((ROUND(30*$C16*1.1^$C16)*$B$29)),0)))</f>
        <v>0</v>
      </c>
      <c r="F16" s="94" t="n">
        <f aca="false">IF(Planètes!$T$21&gt;=23,ROUND(30 * C16 *1.1^C16*0.01 *Planètes!$T$15*1*$B$29))</f>
        <v>0</v>
      </c>
      <c r="G16" s="68" t="n">
        <f aca="false">IF(Planètes!T21&gt;=23,SUM(D16:F16))</f>
        <v>0</v>
      </c>
      <c r="H16" s="95" t="n">
        <f aca="false">Planètes!N19</f>
        <v>0</v>
      </c>
      <c r="I16" s="96" t="n">
        <f aca="false">IF(Planètes!T21&gt;=23,(15*B29)+(ROUND(20 * H16 *1.1^H16*(1*B29))))</f>
        <v>0</v>
      </c>
      <c r="J16" s="97" t="n">
        <f aca="false">IF(Planètes!$T$21&gt;=23,IF($B$31=1,0.1*((ROUND(20*$H16*1.1^$H16)*$B$29)),IF($B$31=2,0.12*((ROUND(20*$H16*1.1^$H16*(1*$B$29),0))))))</f>
        <v>0</v>
      </c>
      <c r="K16" s="98" t="n">
        <f aca="false">IF(Planètes!$T$21&gt;=23,ROUND(20 *H16*1.1^H16*0.0066*Planètes!$T$15*1*$B$29))</f>
        <v>0</v>
      </c>
      <c r="L16" s="69" t="n">
        <f aca="false">IF(Planètes!T21&gt;=23,SUM(I16:K16))</f>
        <v>0</v>
      </c>
      <c r="M16" s="99" t="n">
        <f aca="false">Planètes!N20</f>
        <v>0</v>
      </c>
      <c r="N16" s="100" t="n">
        <f aca="false">IF(Planètes!T21&gt;=23,ROUND(10 * M16* 1.1 ^M16* (1.44 - 0.004 *Planètes!N9)*B29))</f>
        <v>0</v>
      </c>
      <c r="O16" s="101" t="n">
        <f aca="false">IF(Planètes!$T$21&gt;=23,IF($B$31=1,0.1*(ROUND(10*$M16*1.1^$M16*(1.44-0.004*Planètes!N$9)*$B$29)),IF($B$31=2,0.12*(ROUND(10*$M16*1.1^$M16*(1.44-0.004*Planètes!N$9)*$B$29)),0)))</f>
        <v>0</v>
      </c>
      <c r="P16" s="101" t="n">
        <f aca="false">IF(Planètes!$T$21&gt;=23,ROUND(10 * $M16 *1.1^$M16*0.0033 *Planètes!$T$15*(1.44 - 0.004 *$B16)*$B$29))</f>
        <v>0</v>
      </c>
      <c r="Q16" s="70" t="n">
        <f aca="false">SUM(N16:P16)-ROUND(10*Planètes!N$22*1.1^Planètes!N$22*$B$29)</f>
        <v>0</v>
      </c>
      <c r="R16" s="102" t="n">
        <f aca="false">(G16*24)+(L16*24)+(Q16*24)</f>
        <v>0</v>
      </c>
    </row>
    <row r="17" customFormat="false" ht="12.75" hidden="false" customHeight="true" outlineLevel="0" collapsed="false">
      <c r="A17" s="89" t="n">
        <f aca="false">Planètes!O2</f>
        <v>0</v>
      </c>
      <c r="B17" s="90" t="n">
        <f aca="false">Planètes!O9</f>
        <v>40</v>
      </c>
      <c r="C17" s="91" t="n">
        <f aca="false">Planètes!O18</f>
        <v>0</v>
      </c>
      <c r="D17" s="92" t="n">
        <f aca="false"> IF(Planètes!T21&gt;=25,(30*B29)+(ROUND(30 * C17 * 1.1^C17)*B29))</f>
        <v>0</v>
      </c>
      <c r="E17" s="93" t="n">
        <f aca="false">IF(Planètes!$T$21&gt;=25,IF($B$31=1,0.1*((ROUND(30*$C17*1.1^$C17)*$B$29)),IF($B$31=2,0.12*((ROUND(30*$C17*1.1^$C17)*$B$29)),0)))</f>
        <v>0</v>
      </c>
      <c r="F17" s="94" t="n">
        <f aca="false">IF(Planètes!$T$21&gt;=25,ROUND(30 * C17 *1.1^C17*0.01 *Planètes!$T$15*1*$B$29))</f>
        <v>0</v>
      </c>
      <c r="G17" s="68" t="n">
        <f aca="false">IF(Planètes!T21&gt;=25,SUM(D17:F17))</f>
        <v>0</v>
      </c>
      <c r="H17" s="95" t="n">
        <f aca="false">Planètes!O19</f>
        <v>0</v>
      </c>
      <c r="I17" s="96" t="n">
        <f aca="false">IF(Planètes!T21&gt;=25,(15*B29)+(ROUND(20 * H17 *1.1^H17*(1*B29))))</f>
        <v>0</v>
      </c>
      <c r="J17" s="97" t="n">
        <f aca="false">IF(Planètes!$T$21&gt;=25,IF($B$31=1,0.1*((ROUND(20*$H17*1.1^$H17)*$B$29)),IF($B$31=2,0.12*((ROUND(20*$H17*1.1^$H17*(1*$B$29),0))))))</f>
        <v>0</v>
      </c>
      <c r="K17" s="98" t="n">
        <f aca="false">IF(Planètes!$T$21&gt;=25,ROUND(20 *H17*1.1^H17*0.0066*Planètes!$T$15*1*$B$29))</f>
        <v>0</v>
      </c>
      <c r="L17" s="69" t="n">
        <f aca="false">IF(Planètes!T21&gt;=25,SUM(I17:K17))</f>
        <v>0</v>
      </c>
      <c r="M17" s="99" t="n">
        <f aca="false">Planètes!O20</f>
        <v>0</v>
      </c>
      <c r="N17" s="100" t="n">
        <f aca="false">IF(Planètes!T21&gt;=25,ROUND(10 * M17* 1.1 ^M17* (1.44 - 0.004 *Planètes!O9)*B29))</f>
        <v>0</v>
      </c>
      <c r="O17" s="101" t="n">
        <f aca="false">IF(Planètes!$T$21&gt;=25,IF($B$31=1,0.1*(ROUND(10*$M17*1.1^$M17*(1.44-0.004*Planètes!O$9)*$B$29)),IF($B$31=2,0.12*(ROUND(10*$M17*1.1^$M17*(1.44-0.004*Planètes!O$9)*$B$29)),0)))</f>
        <v>0</v>
      </c>
      <c r="P17" s="101" t="n">
        <f aca="false">IF(Planètes!$T$21&gt;=25,ROUND(10 * $M17 *1.1^$M17*0.0033 *Planètes!$T$15*(1.44 - 0.004 *$B17)*$B$29))</f>
        <v>0</v>
      </c>
      <c r="Q17" s="70" t="n">
        <f aca="false">SUM(N17:P17)-ROUND(10*Planètes!O$22*1.1^Planètes!O$22*$B$29)</f>
        <v>0</v>
      </c>
      <c r="R17" s="102" t="n">
        <f aca="false">(G17*24)+(L17*24)+(Q17*24)</f>
        <v>0</v>
      </c>
    </row>
    <row r="18" customFormat="false" ht="12.75" hidden="false" customHeight="true" outlineLevel="0" collapsed="false">
      <c r="A18" s="89" t="n">
        <f aca="false">Planètes!P2</f>
        <v>0</v>
      </c>
      <c r="B18" s="90" t="n">
        <f aca="false">Planètes!P9</f>
        <v>40</v>
      </c>
      <c r="C18" s="91" t="n">
        <f aca="false">Planètes!P18</f>
        <v>0</v>
      </c>
      <c r="D18" s="92" t="n">
        <f aca="false"> IF(Planètes!T21&gt;=27,(30*B29)+(ROUND(30 * C18 * 1.1^C18)*B29))</f>
        <v>0</v>
      </c>
      <c r="E18" s="93" t="n">
        <f aca="false">IF(Planètes!$T$21&gt;=27,IF($B$31=1,0.1*((ROUND(30*$C18*1.1^$C18)*$B$29)),IF($B$31=2,0.12*((ROUND(30*$C18*1.1^$C18)*$B$29)),0)))</f>
        <v>0</v>
      </c>
      <c r="F18" s="94" t="n">
        <f aca="false">IF(Planètes!$T$21&gt;=27,ROUND(30 * C18 *1.1^C18*0.01 *Planètes!$T$15*1*$B$29))</f>
        <v>0</v>
      </c>
      <c r="G18" s="68" t="n">
        <f aca="false">IF(Planètes!T21&gt;=27,SUM(D18:F18))</f>
        <v>0</v>
      </c>
      <c r="H18" s="95" t="n">
        <f aca="false">Planètes!P19</f>
        <v>0</v>
      </c>
      <c r="I18" s="96" t="n">
        <f aca="false">IF(Planètes!T21&gt;=27,(15*B29)+(ROUND(20 * H18 *1.1^H18*(1*B29))))</f>
        <v>0</v>
      </c>
      <c r="J18" s="97" t="n">
        <f aca="false">IF(Planètes!$T$21&gt;=27,IF($B$31=1,0.1*((ROUND(20*$H18*1.1^$H18)*$B$29)),IF($B$31=2,0.12*((ROUND(20*$H18*1.1^$H18*(1*$B$29),0))))))</f>
        <v>0</v>
      </c>
      <c r="K18" s="98" t="n">
        <f aca="false">IF(Planètes!$T$21&gt;=27,ROUND(20 *H18*1.1^H18*0.0066*Planètes!$T$15*1*$B$29))</f>
        <v>0</v>
      </c>
      <c r="L18" s="69" t="n">
        <f aca="false">IF(Planètes!T21&gt;=27,SUM(I18:K18))</f>
        <v>0</v>
      </c>
      <c r="M18" s="99" t="n">
        <f aca="false">Planètes!P20</f>
        <v>0</v>
      </c>
      <c r="N18" s="100" t="n">
        <f aca="false">IF(Planètes!T21&gt;=27,ROUND(10 * M18* 1.1 ^M18* (1.44 - 0.004 *Planètes!P9)*B29))</f>
        <v>0</v>
      </c>
      <c r="O18" s="101" t="n">
        <f aca="false">IF(Planètes!$T$21&gt;=27,IF($B$31=1,0.1*(ROUND(10*$M18*1.1^$M18*(1.44-0.004*Planètes!P$9)*$B$29)),IF($B$31=2,0.12*(ROUND(10*$M18*1.1^$M18*(1.44-0.004*Planètes!P$9)*$B$29)),0)))</f>
        <v>0</v>
      </c>
      <c r="P18" s="101" t="n">
        <f aca="false">IF(Planètes!$T$21&gt;=27,ROUND(10 * $M18 *1.1^$M18*0.0033 *Planètes!$T$15*(1.44 - 0.004 *$B18)*$B$29))</f>
        <v>0</v>
      </c>
      <c r="Q18" s="70" t="n">
        <f aca="false">SUM(N18:P18)-ROUND(10*Planètes!P$22*1.1^Planètes!P$22*$B$29)</f>
        <v>0</v>
      </c>
      <c r="R18" s="102" t="n">
        <f aca="false">(G18*24)+(L18*24)+(Q18*24)</f>
        <v>0</v>
      </c>
    </row>
    <row r="19" customFormat="false" ht="12.75" hidden="false" customHeight="true" outlineLevel="0" collapsed="false">
      <c r="A19" s="108"/>
      <c r="C19" s="75" t="s">
        <v>5</v>
      </c>
      <c r="D19" s="109" t="n">
        <f aca="false">SUM(D4:D18)</f>
        <v>90</v>
      </c>
      <c r="E19" s="110" t="n">
        <f aca="false">SUM(E4:E18)</f>
        <v>0</v>
      </c>
      <c r="F19" s="111" t="n">
        <f aca="false">SUM(F4:F18)</f>
        <v>0</v>
      </c>
      <c r="G19" s="68" t="n">
        <f aca="false">SUM(G4:G18)</f>
        <v>90</v>
      </c>
      <c r="H19" s="80" t="s">
        <v>5</v>
      </c>
      <c r="I19" s="112" t="n">
        <f aca="false">SUM(I4:I18)</f>
        <v>45</v>
      </c>
      <c r="J19" s="113" t="n">
        <f aca="false">SUM(J4:J18)</f>
        <v>0</v>
      </c>
      <c r="K19" s="114" t="n">
        <f aca="false">SUM(K4:K18)</f>
        <v>0</v>
      </c>
      <c r="L19" s="69" t="n">
        <f aca="false">SUM(L4:L18)</f>
        <v>45</v>
      </c>
      <c r="M19" s="85" t="s">
        <v>5</v>
      </c>
      <c r="N19" s="115" t="n">
        <f aca="false">SUM(N4:N18)</f>
        <v>0</v>
      </c>
      <c r="O19" s="116" t="n">
        <f aca="false">SUM(O4:O18)</f>
        <v>0</v>
      </c>
      <c r="P19" s="116" t="n">
        <f aca="false">SUM(P4:P18)</f>
        <v>0</v>
      </c>
      <c r="Q19" s="70" t="n">
        <f aca="false">SUM(N19:P19)</f>
        <v>0</v>
      </c>
      <c r="R19" s="102" t="n">
        <f aca="false">SUM(R4:R18)</f>
        <v>3240</v>
      </c>
    </row>
    <row r="20" customFormat="false" ht="12.75" hidden="false" customHeight="true" outlineLevel="0" collapsed="false">
      <c r="Q20" s="117"/>
      <c r="T20" s="1" t="s">
        <v>125</v>
      </c>
      <c r="U20" s="1" t="s">
        <v>126</v>
      </c>
      <c r="V20" s="1" t="s">
        <v>127</v>
      </c>
    </row>
    <row r="21" customFormat="false" ht="12.75" hidden="false" customHeight="true" outlineLevel="0" collapsed="false">
      <c r="A21" s="118" t="s">
        <v>128</v>
      </c>
      <c r="B21" s="118"/>
      <c r="C21" s="118"/>
      <c r="D21" s="118"/>
      <c r="E21" s="119"/>
      <c r="I21" s="33" t="s">
        <v>129</v>
      </c>
      <c r="J21" s="33"/>
      <c r="K21" s="33"/>
      <c r="L21" s="33"/>
      <c r="M21" s="33"/>
      <c r="N21" s="33"/>
      <c r="O21" s="33"/>
      <c r="P21" s="33"/>
      <c r="Q21" s="33"/>
      <c r="R21" s="33"/>
      <c r="T21" s="1" t="s">
        <v>130</v>
      </c>
      <c r="U21" s="1" t="s">
        <v>131</v>
      </c>
      <c r="V21" s="1" t="s">
        <v>132</v>
      </c>
    </row>
    <row r="22" customFormat="false" ht="12.75" hidden="false" customHeight="true" outlineLevel="0" collapsed="false">
      <c r="A22" s="120"/>
      <c r="B22" s="120"/>
      <c r="C22" s="121" t="s">
        <v>133</v>
      </c>
      <c r="D22" s="121"/>
      <c r="I22" s="9" t="s">
        <v>134</v>
      </c>
      <c r="J22" s="9"/>
      <c r="K22" s="9"/>
      <c r="L22" s="9"/>
      <c r="M22" s="122" t="s">
        <v>135</v>
      </c>
      <c r="N22" s="122"/>
      <c r="O22" s="122"/>
      <c r="P22" s="123" t="s">
        <v>136</v>
      </c>
      <c r="Q22" s="123"/>
      <c r="R22" s="123"/>
      <c r="T22" s="1" t="s">
        <v>137</v>
      </c>
      <c r="U22" s="1" t="s">
        <v>138</v>
      </c>
      <c r="V22" s="1" t="s">
        <v>139</v>
      </c>
    </row>
    <row r="23" customFormat="false" ht="12.75" hidden="false" customHeight="true" outlineLevel="0" collapsed="false">
      <c r="A23" s="124" t="s">
        <v>121</v>
      </c>
      <c r="B23" s="124" t="s">
        <v>108</v>
      </c>
      <c r="C23" s="121" t="s">
        <v>21</v>
      </c>
      <c r="D23" s="121" t="s">
        <v>23</v>
      </c>
      <c r="I23" s="16" t="s">
        <v>121</v>
      </c>
      <c r="J23" s="16" t="s">
        <v>122</v>
      </c>
      <c r="K23" s="16" t="s">
        <v>21</v>
      </c>
      <c r="L23" s="16" t="s">
        <v>23</v>
      </c>
      <c r="M23" s="125"/>
      <c r="N23" s="125"/>
      <c r="O23" s="125"/>
      <c r="P23" s="125"/>
      <c r="Q23" s="125"/>
      <c r="R23" s="125"/>
      <c r="T23" s="1" t="s">
        <v>140</v>
      </c>
      <c r="U23" s="1" t="s">
        <v>141</v>
      </c>
      <c r="V23" s="1" t="s">
        <v>142</v>
      </c>
    </row>
    <row r="24" customFormat="false" ht="12.75" hidden="false" customHeight="true" outlineLevel="0" collapsed="false">
      <c r="A24" s="124" t="s">
        <v>21</v>
      </c>
      <c r="B24" s="126" t="n">
        <f aca="false">J24</f>
        <v>1</v>
      </c>
      <c r="C24" s="121" t="n">
        <f aca="false">K24/U4</f>
        <v>0.0277777777777778</v>
      </c>
      <c r="D24" s="121" t="n">
        <f aca="false">L24/V4</f>
        <v>0.0138888888888889</v>
      </c>
      <c r="I24" s="16" t="s">
        <v>21</v>
      </c>
      <c r="J24" s="106" t="n">
        <v>1</v>
      </c>
      <c r="K24" s="16" t="n">
        <f aca="false">60 * 1.5^(J24-1)</f>
        <v>60</v>
      </c>
      <c r="L24" s="16" t="n">
        <f aca="false"> 15 * 1.5^(J24-1)</f>
        <v>15</v>
      </c>
      <c r="M24" s="16" t="s">
        <v>143</v>
      </c>
      <c r="N24" s="127" t="n">
        <f aca="false">((30*B29)+(ROUND(30*J24*1.1^J24)*B29)+(IF($B$31=1,0.1*((ROUND(30*J24*1.1^J24)*$B$29)),IF($B$31=2,0.12*((ROUND(30*J24*1.1^J24)*$B$29)),0))+ROUND(30*J24*1.1^J24*0.01*Planètes!T15*1*B29)))-(((30*B29)+(ROUND(30*(J24-1)*1.1^(J24-1))*B29)+((IF($B$31=1,0.1*((ROUND(30*(J24-1)*1.1^(J24-1))*$B$29)),IF($B$31=2,0.12*((ROUND(30*(J24-1)*1.1^(J24-1))*$B$29)),0))+ROUND(30*(J24-1)*1.1^(J24-1)*0.01*Planètes!T15*1*B29)))))</f>
        <v>99</v>
      </c>
      <c r="O24" s="127"/>
      <c r="P24" s="16" t="s">
        <v>143</v>
      </c>
      <c r="Q24" s="128" t="n">
        <f aca="false"> (ROUNDUP(10 * J24 * 1.1^J24))-( ROUNDUP(10 * (J24-1) * 1.1^(J24-1)))</f>
        <v>11</v>
      </c>
      <c r="R24" s="128"/>
      <c r="T24" s="1" t="s">
        <v>144</v>
      </c>
      <c r="U24" s="1" t="s">
        <v>145</v>
      </c>
      <c r="V24" s="1" t="s">
        <v>146</v>
      </c>
    </row>
    <row r="25" customFormat="false" ht="12.75" hidden="false" customHeight="true" outlineLevel="0" collapsed="false">
      <c r="A25" s="124" t="s">
        <v>23</v>
      </c>
      <c r="B25" s="126" t="n">
        <f aca="false">J25</f>
        <v>1</v>
      </c>
      <c r="C25" s="121" t="n">
        <f aca="false">K25/U4</f>
        <v>0.0222222222222222</v>
      </c>
      <c r="D25" s="121" t="n">
        <f aca="false">L25/V4</f>
        <v>0.0222222222222222</v>
      </c>
      <c r="I25" s="16" t="s">
        <v>23</v>
      </c>
      <c r="J25" s="106" t="n">
        <v>1</v>
      </c>
      <c r="K25" s="16" t="n">
        <f aca="false">48 * 1.6^(J25-1)</f>
        <v>48</v>
      </c>
      <c r="L25" s="16" t="n">
        <f aca="false">24 * 1.6^(J25-1)</f>
        <v>24</v>
      </c>
      <c r="M25" s="16" t="s">
        <v>143</v>
      </c>
      <c r="N25" s="127" t="n">
        <f aca="false">((15*B29)+(ROUND(20*J25*1.1^J25)*B29)+(IF($B$31=1,0.1*((ROUND(20*J25*1.1^J25)*$B$29)),IF($B$31=2,0.12*((ROUND(20*J25*1.1^J25)*$B$29)),0))+ROUND(20*J25*1.1^J25*0.0066*Planètes!T15*1*B29)))-(((15*B29)+(ROUND(20*(J25-1)*1.1^(J25-1))*B29)+((IF($B$31=1,0.1*((ROUND(20*(J25-1)*1.1^(J25-1))*$B$29)),IF($B$31=2,0.12*((ROUND(20*(J25-1)*1.1^(J25-1))*$B$29)),0))+ROUND(20*(J25-1)*1.1^(J25-1)*0.0066*Planètes!T15*1*B29)))))</f>
        <v>66</v>
      </c>
      <c r="O25" s="127"/>
      <c r="P25" s="16" t="s">
        <v>143</v>
      </c>
      <c r="Q25" s="128" t="n">
        <f aca="false"> (ROUNDUP(10 * J25 * 1.1^J25))-( ROUNDUP(10 * (J25-1) * 1.1^(J25-1)))</f>
        <v>11</v>
      </c>
      <c r="R25" s="128"/>
      <c r="T25" s="1" t="s">
        <v>147</v>
      </c>
      <c r="U25" s="1" t="s">
        <v>148</v>
      </c>
      <c r="V25" s="1" t="s">
        <v>149</v>
      </c>
    </row>
    <row r="26" customFormat="false" ht="12.75" hidden="false" customHeight="true" outlineLevel="0" collapsed="false">
      <c r="A26" s="124" t="s">
        <v>24</v>
      </c>
      <c r="B26" s="126" t="n">
        <f aca="false">J26</f>
        <v>1</v>
      </c>
      <c r="C26" s="121" t="n">
        <f aca="false">K26/U4</f>
        <v>0.104166666666667</v>
      </c>
      <c r="D26" s="121" t="n">
        <f aca="false">L26/V4</f>
        <v>0.0694444444444444</v>
      </c>
      <c r="I26" s="16" t="s">
        <v>24</v>
      </c>
      <c r="J26" s="106" t="n">
        <v>1</v>
      </c>
      <c r="K26" s="16" t="n">
        <f aca="false">225*1.5^(J26-1)</f>
        <v>225</v>
      </c>
      <c r="L26" s="16" t="n">
        <f aca="false">75*1.5^(J26-1)</f>
        <v>75</v>
      </c>
      <c r="M26" s="16" t="s">
        <v>143</v>
      </c>
      <c r="N26" s="66" t="s">
        <v>107</v>
      </c>
      <c r="O26" s="127" t="n">
        <f aca="false">(ROUND(10*J26*1.1^J26*(1.44-0.004*N27)*B29)+IF($B$31=1,0.1*(ROUND(10*$J26*1.1^$J26*(1.44-0.004*N27)*$B$29)),IF($B$31=2,0.12*(ROUND(10*$J26*1.1^J26*(1.44-0.004*N27)*$B$29)),0))+(ROUND(10 * J26 *1.1^J26*0.0033 *Planètes!$T$15*(1.44 - 0.004 *N27)*$B$29))-(((ROUND(10*(J26-1)*1.1^(J26-1)*(1.44-0.004*N27))*B29))+IF($B$31=1,0.1*(ROUND(10*($J26-1)*1.1^($J26-1)*(1.44-0.004*N27)*$B$29)),IF($B$31=2,0.12*(ROUND(10*($J26-1)*1.1^(J26-1)*(1.44-0.004*N27)*$B$29)),0))+(ROUND(10 * (J26-1) *1.1^(J26-1)*0.0033 *Planètes!$T$15*(1.44 - 0.004 *N27)*$B$29))))</f>
        <v>41</v>
      </c>
      <c r="P26" s="16" t="s">
        <v>143</v>
      </c>
      <c r="Q26" s="128" t="n">
        <f aca="false"> (ROUNDUP(20 * J26 * 1.1^J26))-( ROUNDUP(20 * (J26-1) * 1.1^(J26-1)))</f>
        <v>22</v>
      </c>
      <c r="R26" s="128"/>
      <c r="T26" s="1" t="s">
        <v>150</v>
      </c>
      <c r="U26" s="1" t="s">
        <v>151</v>
      </c>
      <c r="V26" s="1" t="s">
        <v>152</v>
      </c>
    </row>
    <row r="27" customFormat="false" ht="12.75" hidden="false" customHeight="true" outlineLevel="0" collapsed="false">
      <c r="I27" s="16"/>
      <c r="J27" s="106"/>
      <c r="K27" s="16"/>
      <c r="L27" s="16"/>
      <c r="M27" s="16"/>
      <c r="N27" s="129" t="n">
        <v>50</v>
      </c>
      <c r="O27" s="127"/>
      <c r="P27" s="16"/>
      <c r="Q27" s="128"/>
      <c r="R27" s="128"/>
      <c r="T27" s="1" t="s">
        <v>153</v>
      </c>
      <c r="U27" s="1" t="s">
        <v>154</v>
      </c>
      <c r="V27" s="1" t="s">
        <v>155</v>
      </c>
    </row>
    <row r="28" customFormat="false" ht="12.75" hidden="false" customHeight="true" outlineLevel="0" collapsed="false">
      <c r="A28" s="56"/>
      <c r="Q28" s="56"/>
      <c r="T28" s="1" t="s">
        <v>156</v>
      </c>
      <c r="U28" s="1" t="s">
        <v>157</v>
      </c>
      <c r="V28" s="1" t="s">
        <v>158</v>
      </c>
    </row>
    <row r="29" customFormat="false" ht="12.75" hidden="false" customHeight="true" outlineLevel="0" collapsed="false">
      <c r="A29" s="66" t="s">
        <v>159</v>
      </c>
      <c r="B29" s="130" t="n">
        <v>3</v>
      </c>
      <c r="T29" s="1" t="s">
        <v>160</v>
      </c>
      <c r="U29" s="1" t="s">
        <v>161</v>
      </c>
      <c r="V29" s="1" t="s">
        <v>162</v>
      </c>
    </row>
    <row r="30" customFormat="false" ht="12.75" hidden="false" customHeight="true" outlineLevel="0" collapsed="false">
      <c r="A30" s="66"/>
      <c r="B30" s="66"/>
      <c r="C30" s="12" t="s">
        <v>70</v>
      </c>
      <c r="T30" s="1" t="s">
        <v>163</v>
      </c>
      <c r="U30" s="1" t="s">
        <v>164</v>
      </c>
      <c r="V30" s="1" t="s">
        <v>165</v>
      </c>
    </row>
    <row r="31" customFormat="false" ht="12.75" hidden="false" customHeight="true" outlineLevel="0" collapsed="false">
      <c r="A31" s="66" t="s">
        <v>65</v>
      </c>
      <c r="B31" s="130" t="n">
        <v>0</v>
      </c>
      <c r="C31" s="12" t="s">
        <v>166</v>
      </c>
      <c r="D31" s="12"/>
      <c r="T31" s="1" t="s">
        <v>167</v>
      </c>
      <c r="U31" s="1" t="s">
        <v>168</v>
      </c>
      <c r="V31" s="1" t="s">
        <v>169</v>
      </c>
    </row>
    <row r="32" customFormat="false" ht="12.75" hidden="false" customHeight="true" outlineLevel="0" collapsed="false">
      <c r="A32" s="66"/>
      <c r="B32" s="66"/>
      <c r="C32" s="12" t="s">
        <v>74</v>
      </c>
      <c r="G32" s="131"/>
      <c r="T32" s="1" t="s">
        <v>170</v>
      </c>
      <c r="U32" s="1" t="s">
        <v>171</v>
      </c>
      <c r="V32" s="1" t="s">
        <v>172</v>
      </c>
    </row>
    <row r="33" customFormat="false" ht="12.75" hidden="false" customHeight="true" outlineLevel="0" collapsed="false">
      <c r="Q33" s="56"/>
      <c r="T33" s="1" t="s">
        <v>173</v>
      </c>
      <c r="U33" s="1" t="s">
        <v>174</v>
      </c>
      <c r="V33" s="1" t="s">
        <v>175</v>
      </c>
    </row>
    <row r="34" customFormat="false" ht="12.75" hidden="false" customHeight="true" outlineLevel="0" collapsed="false">
      <c r="T34" s="1" t="s">
        <v>176</v>
      </c>
      <c r="U34" s="1" t="s">
        <v>177</v>
      </c>
      <c r="V34" s="1" t="s">
        <v>178</v>
      </c>
    </row>
    <row r="35" customFormat="false" ht="12.75" hidden="false" customHeight="true" outlineLevel="0" collapsed="false">
      <c r="T35" s="1" t="s">
        <v>179</v>
      </c>
      <c r="U35" s="1" t="s">
        <v>180</v>
      </c>
      <c r="V35" s="1" t="s">
        <v>181</v>
      </c>
    </row>
    <row r="36" customFormat="false" ht="12.75" hidden="false" customHeight="true" outlineLevel="0" collapsed="false">
      <c r="T36" s="1" t="s">
        <v>182</v>
      </c>
      <c r="U36" s="1" t="s">
        <v>183</v>
      </c>
      <c r="V36" s="1" t="s">
        <v>184</v>
      </c>
    </row>
    <row r="41" customFormat="false" ht="10.75" hidden="false" customHeight="true" outlineLevel="0" collapsed="false"/>
    <row r="42" customFormat="false" ht="10.75" hidden="false" customHeight="true" outlineLevel="0" collapsed="false"/>
    <row r="43" customFormat="false" ht="10.75" hidden="false" customHeight="true" outlineLevel="0" collapsed="false"/>
    <row r="44" customFormat="false" ht="9.9" hidden="false" customHeight="true" outlineLevel="0" collapsed="false"/>
    <row r="45" customFormat="false" ht="9.9" hidden="false" customHeight="true" outlineLevel="0" collapsed="false"/>
    <row r="46" customFormat="false" ht="9.9" hidden="false" customHeight="true" outlineLevel="0" collapsed="false"/>
    <row r="47" customFormat="false" ht="9.9" hidden="false" customHeight="true" outlineLevel="0" collapsed="false"/>
    <row r="48" customFormat="false" ht="9.9" hidden="false" customHeight="true" outlineLevel="0" collapsed="false"/>
    <row r="49" customFormat="false" ht="9.9" hidden="false" customHeight="true" outlineLevel="0" collapsed="false"/>
    <row r="50" customFormat="false" ht="9.9" hidden="false" customHeight="true" outlineLevel="0" collapsed="false"/>
    <row r="51" customFormat="false" ht="9.9" hidden="false" customHeight="true" outlineLevel="0" collapsed="false"/>
    <row r="52" customFormat="false" ht="9.9" hidden="false" customHeight="true" outlineLevel="0" collapsed="false"/>
    <row r="53" customFormat="false" ht="9.9" hidden="false" customHeight="true" outlineLevel="0" collapsed="false"/>
    <row r="54" customFormat="false" ht="9.9" hidden="false" customHeight="true" outlineLevel="0" collapsed="false"/>
    <row r="55" customFormat="false" ht="9.9" hidden="false" customHeight="true" outlineLevel="0" collapsed="false"/>
    <row r="56" customFormat="false" ht="9.9" hidden="false" customHeight="true" outlineLevel="0" collapsed="false"/>
    <row r="57" customFormat="false" ht="9.9" hidden="false" customHeight="true" outlineLevel="0" collapsed="false"/>
    <row r="58" customFormat="false" ht="9.9" hidden="false" customHeight="true" outlineLevel="0" collapsed="false"/>
    <row r="59" customFormat="false" ht="9.9" hidden="false" customHeight="true" outlineLevel="0" collapsed="false"/>
    <row r="60" customFormat="false" ht="9.9" hidden="false" customHeight="true" outlineLevel="0" collapsed="false"/>
    <row r="61" customFormat="false" ht="9.9" hidden="false" customHeight="true" outlineLevel="0" collapsed="false"/>
    <row r="62" customFormat="false" ht="9.9" hidden="false" customHeight="true" outlineLevel="0" collapsed="false"/>
    <row r="63" customFormat="false" ht="9.9" hidden="false" customHeight="true" outlineLevel="0" collapsed="false"/>
    <row r="64" customFormat="false" ht="9.9" hidden="false" customHeight="true" outlineLevel="0" collapsed="false"/>
    <row r="65" customFormat="false" ht="9.9" hidden="false" customHeight="true" outlineLevel="0" collapsed="false"/>
    <row r="66" customFormat="false" ht="9.9" hidden="false" customHeight="true" outlineLevel="0" collapsed="false"/>
    <row r="67" customFormat="false" ht="9.9" hidden="false" customHeight="true" outlineLevel="0" collapsed="false"/>
    <row r="68" customFormat="false" ht="9.9" hidden="false" customHeight="true" outlineLevel="0" collapsed="false"/>
    <row r="69" customFormat="false" ht="9.9" hidden="false" customHeight="true" outlineLevel="0" collapsed="false"/>
    <row r="70" customFormat="false" ht="9.9" hidden="false" customHeight="true" outlineLevel="0" collapsed="false"/>
    <row r="71" customFormat="false" ht="9.9" hidden="false" customHeight="true" outlineLevel="0" collapsed="false"/>
    <row r="72" customFormat="false" ht="9.9" hidden="false" customHeight="true" outlineLevel="0" collapsed="false"/>
    <row r="73" customFormat="false" ht="9.9" hidden="false" customHeight="true" outlineLevel="0" collapsed="false"/>
    <row r="74" customFormat="false" ht="9.9" hidden="false" customHeight="true" outlineLevel="0" collapsed="false"/>
    <row r="75" customFormat="false" ht="9.9" hidden="false" customHeight="true" outlineLevel="0" collapsed="false"/>
    <row r="76" customFormat="false" ht="9.9" hidden="false" customHeight="true" outlineLevel="0" collapsed="false"/>
    <row r="77" customFormat="false" ht="9.9" hidden="false" customHeight="true" outlineLevel="0" collapsed="false"/>
    <row r="78" customFormat="false" ht="9.9" hidden="false" customHeight="true" outlineLevel="0" collapsed="false"/>
    <row r="79" customFormat="false" ht="9.9" hidden="false" customHeight="true" outlineLevel="0" collapsed="false"/>
    <row r="80" customFormat="false" ht="9.9" hidden="false" customHeight="true" outlineLevel="0" collapsed="false"/>
    <row r="81" customFormat="false" ht="9.9" hidden="false" customHeight="true" outlineLevel="0" collapsed="false"/>
    <row r="82" customFormat="false" ht="9.9" hidden="false" customHeight="true" outlineLevel="0" collapsed="false"/>
    <row r="83" customFormat="false" ht="9.9" hidden="false" customHeight="true" outlineLevel="0" collapsed="false"/>
    <row r="84" customFormat="false" ht="9.9" hidden="false" customHeight="true" outlineLevel="0" collapsed="false"/>
    <row r="85" customFormat="false" ht="9.9" hidden="false" customHeight="true" outlineLevel="0" collapsed="false"/>
    <row r="86" customFormat="false" ht="9.9" hidden="false" customHeight="true" outlineLevel="0" collapsed="false"/>
    <row r="87" customFormat="false" ht="9.9" hidden="false" customHeight="true" outlineLevel="0" collapsed="false"/>
    <row r="88" customFormat="false" ht="9.9" hidden="false" customHeight="true" outlineLevel="0" collapsed="false"/>
    <row r="89" customFormat="false" ht="9.9" hidden="false" customHeight="true" outlineLevel="0" collapsed="false"/>
    <row r="90" customFormat="false" ht="9.9" hidden="false" customHeight="true" outlineLevel="0" collapsed="false"/>
    <row r="91" customFormat="false" ht="9.9" hidden="false" customHeight="true" outlineLevel="0" collapsed="false"/>
    <row r="92" customFormat="false" ht="9.9" hidden="false" customHeight="true" outlineLevel="0" collapsed="false"/>
    <row r="93" customFormat="false" ht="9.9" hidden="false" customHeight="true" outlineLevel="0" collapsed="false"/>
    <row r="94" customFormat="false" ht="9.9" hidden="false" customHeight="true" outlineLevel="0" collapsed="false"/>
    <row r="95" customFormat="false" ht="9.9" hidden="false" customHeight="true" outlineLevel="0" collapsed="false"/>
    <row r="96" customFormat="false" ht="9.9" hidden="false" customHeight="true" outlineLevel="0" collapsed="false"/>
    <row r="97" customFormat="false" ht="9.9" hidden="false" customHeight="true" outlineLevel="0" collapsed="false"/>
    <row r="98" customFormat="false" ht="9.9" hidden="false" customHeight="true" outlineLevel="0" collapsed="false"/>
    <row r="99" customFormat="false" ht="9.9" hidden="false" customHeight="true" outlineLevel="0" collapsed="false"/>
    <row r="100" customFormat="false" ht="9.9" hidden="false" customHeight="true" outlineLevel="0" collapsed="false"/>
    <row r="101" customFormat="false" ht="9.9" hidden="false" customHeight="true" outlineLevel="0" collapsed="false"/>
    <row r="102" customFormat="false" ht="9.9" hidden="false" customHeight="true" outlineLevel="0" collapsed="false"/>
    <row r="103" customFormat="false" ht="9.9" hidden="false" customHeight="true" outlineLevel="0" collapsed="false"/>
    <row r="104" customFormat="false" ht="9.9" hidden="false" customHeight="true" outlineLevel="0" collapsed="false"/>
    <row r="105" customFormat="false" ht="9.9" hidden="false" customHeight="true" outlineLevel="0" collapsed="false"/>
    <row r="106" customFormat="false" ht="9.9" hidden="false" customHeight="true" outlineLevel="0" collapsed="false"/>
    <row r="107" customFormat="false" ht="9.9" hidden="false" customHeight="true" outlineLevel="0" collapsed="false"/>
    <row r="108" customFormat="false" ht="9.9" hidden="false" customHeight="true" outlineLevel="0" collapsed="false"/>
    <row r="109" customFormat="false" ht="9.9" hidden="false" customHeight="true" outlineLevel="0" collapsed="false"/>
    <row r="110" customFormat="false" ht="9.9" hidden="false" customHeight="true" outlineLevel="0" collapsed="false"/>
    <row r="111" customFormat="false" ht="9.9" hidden="false" customHeight="true" outlineLevel="0" collapsed="false"/>
  </sheetData>
  <mergeCells count="34">
    <mergeCell ref="A1:R1"/>
    <mergeCell ref="T1:W1"/>
    <mergeCell ref="A2:B2"/>
    <mergeCell ref="C2:G2"/>
    <mergeCell ref="H2:L2"/>
    <mergeCell ref="M2:Q2"/>
    <mergeCell ref="T10:W10"/>
    <mergeCell ref="T15:U15"/>
    <mergeCell ref="A21:D21"/>
    <mergeCell ref="I21:R21"/>
    <mergeCell ref="A22:B22"/>
    <mergeCell ref="C22:D22"/>
    <mergeCell ref="I22:L22"/>
    <mergeCell ref="M22:O22"/>
    <mergeCell ref="P22:R22"/>
    <mergeCell ref="M23:O23"/>
    <mergeCell ref="P23:R23"/>
    <mergeCell ref="N24:O24"/>
    <mergeCell ref="Q24:R24"/>
    <mergeCell ref="N25:O25"/>
    <mergeCell ref="Q25:R25"/>
    <mergeCell ref="I26:I27"/>
    <mergeCell ref="J26:J27"/>
    <mergeCell ref="K26:K27"/>
    <mergeCell ref="L26:L27"/>
    <mergeCell ref="M26:M27"/>
    <mergeCell ref="O26:O27"/>
    <mergeCell ref="P26:P27"/>
    <mergeCell ref="Q26:R27"/>
    <mergeCell ref="A29:A30"/>
    <mergeCell ref="B29:B30"/>
    <mergeCell ref="A31:A32"/>
    <mergeCell ref="B31:B32"/>
    <mergeCell ref="C31:D3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5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4" activeCellId="0" sqref="J34"/>
    </sheetView>
  </sheetViews>
  <sheetFormatPr defaultRowHeight="8.5"/>
  <cols>
    <col collapsed="false" hidden="false" max="1" min="1" style="132" width="11.6632653061225"/>
    <col collapsed="false" hidden="false" max="2" min="2" style="132" width="8.6734693877551"/>
    <col collapsed="false" hidden="false" max="3" min="3" style="132" width="10.1428571428571"/>
    <col collapsed="false" hidden="false" max="6" min="4" style="132" width="8.6734693877551"/>
    <col collapsed="false" hidden="false" max="7" min="7" style="132" width="11.1122448979592"/>
    <col collapsed="false" hidden="false" max="8" min="8" style="132" width="10.8367346938776"/>
    <col collapsed="false" hidden="false" max="9" min="9" style="132" width="9.71938775510204"/>
    <col collapsed="false" hidden="false" max="10" min="10" style="132" width="8.6734693877551"/>
    <col collapsed="false" hidden="false" max="11" min="11" style="132" width="9.16836734693878"/>
    <col collapsed="false" hidden="false" max="12" min="12" style="132" width="10.969387755102"/>
    <col collapsed="false" hidden="false" max="19" min="13" style="132" width="8.6734693877551"/>
    <col collapsed="false" hidden="false" max="1025" min="20" style="132" width="11.5204081632653"/>
  </cols>
  <sheetData>
    <row r="1" customFormat="false" ht="8.5" hidden="false" customHeight="true" outlineLevel="0" collapsed="false">
      <c r="A1" s="133" t="s">
        <v>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4"/>
      <c r="R1" s="134"/>
      <c r="S1" s="134"/>
    </row>
    <row r="2" customFormat="false" ht="8.5" hidden="false" customHeight="true" outlineLevel="0" collapsed="false">
      <c r="A2" s="135" t="s">
        <v>186</v>
      </c>
      <c r="B2" s="135" t="s">
        <v>187</v>
      </c>
      <c r="C2" s="135" t="s">
        <v>29</v>
      </c>
      <c r="D2" s="135" t="s">
        <v>30</v>
      </c>
      <c r="E2" s="135" t="s">
        <v>188</v>
      </c>
      <c r="F2" s="135" t="s">
        <v>19</v>
      </c>
      <c r="G2" s="135" t="s">
        <v>189</v>
      </c>
      <c r="H2" s="135" t="s">
        <v>44</v>
      </c>
      <c r="I2" s="135" t="s">
        <v>46</v>
      </c>
      <c r="J2" s="135" t="s">
        <v>48</v>
      </c>
      <c r="K2" s="135" t="s">
        <v>52</v>
      </c>
      <c r="L2" s="135" t="s">
        <v>25</v>
      </c>
      <c r="M2" s="135" t="s">
        <v>27</v>
      </c>
      <c r="N2" s="135" t="s">
        <v>40</v>
      </c>
      <c r="O2" s="135" t="s">
        <v>190</v>
      </c>
      <c r="P2" s="135" t="s">
        <v>42</v>
      </c>
      <c r="Q2" s="134"/>
      <c r="R2" s="134"/>
      <c r="S2" s="134"/>
    </row>
    <row r="3" customFormat="false" ht="8.5" hidden="false" customHeight="true" outlineLevel="0" collapsed="false">
      <c r="A3" s="136" t="n">
        <f aca="false">AND(IF(L23&gt;=3))</f>
        <v>0</v>
      </c>
      <c r="B3" s="136" t="n">
        <f aca="false">AND(IF(L23&gt;=1))</f>
        <v>0</v>
      </c>
      <c r="C3" s="136" t="n">
        <f aca="false">AND(IF(L23&gt;=4))</f>
        <v>0</v>
      </c>
      <c r="D3" s="136" t="n">
        <f aca="false">AND(IF(L23&gt;=6),IF(Planètes!T13&gt;=3))</f>
        <v>0</v>
      </c>
      <c r="E3" s="136" t="n">
        <f aca="false">AND(IF(L23&gt;=2))</f>
        <v>0</v>
      </c>
      <c r="F3" s="136" t="n">
        <f aca="false">AND(IF(L23&gt;=1))</f>
        <v>0</v>
      </c>
      <c r="G3" s="136" t="n">
        <f aca="false">AND(IF(L23&gt;=7),IF(Planètes!T17&gt;=5),IF(Planètes!T13&gt;=5))</f>
        <v>0</v>
      </c>
      <c r="H3" s="136" t="n">
        <f aca="false">AND(IF(L23&gt;=1),IF(Planètes!T13&gt;=1))</f>
        <v>0</v>
      </c>
      <c r="I3" s="136" t="n">
        <f aca="false">AND(IF(L23&gt;=2),IF(Planètes!T13&gt;=1))</f>
        <v>0</v>
      </c>
      <c r="J3" s="136" t="n">
        <f aca="false">AND(IF(L23&gt;=7),IF(Planètes!T27&gt;=3))</f>
        <v>0</v>
      </c>
      <c r="K3" s="136" t="n">
        <f aca="false">AND(IF(L23&gt;=1),IF(Planètes!T13&gt;=2))</f>
        <v>0</v>
      </c>
      <c r="L3" s="136" t="n">
        <f aca="false">AND(IF(L23&gt;=4),IF(Planètes!T13&gt;=4),IF(Planètes!T28&gt;=5))</f>
        <v>0</v>
      </c>
      <c r="M3" s="136" t="n">
        <f aca="false">AND(IF(L23&gt;=4),IF(Planètes!T13&gt;=8),IF(Planètes!T28&gt;=10),IF(Planètes!T14&gt;=5))</f>
        <v>0</v>
      </c>
      <c r="N3" s="136" t="n">
        <f aca="false">AND(IF(L23&gt;=10),IF(Planètes!T20&gt;=8),IF(Planètes!T27&gt;=8))</f>
        <v>0</v>
      </c>
      <c r="O3" s="136" t="n">
        <f aca="false">AND(IF(L23&gt;=3),IF(Planètes!T19&gt;=4),IF(Planètes!T25&gt;=3))</f>
        <v>0</v>
      </c>
      <c r="P3" s="136" t="n">
        <f aca="false">AND(IF(L23&gt;=12))</f>
        <v>0</v>
      </c>
      <c r="Q3" s="134"/>
      <c r="R3" s="134"/>
      <c r="S3" s="134"/>
    </row>
    <row r="4" customFormat="false" ht="8.5" hidden="false" customHeight="true" outlineLevel="0" collapsed="false">
      <c r="A4" s="135" t="s">
        <v>191</v>
      </c>
      <c r="B4" s="135" t="s">
        <v>192</v>
      </c>
      <c r="C4" s="135" t="s">
        <v>69</v>
      </c>
      <c r="D4" s="135" t="s">
        <v>193</v>
      </c>
      <c r="E4" s="135" t="s">
        <v>73</v>
      </c>
      <c r="F4" s="135" t="s">
        <v>194</v>
      </c>
      <c r="G4" s="135" t="s">
        <v>195</v>
      </c>
      <c r="H4" s="135" t="s">
        <v>196</v>
      </c>
      <c r="I4" s="135" t="s">
        <v>197</v>
      </c>
      <c r="J4" s="135" t="s">
        <v>198</v>
      </c>
      <c r="K4" s="135" t="s">
        <v>80</v>
      </c>
      <c r="L4" s="135" t="s">
        <v>82</v>
      </c>
      <c r="M4" s="135" t="s">
        <v>83</v>
      </c>
      <c r="N4" s="135" t="s">
        <v>84</v>
      </c>
      <c r="O4" s="137"/>
      <c r="P4" s="138"/>
      <c r="Q4" s="134"/>
      <c r="R4" s="134"/>
      <c r="S4" s="134"/>
    </row>
    <row r="5" customFormat="false" ht="8.5" hidden="false" customHeight="true" outlineLevel="0" collapsed="false">
      <c r="A5" s="136" t="n">
        <f aca="false">AND(IF(L17&gt;=2),IF(Planètes!T24&gt;=2))</f>
        <v>0</v>
      </c>
      <c r="B5" s="136" t="n">
        <f aca="false">AND(IF(L17&gt;=4),IF(Planètes!T24&gt;=6))</f>
        <v>0</v>
      </c>
      <c r="C5" s="136" t="n">
        <f aca="false">AND(IF(L17&gt;=1),IF(Planètes!T24&gt;=1))</f>
        <v>0</v>
      </c>
      <c r="D5" s="136" t="n">
        <f aca="false">AND(IF(L17&gt;=3),IF(Planètes!T18&gt;=2),IF(Planètes!T25&gt;=2))</f>
        <v>0</v>
      </c>
      <c r="E5" s="136" t="n">
        <f aca="false">AND(IF(L17&gt;=5),IF(Planètes!T25&gt;=4),IF(Planètes!T14&gt;=2))</f>
        <v>0</v>
      </c>
      <c r="F5" s="136" t="n">
        <f aca="false">AND(IF(L17&gt;=7),IF(Planètes!T26&gt;=4))</f>
        <v>0</v>
      </c>
      <c r="G5" s="136" t="n">
        <f aca="false">AND(IF(L17&gt;=4),IF(Planètes!T25&gt;=3))</f>
        <v>0</v>
      </c>
      <c r="H5" s="136" t="n">
        <f aca="false">AND(IF(L17&gt;=3),IF(Planètes!T19&gt;=2),IF(Planètes!T24&gt;=3))</f>
        <v>0</v>
      </c>
      <c r="I5" s="136" t="n">
        <f aca="false">AND(IF(L17&gt;=1))</f>
        <v>0</v>
      </c>
      <c r="J5" s="136" t="n">
        <f aca="false">AND(IF(L17&gt;=4),IF(Planètes!T17&gt;=2),IF(Planètes!T24&gt;=6))</f>
        <v>0</v>
      </c>
      <c r="K5" s="136" t="n">
        <f aca="false">AND(IF(L17&gt;=8),IF(Planètes!T25&gt;=6),(Planètes!T15&gt;=5))</f>
        <v>0</v>
      </c>
      <c r="L5" s="136" t="n">
        <f aca="false">AND(IF(L17&gt;=9),IF(Planètes!T27&gt;=5),IF(Planètes!T26&gt;=6))</f>
        <v>0</v>
      </c>
      <c r="M5" s="136" t="n">
        <f aca="false">AND(IF(L17&gt;=12),IF(Planètes!T27&gt;=6),IF(Planètes!T26&gt;=7),IF(Planètes!T23&gt;=1))</f>
        <v>0</v>
      </c>
      <c r="N5" s="136" t="n">
        <f aca="false">AND(IF(L17&gt;=8),IF(Planètes!T27&gt;=5),IF(Planètes!T26&gt;=5),IF(Planètes!T28&gt;=12))</f>
        <v>0</v>
      </c>
      <c r="O5" s="137"/>
      <c r="P5" s="138"/>
      <c r="Q5" s="134"/>
      <c r="R5" s="134"/>
      <c r="S5" s="134"/>
    </row>
    <row r="6" customFormat="false" ht="8.5" hidden="false" customHeight="true" outlineLevel="0" collapsed="false">
      <c r="A6" s="135" t="s">
        <v>85</v>
      </c>
      <c r="B6" s="135" t="s">
        <v>199</v>
      </c>
      <c r="C6" s="135" t="s">
        <v>200</v>
      </c>
      <c r="D6" s="135" t="s">
        <v>201</v>
      </c>
      <c r="E6" s="135" t="s">
        <v>27</v>
      </c>
      <c r="F6" s="135" t="s">
        <v>25</v>
      </c>
      <c r="G6" s="135" t="s">
        <v>89</v>
      </c>
      <c r="H6" s="135" t="s">
        <v>90</v>
      </c>
      <c r="I6" s="139"/>
      <c r="J6" s="135" t="s">
        <v>202</v>
      </c>
      <c r="K6" s="135" t="s">
        <v>203</v>
      </c>
      <c r="L6" s="135" t="s">
        <v>55</v>
      </c>
      <c r="M6" s="135" t="s">
        <v>204</v>
      </c>
      <c r="N6" s="137"/>
      <c r="O6" s="137"/>
      <c r="P6" s="138"/>
      <c r="Q6" s="134"/>
      <c r="R6" s="134"/>
      <c r="S6" s="134"/>
    </row>
    <row r="7" customFormat="false" ht="8.5" hidden="false" customHeight="true" outlineLevel="0" collapsed="false">
      <c r="A7" s="136" t="n">
        <f aca="false">AND(IF(L17&gt;=1))</f>
        <v>0</v>
      </c>
      <c r="B7" s="136" t="n">
        <f aca="false">AND(IF(L17&gt;=2),IF(Planètes!T13&gt;=1),(Planètes!T28&gt;=3))</f>
        <v>0</v>
      </c>
      <c r="C7" s="136" t="n">
        <f aca="false">AND(IF(L17&gt;=4),IF(Planètes!T13&gt;=3),(Planètes!T28&gt;=6))</f>
        <v>0</v>
      </c>
      <c r="D7" s="136" t="n">
        <f aca="false">AND(IF(L17&gt;=6),IF(Planètes!T16&gt;=3),IF(Planètes!T17&gt;=1),IF(Planètes!T13&gt;=6))</f>
        <v>0</v>
      </c>
      <c r="E7" s="140" t="n">
        <f aca="false">AND(IF(L17&gt;=8),IF(Planètes!T15&gt;=7))</f>
        <v>0</v>
      </c>
      <c r="F7" s="136" t="n">
        <f aca="false">AND(IF(L17&gt;=4),IF(Planètes!T14&gt;=4))</f>
        <v>0</v>
      </c>
      <c r="G7" s="136" t="n">
        <f aca="false">AND(IF(L17&gt;=1),IF(Planètes!T17&gt;=2))</f>
        <v>0</v>
      </c>
      <c r="H7" s="136" t="n">
        <f aca="false">AND(IF(L17&gt;=6),IF(Planètes!T17&gt;=6))</f>
        <v>0</v>
      </c>
      <c r="I7" s="141"/>
      <c r="J7" s="136" t="n">
        <f aca="false">AND(IF(L14&gt;=10),IF(Planètes!T20&gt;=10))</f>
        <v>0</v>
      </c>
      <c r="K7" s="136" t="n">
        <f aca="false">AND(IF(L14&gt;=2))</f>
        <v>0</v>
      </c>
      <c r="L7" s="136" t="n">
        <f aca="false">AND(IF(L20&gt;=1),IF(Planètes!T13&gt;=12))</f>
        <v>0</v>
      </c>
      <c r="M7" s="136" t="n">
        <f aca="false">AND(IF(L17&gt;=2))</f>
        <v>0</v>
      </c>
      <c r="N7" s="142"/>
      <c r="O7" s="142"/>
      <c r="P7" s="143"/>
      <c r="Q7" s="134"/>
      <c r="R7" s="134"/>
      <c r="S7" s="134"/>
    </row>
    <row r="8" customFormat="false" ht="8.5" hidden="false" customHeight="true" outlineLevel="0" collapsed="false">
      <c r="Q8" s="134"/>
      <c r="R8" s="134"/>
      <c r="S8" s="134"/>
    </row>
    <row r="9" customFormat="false" ht="8.5" hidden="false" customHeight="true" outlineLevel="0" collapsed="false">
      <c r="A9" s="144" t="s">
        <v>205</v>
      </c>
      <c r="B9" s="144"/>
      <c r="C9" s="144"/>
      <c r="D9" s="144"/>
      <c r="E9" s="144"/>
      <c r="F9" s="144"/>
      <c r="G9" s="144"/>
      <c r="H9" s="144"/>
      <c r="I9" s="144"/>
      <c r="J9" s="144"/>
      <c r="Q9" s="134"/>
      <c r="R9" s="134"/>
      <c r="S9" s="134"/>
    </row>
    <row r="10" customFormat="false" ht="8.5" hidden="false" customHeight="true" outlineLevel="0" collapsed="false">
      <c r="A10" s="145"/>
      <c r="B10" s="135" t="s">
        <v>206</v>
      </c>
      <c r="C10" s="135" t="s">
        <v>34</v>
      </c>
      <c r="D10" s="135" t="s">
        <v>187</v>
      </c>
      <c r="E10" s="135" t="s">
        <v>30</v>
      </c>
      <c r="F10" s="135" t="s">
        <v>19</v>
      </c>
      <c r="G10" s="135" t="s">
        <v>189</v>
      </c>
      <c r="H10" s="135" t="s">
        <v>46</v>
      </c>
      <c r="I10" s="135" t="s">
        <v>52</v>
      </c>
      <c r="J10" s="135" t="s">
        <v>25</v>
      </c>
      <c r="K10" s="146"/>
      <c r="L10" s="146"/>
      <c r="M10" s="146"/>
      <c r="N10" s="146"/>
      <c r="O10" s="146"/>
      <c r="P10" s="134"/>
      <c r="Q10" s="134"/>
      <c r="R10" s="134"/>
      <c r="S10" s="134"/>
    </row>
    <row r="11" customFormat="false" ht="8.5" hidden="false" customHeight="true" outlineLevel="0" collapsed="false">
      <c r="A11" s="135" t="s">
        <v>186</v>
      </c>
      <c r="B11" s="145" t="n">
        <v>3</v>
      </c>
      <c r="C11" s="137"/>
      <c r="D11" s="137"/>
      <c r="E11" s="137"/>
      <c r="F11" s="137"/>
      <c r="G11" s="137"/>
      <c r="H11" s="137"/>
      <c r="I11" s="137"/>
      <c r="J11" s="138"/>
      <c r="K11" s="147"/>
      <c r="L11" s="147"/>
      <c r="M11" s="147"/>
      <c r="N11" s="147"/>
      <c r="O11" s="147"/>
      <c r="P11" s="134"/>
      <c r="Q11" s="134"/>
      <c r="R11" s="134"/>
      <c r="S11" s="134"/>
    </row>
    <row r="12" customFormat="false" ht="8.5" hidden="false" customHeight="true" outlineLevel="0" collapsed="false">
      <c r="A12" s="135" t="s">
        <v>187</v>
      </c>
      <c r="B12" s="145" t="n">
        <v>1</v>
      </c>
      <c r="C12" s="137"/>
      <c r="D12" s="137"/>
      <c r="E12" s="137"/>
      <c r="F12" s="137"/>
      <c r="G12" s="137"/>
      <c r="H12" s="137"/>
      <c r="I12" s="137"/>
      <c r="J12" s="138"/>
      <c r="K12" s="146"/>
      <c r="L12" s="146"/>
      <c r="M12" s="146"/>
      <c r="N12" s="146"/>
      <c r="O12" s="146"/>
      <c r="P12" s="134"/>
      <c r="Q12" s="134"/>
      <c r="R12" s="134"/>
      <c r="S12" s="134"/>
    </row>
    <row r="13" customFormat="false" ht="8.5" hidden="false" customHeight="true" outlineLevel="0" collapsed="false">
      <c r="A13" s="135" t="s">
        <v>29</v>
      </c>
      <c r="B13" s="145" t="n">
        <v>4</v>
      </c>
      <c r="C13" s="137"/>
      <c r="D13" s="137"/>
      <c r="E13" s="137"/>
      <c r="F13" s="137"/>
      <c r="G13" s="137"/>
      <c r="H13" s="137"/>
      <c r="I13" s="137"/>
      <c r="J13" s="138"/>
      <c r="K13" s="146"/>
      <c r="L13" s="135" t="s">
        <v>207</v>
      </c>
      <c r="M13" s="135"/>
      <c r="N13" s="135"/>
      <c r="O13" s="135"/>
      <c r="P13" s="135"/>
      <c r="Q13" s="134"/>
      <c r="R13" s="134"/>
      <c r="S13" s="134"/>
    </row>
    <row r="14" customFormat="false" ht="8.5" hidden="false" customHeight="true" outlineLevel="0" collapsed="false">
      <c r="A14" s="135" t="s">
        <v>30</v>
      </c>
      <c r="B14" s="145" t="n">
        <v>6</v>
      </c>
      <c r="C14" s="137"/>
      <c r="D14" s="137"/>
      <c r="E14" s="137"/>
      <c r="F14" s="145" t="n">
        <v>3</v>
      </c>
      <c r="G14" s="137"/>
      <c r="H14" s="137"/>
      <c r="I14" s="137"/>
      <c r="J14" s="138"/>
      <c r="K14" s="146"/>
      <c r="L14" s="148" t="n">
        <v>0</v>
      </c>
      <c r="M14" s="148"/>
      <c r="N14" s="148"/>
      <c r="O14" s="148"/>
      <c r="P14" s="148"/>
      <c r="Q14" s="134"/>
      <c r="R14" s="134"/>
      <c r="S14" s="134"/>
    </row>
    <row r="15" customFormat="false" ht="8.5" hidden="false" customHeight="true" outlineLevel="0" collapsed="false">
      <c r="A15" s="135" t="s">
        <v>188</v>
      </c>
      <c r="B15" s="145" t="n">
        <v>2</v>
      </c>
      <c r="C15" s="137"/>
      <c r="D15" s="137"/>
      <c r="E15" s="137"/>
      <c r="F15" s="137"/>
      <c r="G15" s="137"/>
      <c r="H15" s="137"/>
      <c r="I15" s="137"/>
      <c r="J15" s="138"/>
      <c r="K15" s="146"/>
      <c r="L15" s="148"/>
      <c r="M15" s="148"/>
      <c r="N15" s="148"/>
      <c r="O15" s="148"/>
      <c r="P15" s="148"/>
      <c r="Q15" s="134"/>
      <c r="R15" s="134"/>
      <c r="S15" s="134"/>
    </row>
    <row r="16" customFormat="false" ht="8.5" hidden="false" customHeight="true" outlineLevel="0" collapsed="false">
      <c r="A16" s="135" t="s">
        <v>19</v>
      </c>
      <c r="B16" s="145" t="n">
        <v>1</v>
      </c>
      <c r="C16" s="137"/>
      <c r="D16" s="137"/>
      <c r="E16" s="137"/>
      <c r="F16" s="137"/>
      <c r="G16" s="137"/>
      <c r="H16" s="137"/>
      <c r="I16" s="137"/>
      <c r="J16" s="138"/>
      <c r="K16" s="146"/>
      <c r="L16" s="135" t="s">
        <v>208</v>
      </c>
      <c r="M16" s="135"/>
      <c r="N16" s="135"/>
      <c r="O16" s="135"/>
      <c r="P16" s="135"/>
      <c r="Q16" s="134"/>
      <c r="R16" s="134"/>
      <c r="S16" s="134"/>
    </row>
    <row r="17" customFormat="false" ht="8.5" hidden="false" customHeight="true" outlineLevel="0" collapsed="false">
      <c r="A17" s="135" t="s">
        <v>189</v>
      </c>
      <c r="B17" s="145" t="n">
        <v>7</v>
      </c>
      <c r="C17" s="137"/>
      <c r="D17" s="137"/>
      <c r="E17" s="145" t="n">
        <v>5</v>
      </c>
      <c r="F17" s="145" t="n">
        <v>5</v>
      </c>
      <c r="G17" s="137"/>
      <c r="H17" s="137"/>
      <c r="I17" s="137"/>
      <c r="J17" s="138"/>
      <c r="K17" s="146"/>
      <c r="L17" s="148" t="n">
        <v>0</v>
      </c>
      <c r="M17" s="148"/>
      <c r="N17" s="148"/>
      <c r="O17" s="148"/>
      <c r="P17" s="148"/>
      <c r="Q17" s="134"/>
      <c r="R17" s="134"/>
      <c r="S17" s="134"/>
    </row>
    <row r="18" customFormat="false" ht="8.5" hidden="false" customHeight="true" outlineLevel="0" collapsed="false">
      <c r="A18" s="135" t="s">
        <v>44</v>
      </c>
      <c r="B18" s="145" t="n">
        <v>1</v>
      </c>
      <c r="C18" s="137"/>
      <c r="D18" s="137"/>
      <c r="E18" s="137"/>
      <c r="F18" s="145" t="n">
        <v>1</v>
      </c>
      <c r="G18" s="137"/>
      <c r="H18" s="137"/>
      <c r="I18" s="137"/>
      <c r="J18" s="138"/>
      <c r="K18" s="146"/>
      <c r="L18" s="148"/>
      <c r="M18" s="148"/>
      <c r="N18" s="148"/>
      <c r="O18" s="148"/>
      <c r="P18" s="148"/>
      <c r="Q18" s="134"/>
      <c r="R18" s="134"/>
      <c r="S18" s="134"/>
    </row>
    <row r="19" customFormat="false" ht="8.5" hidden="false" customHeight="true" outlineLevel="0" collapsed="false">
      <c r="A19" s="135" t="s">
        <v>46</v>
      </c>
      <c r="B19" s="145" t="n">
        <v>2</v>
      </c>
      <c r="C19" s="137"/>
      <c r="D19" s="137"/>
      <c r="E19" s="137"/>
      <c r="F19" s="145" t="n">
        <v>1</v>
      </c>
      <c r="G19" s="137"/>
      <c r="H19" s="137"/>
      <c r="I19" s="137"/>
      <c r="J19" s="138"/>
      <c r="K19" s="146"/>
      <c r="L19" s="135" t="s">
        <v>209</v>
      </c>
      <c r="M19" s="135"/>
      <c r="N19" s="135"/>
      <c r="O19" s="135"/>
      <c r="P19" s="135"/>
      <c r="Q19" s="134"/>
      <c r="R19" s="134"/>
      <c r="S19" s="134"/>
    </row>
    <row r="20" customFormat="false" ht="8.5" hidden="false" customHeight="true" outlineLevel="0" collapsed="false">
      <c r="A20" s="135" t="s">
        <v>48</v>
      </c>
      <c r="B20" s="145" t="n">
        <v>7</v>
      </c>
      <c r="C20" s="137"/>
      <c r="D20" s="137"/>
      <c r="E20" s="137"/>
      <c r="F20" s="137"/>
      <c r="G20" s="145" t="n">
        <v>3</v>
      </c>
      <c r="H20" s="137"/>
      <c r="I20" s="137"/>
      <c r="J20" s="138"/>
      <c r="K20" s="146"/>
      <c r="L20" s="148" t="n">
        <v>0</v>
      </c>
      <c r="M20" s="148"/>
      <c r="N20" s="148"/>
      <c r="O20" s="148"/>
      <c r="P20" s="148"/>
      <c r="Q20" s="134"/>
      <c r="R20" s="134"/>
      <c r="S20" s="134"/>
    </row>
    <row r="21" customFormat="false" ht="8.5" hidden="false" customHeight="true" outlineLevel="0" collapsed="false">
      <c r="A21" s="135" t="s">
        <v>52</v>
      </c>
      <c r="B21" s="145" t="n">
        <v>1</v>
      </c>
      <c r="C21" s="137"/>
      <c r="D21" s="137"/>
      <c r="E21" s="137"/>
      <c r="F21" s="145" t="n">
        <v>2</v>
      </c>
      <c r="G21" s="137"/>
      <c r="H21" s="137"/>
      <c r="I21" s="137"/>
      <c r="J21" s="138"/>
      <c r="K21" s="146"/>
      <c r="L21" s="148"/>
      <c r="M21" s="148"/>
      <c r="N21" s="148"/>
      <c r="O21" s="148"/>
      <c r="P21" s="148"/>
      <c r="Q21" s="134"/>
      <c r="R21" s="134"/>
      <c r="S21" s="134"/>
    </row>
    <row r="22" customFormat="false" ht="8.5" hidden="false" customHeight="true" outlineLevel="0" collapsed="false">
      <c r="A22" s="135" t="s">
        <v>25</v>
      </c>
      <c r="B22" s="145" t="n">
        <v>4</v>
      </c>
      <c r="C22" s="137"/>
      <c r="D22" s="137"/>
      <c r="E22" s="137"/>
      <c r="F22" s="145" t="n">
        <v>4</v>
      </c>
      <c r="G22" s="137"/>
      <c r="H22" s="137"/>
      <c r="I22" s="145" t="n">
        <v>5</v>
      </c>
      <c r="J22" s="138"/>
      <c r="K22" s="146"/>
      <c r="L22" s="135" t="s">
        <v>210</v>
      </c>
      <c r="M22" s="135"/>
      <c r="N22" s="135"/>
      <c r="O22" s="135"/>
      <c r="P22" s="135"/>
      <c r="Q22" s="134"/>
      <c r="R22" s="134"/>
      <c r="S22" s="134"/>
    </row>
    <row r="23" customFormat="false" ht="8.5" hidden="false" customHeight="true" outlineLevel="0" collapsed="false">
      <c r="A23" s="135" t="s">
        <v>27</v>
      </c>
      <c r="B23" s="145" t="n">
        <v>4</v>
      </c>
      <c r="C23" s="137"/>
      <c r="D23" s="137"/>
      <c r="E23" s="137"/>
      <c r="F23" s="145" t="n">
        <v>8</v>
      </c>
      <c r="G23" s="137"/>
      <c r="H23" s="137"/>
      <c r="I23" s="145" t="n">
        <v>10</v>
      </c>
      <c r="J23" s="145" t="n">
        <v>5</v>
      </c>
      <c r="K23" s="146"/>
      <c r="L23" s="148" t="n">
        <v>0</v>
      </c>
      <c r="M23" s="148"/>
      <c r="N23" s="148"/>
      <c r="O23" s="148"/>
      <c r="P23" s="148"/>
      <c r="Q23" s="134"/>
      <c r="R23" s="134"/>
      <c r="S23" s="134"/>
    </row>
    <row r="24" customFormat="false" ht="8.5" hidden="false" customHeight="true" outlineLevel="0" collapsed="false">
      <c r="A24" s="135" t="s">
        <v>40</v>
      </c>
      <c r="B24" s="145" t="n">
        <v>10</v>
      </c>
      <c r="C24" s="137"/>
      <c r="D24" s="145" t="n">
        <v>8</v>
      </c>
      <c r="E24" s="137"/>
      <c r="F24" s="137"/>
      <c r="G24" s="145" t="n">
        <v>8</v>
      </c>
      <c r="H24" s="137"/>
      <c r="I24" s="137"/>
      <c r="J24" s="138"/>
      <c r="K24" s="146"/>
      <c r="L24" s="148"/>
      <c r="M24" s="148"/>
      <c r="N24" s="148"/>
      <c r="O24" s="148"/>
      <c r="P24" s="148"/>
      <c r="Q24" s="134"/>
      <c r="R24" s="134"/>
      <c r="S24" s="134"/>
    </row>
    <row r="25" customFormat="false" ht="8.5" hidden="false" customHeight="true" outlineLevel="0" collapsed="false">
      <c r="A25" s="135" t="s">
        <v>42</v>
      </c>
      <c r="B25" s="145" t="n">
        <v>12</v>
      </c>
      <c r="C25" s="137"/>
      <c r="D25" s="137"/>
      <c r="E25" s="137"/>
      <c r="F25" s="137"/>
      <c r="G25" s="137"/>
      <c r="H25" s="137"/>
      <c r="I25" s="137"/>
      <c r="J25" s="138"/>
      <c r="K25" s="146"/>
      <c r="L25" s="146"/>
      <c r="M25" s="146"/>
      <c r="N25" s="146"/>
      <c r="O25" s="146"/>
      <c r="P25" s="134"/>
      <c r="Q25" s="134"/>
      <c r="R25" s="134"/>
      <c r="S25" s="134"/>
    </row>
    <row r="26" customFormat="false" ht="8.5" hidden="false" customHeight="true" outlineLevel="0" collapsed="false">
      <c r="A26" s="135" t="s">
        <v>190</v>
      </c>
      <c r="B26" s="145" t="n">
        <v>3</v>
      </c>
      <c r="C26" s="145" t="n">
        <v>4</v>
      </c>
      <c r="D26" s="142"/>
      <c r="E26" s="142"/>
      <c r="F26" s="142"/>
      <c r="G26" s="142"/>
      <c r="H26" s="145" t="n">
        <v>3</v>
      </c>
      <c r="I26" s="142"/>
      <c r="J26" s="143"/>
      <c r="K26" s="146"/>
      <c r="L26" s="146"/>
      <c r="M26" s="146"/>
      <c r="N26" s="146"/>
      <c r="O26" s="146"/>
      <c r="P26" s="134"/>
      <c r="Q26" s="134"/>
      <c r="R26" s="134"/>
      <c r="S26" s="134"/>
    </row>
    <row r="27" customFormat="false" ht="8.5" hidden="false" customHeight="true" outlineLevel="0" collapsed="false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6"/>
      <c r="L27" s="146"/>
      <c r="M27" s="146"/>
      <c r="N27" s="146"/>
      <c r="O27" s="146"/>
      <c r="P27" s="134"/>
      <c r="Q27" s="134"/>
      <c r="R27" s="134"/>
      <c r="S27" s="134"/>
    </row>
    <row r="28" customFormat="false" ht="8.5" hidden="false" customHeight="true" outlineLevel="0" collapsed="false">
      <c r="A28" s="144" t="s">
        <v>211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34"/>
      <c r="Q28" s="134"/>
      <c r="R28" s="134"/>
      <c r="S28" s="134"/>
    </row>
    <row r="29" customFormat="false" ht="8.5" hidden="false" customHeight="true" outlineLevel="0" collapsed="false">
      <c r="A29" s="149"/>
      <c r="B29" s="135" t="s">
        <v>203</v>
      </c>
      <c r="C29" s="135" t="s">
        <v>34</v>
      </c>
      <c r="D29" s="135" t="s">
        <v>29</v>
      </c>
      <c r="E29" s="135" t="s">
        <v>30</v>
      </c>
      <c r="F29" s="135" t="s">
        <v>188</v>
      </c>
      <c r="G29" s="135" t="s">
        <v>19</v>
      </c>
      <c r="H29" s="135" t="s">
        <v>189</v>
      </c>
      <c r="I29" s="135" t="s">
        <v>44</v>
      </c>
      <c r="J29" s="135" t="s">
        <v>46</v>
      </c>
      <c r="K29" s="135" t="s">
        <v>48</v>
      </c>
      <c r="L29" s="135" t="s">
        <v>52</v>
      </c>
      <c r="M29" s="135" t="s">
        <v>25</v>
      </c>
      <c r="N29" s="135" t="s">
        <v>27</v>
      </c>
      <c r="O29" s="135" t="s">
        <v>42</v>
      </c>
      <c r="P29" s="134"/>
      <c r="Q29" s="134"/>
      <c r="R29" s="134"/>
      <c r="S29" s="134"/>
    </row>
    <row r="30" customFormat="false" ht="8.5" hidden="false" customHeight="true" outlineLevel="0" collapsed="false">
      <c r="A30" s="135" t="s">
        <v>191</v>
      </c>
      <c r="B30" s="145" t="n">
        <v>2</v>
      </c>
      <c r="C30" s="150"/>
      <c r="D30" s="150"/>
      <c r="E30" s="150"/>
      <c r="F30" s="150"/>
      <c r="G30" s="150"/>
      <c r="H30" s="150"/>
      <c r="I30" s="149" t="n">
        <v>2</v>
      </c>
      <c r="J30" s="150"/>
      <c r="K30" s="150"/>
      <c r="L30" s="150"/>
      <c r="M30" s="150"/>
      <c r="N30" s="150"/>
      <c r="O30" s="138"/>
      <c r="P30" s="134"/>
      <c r="Q30" s="134"/>
      <c r="R30" s="134"/>
      <c r="S30" s="134"/>
    </row>
    <row r="31" customFormat="false" ht="8.5" hidden="false" customHeight="true" outlineLevel="0" collapsed="false">
      <c r="A31" s="135" t="s">
        <v>192</v>
      </c>
      <c r="B31" s="145" t="n">
        <v>4</v>
      </c>
      <c r="C31" s="150"/>
      <c r="D31" s="150"/>
      <c r="E31" s="150"/>
      <c r="F31" s="150"/>
      <c r="G31" s="150"/>
      <c r="H31" s="150"/>
      <c r="I31" s="149" t="n">
        <v>6</v>
      </c>
      <c r="J31" s="150"/>
      <c r="K31" s="150"/>
      <c r="L31" s="150"/>
      <c r="M31" s="150"/>
      <c r="N31" s="150"/>
      <c r="O31" s="138"/>
      <c r="P31" s="134"/>
      <c r="Q31" s="134"/>
      <c r="R31" s="134"/>
      <c r="S31" s="134"/>
    </row>
    <row r="32" customFormat="false" ht="8.5" hidden="false" customHeight="true" outlineLevel="0" collapsed="false">
      <c r="A32" s="135" t="s">
        <v>69</v>
      </c>
      <c r="B32" s="145" t="n">
        <v>1</v>
      </c>
      <c r="C32" s="150"/>
      <c r="D32" s="150"/>
      <c r="E32" s="150"/>
      <c r="F32" s="150"/>
      <c r="G32" s="150"/>
      <c r="H32" s="150"/>
      <c r="I32" s="149" t="n">
        <v>1</v>
      </c>
      <c r="J32" s="150"/>
      <c r="K32" s="150"/>
      <c r="L32" s="150"/>
      <c r="M32" s="150"/>
      <c r="N32" s="150"/>
      <c r="O32" s="138"/>
      <c r="P32" s="134"/>
      <c r="Q32" s="134"/>
      <c r="R32" s="134"/>
      <c r="S32" s="134"/>
    </row>
    <row r="33" customFormat="false" ht="8.5" hidden="false" customHeight="true" outlineLevel="0" collapsed="false">
      <c r="A33" s="135" t="s">
        <v>193</v>
      </c>
      <c r="B33" s="145" t="n">
        <v>3</v>
      </c>
      <c r="C33" s="150"/>
      <c r="D33" s="150"/>
      <c r="E33" s="150"/>
      <c r="F33" s="149" t="n">
        <v>2</v>
      </c>
      <c r="G33" s="150"/>
      <c r="H33" s="150"/>
      <c r="I33" s="150"/>
      <c r="J33" s="149" t="n">
        <v>2</v>
      </c>
      <c r="K33" s="150"/>
      <c r="L33" s="150"/>
      <c r="M33" s="150"/>
      <c r="N33" s="150"/>
      <c r="O33" s="138"/>
      <c r="P33" s="134"/>
      <c r="Q33" s="134"/>
      <c r="R33" s="134"/>
      <c r="S33" s="134"/>
    </row>
    <row r="34" customFormat="false" ht="8.5" hidden="false" customHeight="true" outlineLevel="0" collapsed="false">
      <c r="A34" s="135" t="s">
        <v>212</v>
      </c>
      <c r="B34" s="145" t="n">
        <v>5</v>
      </c>
      <c r="C34" s="150"/>
      <c r="D34" s="150"/>
      <c r="E34" s="150"/>
      <c r="F34" s="150"/>
      <c r="G34" s="150"/>
      <c r="H34" s="150"/>
      <c r="I34" s="150"/>
      <c r="J34" s="149" t="n">
        <v>4</v>
      </c>
      <c r="K34" s="150"/>
      <c r="L34" s="150"/>
      <c r="M34" s="149" t="n">
        <v>2</v>
      </c>
      <c r="N34" s="150"/>
      <c r="O34" s="138"/>
      <c r="P34" s="134"/>
      <c r="Q34" s="134"/>
      <c r="R34" s="134"/>
      <c r="S34" s="134"/>
    </row>
    <row r="35" customFormat="false" ht="8.5" hidden="false" customHeight="true" outlineLevel="0" collapsed="false">
      <c r="A35" s="135" t="s">
        <v>194</v>
      </c>
      <c r="B35" s="145" t="n">
        <v>7</v>
      </c>
      <c r="C35" s="150"/>
      <c r="D35" s="150"/>
      <c r="E35" s="150"/>
      <c r="F35" s="150"/>
      <c r="G35" s="150"/>
      <c r="H35" s="150"/>
      <c r="I35" s="150"/>
      <c r="J35" s="150"/>
      <c r="K35" s="149" t="n">
        <v>4</v>
      </c>
      <c r="L35" s="150"/>
      <c r="M35" s="150"/>
      <c r="N35" s="150"/>
      <c r="O35" s="138"/>
      <c r="P35" s="134"/>
      <c r="Q35" s="134"/>
      <c r="R35" s="134"/>
      <c r="S35" s="134"/>
    </row>
    <row r="36" customFormat="false" ht="8.5" hidden="false" customHeight="true" outlineLevel="0" collapsed="false">
      <c r="A36" s="135" t="s">
        <v>195</v>
      </c>
      <c r="B36" s="145" t="n">
        <v>4</v>
      </c>
      <c r="C36" s="150"/>
      <c r="D36" s="150"/>
      <c r="E36" s="150"/>
      <c r="F36" s="150"/>
      <c r="G36" s="150"/>
      <c r="H36" s="150"/>
      <c r="I36" s="150"/>
      <c r="J36" s="149" t="n">
        <v>3</v>
      </c>
      <c r="K36" s="150"/>
      <c r="L36" s="150"/>
      <c r="M36" s="150"/>
      <c r="N36" s="150"/>
      <c r="O36" s="138"/>
      <c r="P36" s="134"/>
      <c r="Q36" s="134"/>
      <c r="R36" s="134"/>
      <c r="S36" s="134"/>
    </row>
    <row r="37" customFormat="false" ht="8.5" hidden="false" customHeight="true" outlineLevel="0" collapsed="false">
      <c r="A37" s="135" t="s">
        <v>196</v>
      </c>
      <c r="B37" s="145" t="n">
        <v>3</v>
      </c>
      <c r="C37" s="149" t="n">
        <v>2</v>
      </c>
      <c r="D37" s="150"/>
      <c r="E37" s="150"/>
      <c r="F37" s="150"/>
      <c r="G37" s="150"/>
      <c r="H37" s="150"/>
      <c r="I37" s="149" t="n">
        <v>3</v>
      </c>
      <c r="J37" s="150"/>
      <c r="K37" s="150"/>
      <c r="L37" s="150"/>
      <c r="M37" s="150"/>
      <c r="N37" s="150"/>
      <c r="O37" s="138"/>
      <c r="P37" s="134"/>
      <c r="Q37" s="134"/>
      <c r="R37" s="134"/>
      <c r="S37" s="134"/>
    </row>
    <row r="38" customFormat="false" ht="8.5" hidden="false" customHeight="true" outlineLevel="0" collapsed="false">
      <c r="A38" s="135" t="s">
        <v>197</v>
      </c>
      <c r="B38" s="145" t="n">
        <v>1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38"/>
      <c r="P38" s="134"/>
      <c r="Q38" s="134"/>
      <c r="R38" s="134"/>
      <c r="S38" s="134"/>
    </row>
    <row r="39" customFormat="false" ht="8.5" hidden="false" customHeight="true" outlineLevel="0" collapsed="false">
      <c r="A39" s="135" t="s">
        <v>198</v>
      </c>
      <c r="B39" s="145" t="n">
        <v>4</v>
      </c>
      <c r="C39" s="150"/>
      <c r="D39" s="150"/>
      <c r="E39" s="149" t="n">
        <v>2</v>
      </c>
      <c r="F39" s="150"/>
      <c r="G39" s="150"/>
      <c r="H39" s="150"/>
      <c r="I39" s="149" t="n">
        <v>6</v>
      </c>
      <c r="J39" s="150"/>
      <c r="K39" s="150"/>
      <c r="L39" s="150"/>
      <c r="M39" s="150"/>
      <c r="N39" s="150"/>
      <c r="O39" s="138"/>
      <c r="P39" s="134"/>
      <c r="Q39" s="134"/>
      <c r="R39" s="134"/>
      <c r="S39" s="134"/>
    </row>
    <row r="40" customFormat="false" ht="8.5" hidden="false" customHeight="true" outlineLevel="0" collapsed="false">
      <c r="A40" s="135" t="s">
        <v>80</v>
      </c>
      <c r="B40" s="145" t="n">
        <v>8</v>
      </c>
      <c r="C40" s="150"/>
      <c r="D40" s="150"/>
      <c r="E40" s="150"/>
      <c r="F40" s="150"/>
      <c r="G40" s="150"/>
      <c r="H40" s="150"/>
      <c r="I40" s="150"/>
      <c r="J40" s="149" t="n">
        <v>6</v>
      </c>
      <c r="K40" s="150"/>
      <c r="L40" s="150"/>
      <c r="M40" s="150"/>
      <c r="N40" s="149" t="n">
        <v>5</v>
      </c>
      <c r="O40" s="138"/>
      <c r="P40" s="134"/>
      <c r="Q40" s="134"/>
      <c r="R40" s="134"/>
      <c r="S40" s="134"/>
    </row>
    <row r="41" customFormat="false" ht="8.5" hidden="false" customHeight="true" outlineLevel="0" collapsed="false">
      <c r="A41" s="135" t="s">
        <v>82</v>
      </c>
      <c r="B41" s="145" t="n">
        <v>9</v>
      </c>
      <c r="C41" s="150"/>
      <c r="D41" s="150"/>
      <c r="E41" s="150"/>
      <c r="F41" s="150"/>
      <c r="G41" s="150"/>
      <c r="H41" s="149" t="n">
        <v>5</v>
      </c>
      <c r="I41" s="150"/>
      <c r="J41" s="150"/>
      <c r="K41" s="149" t="n">
        <v>6</v>
      </c>
      <c r="L41" s="150"/>
      <c r="M41" s="150"/>
      <c r="N41" s="150"/>
      <c r="O41" s="138"/>
      <c r="P41" s="134"/>
      <c r="Q41" s="134"/>
      <c r="R41" s="134"/>
      <c r="S41" s="134"/>
    </row>
    <row r="42" customFormat="false" ht="8.5" hidden="false" customHeight="true" outlineLevel="0" collapsed="false">
      <c r="A42" s="135" t="s">
        <v>83</v>
      </c>
      <c r="B42" s="145" t="n">
        <v>12</v>
      </c>
      <c r="C42" s="150"/>
      <c r="D42" s="150"/>
      <c r="E42" s="150"/>
      <c r="F42" s="150"/>
      <c r="G42" s="150"/>
      <c r="H42" s="149" t="n">
        <v>6</v>
      </c>
      <c r="I42" s="150"/>
      <c r="J42" s="150"/>
      <c r="K42" s="149" t="n">
        <v>7</v>
      </c>
      <c r="L42" s="150"/>
      <c r="M42" s="150"/>
      <c r="N42" s="150"/>
      <c r="O42" s="149" t="n">
        <v>1</v>
      </c>
      <c r="P42" s="134"/>
      <c r="Q42" s="134"/>
      <c r="R42" s="134"/>
      <c r="S42" s="134"/>
    </row>
    <row r="43" customFormat="false" ht="8.5" hidden="false" customHeight="true" outlineLevel="0" collapsed="false">
      <c r="A43" s="135" t="s">
        <v>84</v>
      </c>
      <c r="B43" s="145" t="n">
        <v>8</v>
      </c>
      <c r="C43" s="150"/>
      <c r="D43" s="150"/>
      <c r="E43" s="150"/>
      <c r="F43" s="150"/>
      <c r="G43" s="150"/>
      <c r="H43" s="149" t="n">
        <v>5</v>
      </c>
      <c r="I43" s="150"/>
      <c r="J43" s="150"/>
      <c r="K43" s="149" t="n">
        <v>5</v>
      </c>
      <c r="L43" s="149" t="n">
        <v>12</v>
      </c>
      <c r="M43" s="150"/>
      <c r="N43" s="150"/>
      <c r="O43" s="138"/>
      <c r="P43" s="134"/>
      <c r="Q43" s="134"/>
      <c r="R43" s="134"/>
      <c r="S43" s="134"/>
    </row>
    <row r="44" customFormat="false" ht="8.5" hidden="false" customHeight="true" outlineLevel="0" collapsed="false">
      <c r="A44" s="135" t="s">
        <v>85</v>
      </c>
      <c r="B44" s="145" t="n">
        <v>1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38"/>
      <c r="P44" s="134"/>
      <c r="Q44" s="134"/>
      <c r="R44" s="134"/>
      <c r="S44" s="134"/>
    </row>
    <row r="45" customFormat="false" ht="8.5" hidden="false" customHeight="true" outlineLevel="0" collapsed="false">
      <c r="A45" s="135" t="s">
        <v>199</v>
      </c>
      <c r="B45" s="145" t="n">
        <v>2</v>
      </c>
      <c r="C45" s="150"/>
      <c r="D45" s="150"/>
      <c r="E45" s="150"/>
      <c r="F45" s="150"/>
      <c r="G45" s="149" t="n">
        <v>1</v>
      </c>
      <c r="H45" s="150"/>
      <c r="I45" s="150"/>
      <c r="J45" s="150"/>
      <c r="K45" s="150"/>
      <c r="L45" s="149" t="n">
        <v>3</v>
      </c>
      <c r="M45" s="150"/>
      <c r="N45" s="150"/>
      <c r="O45" s="138"/>
      <c r="P45" s="134"/>
      <c r="Q45" s="134"/>
      <c r="R45" s="134"/>
      <c r="S45" s="134"/>
    </row>
    <row r="46" customFormat="false" ht="8.5" hidden="false" customHeight="true" outlineLevel="0" collapsed="false">
      <c r="A46" s="135" t="s">
        <v>200</v>
      </c>
      <c r="B46" s="145" t="n">
        <v>4</v>
      </c>
      <c r="C46" s="150"/>
      <c r="D46" s="150"/>
      <c r="E46" s="150"/>
      <c r="F46" s="150"/>
      <c r="G46" s="149" t="n">
        <v>3</v>
      </c>
      <c r="H46" s="150"/>
      <c r="I46" s="150"/>
      <c r="J46" s="150"/>
      <c r="K46" s="150"/>
      <c r="L46" s="149" t="n">
        <v>6</v>
      </c>
      <c r="M46" s="150"/>
      <c r="N46" s="150"/>
      <c r="O46" s="138"/>
      <c r="P46" s="134"/>
      <c r="Q46" s="134"/>
      <c r="R46" s="134"/>
      <c r="S46" s="134"/>
    </row>
    <row r="47" customFormat="false" ht="8.5" hidden="false" customHeight="true" outlineLevel="0" collapsed="false">
      <c r="A47" s="135" t="s">
        <v>201</v>
      </c>
      <c r="B47" s="145" t="n">
        <v>6</v>
      </c>
      <c r="C47" s="150"/>
      <c r="D47" s="149" t="n">
        <v>3</v>
      </c>
      <c r="E47" s="149" t="n">
        <v>1</v>
      </c>
      <c r="F47" s="150"/>
      <c r="G47" s="149" t="n">
        <v>6</v>
      </c>
      <c r="H47" s="150"/>
      <c r="I47" s="150"/>
      <c r="J47" s="150"/>
      <c r="K47" s="150"/>
      <c r="L47" s="150"/>
      <c r="M47" s="150"/>
      <c r="N47" s="150"/>
      <c r="O47" s="138"/>
      <c r="P47" s="134"/>
      <c r="Q47" s="134"/>
      <c r="R47" s="134"/>
      <c r="S47" s="134"/>
    </row>
    <row r="48" customFormat="false" ht="8.5" hidden="false" customHeight="true" outlineLevel="0" collapsed="false">
      <c r="A48" s="135" t="s">
        <v>25</v>
      </c>
      <c r="B48" s="145" t="n">
        <v>4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49" t="n">
        <v>4</v>
      </c>
      <c r="N48" s="150"/>
      <c r="O48" s="138"/>
      <c r="P48" s="134"/>
      <c r="Q48" s="134"/>
      <c r="R48" s="134"/>
      <c r="S48" s="134"/>
    </row>
    <row r="49" customFormat="false" ht="8.5" hidden="false" customHeight="true" outlineLevel="0" collapsed="false">
      <c r="A49" s="135" t="s">
        <v>27</v>
      </c>
      <c r="B49" s="145" t="n">
        <v>8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49" t="n">
        <v>7</v>
      </c>
      <c r="O49" s="138"/>
      <c r="P49" s="134"/>
      <c r="Q49" s="134"/>
      <c r="R49" s="134"/>
      <c r="S49" s="134"/>
    </row>
    <row r="50" customFormat="false" ht="8.5" hidden="false" customHeight="true" outlineLevel="0" collapsed="false">
      <c r="A50" s="135" t="s">
        <v>89</v>
      </c>
      <c r="B50" s="145" t="n">
        <v>1</v>
      </c>
      <c r="C50" s="150"/>
      <c r="D50" s="150"/>
      <c r="E50" s="149" t="n">
        <v>2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38"/>
      <c r="P50" s="134"/>
      <c r="Q50" s="134"/>
      <c r="R50" s="134"/>
      <c r="S50" s="134"/>
    </row>
    <row r="51" customFormat="false" ht="8.5" hidden="false" customHeight="true" outlineLevel="0" collapsed="false">
      <c r="A51" s="135" t="s">
        <v>90</v>
      </c>
      <c r="B51" s="145" t="n">
        <v>6</v>
      </c>
      <c r="C51" s="142"/>
      <c r="D51" s="142"/>
      <c r="E51" s="149" t="n">
        <v>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3"/>
      <c r="P51" s="134"/>
      <c r="Q51" s="134"/>
      <c r="R51" s="134"/>
      <c r="S51" s="134"/>
    </row>
  </sheetData>
  <mergeCells count="11">
    <mergeCell ref="A1:P1"/>
    <mergeCell ref="A9:J9"/>
    <mergeCell ref="L13:P13"/>
    <mergeCell ref="L14:P15"/>
    <mergeCell ref="L16:P16"/>
    <mergeCell ref="L17:P18"/>
    <mergeCell ref="L19:P19"/>
    <mergeCell ref="L20:P21"/>
    <mergeCell ref="L22:P22"/>
    <mergeCell ref="L23:P24"/>
    <mergeCell ref="A28:O28"/>
  </mergeCells>
  <conditionalFormatting sqref="J7:L7">
    <cfRule type="containsText" priority="2" aboveAverage="0" equalAverage="0" bottom="0" percent="0" rank="0" text="" dxfId="0"/>
    <cfRule type="containsText" priority="3" aboveAverage="0" equalAverage="0" bottom="0" percent="0" rank="0" text="" dxfId="1"/>
  </conditionalFormatting>
  <conditionalFormatting sqref="B11">
    <cfRule type="cellIs" priority="4" operator="lessThanOrEqual" aboveAverage="0" equalAverage="0" bottom="0" percent="0" rank="0" text="" dxfId="2">
      <formula>Technologies!$L$23</formula>
    </cfRule>
    <cfRule type="cellIs" priority="5" operator="greaterThanOrEqual" aboveAverage="0" equalAverage="0" bottom="0" percent="0" rank="0" text="" dxfId="0">
      <formula>Technologies!$L$23</formula>
    </cfRule>
  </conditionalFormatting>
  <conditionalFormatting sqref="B12">
    <cfRule type="cellIs" priority="6" operator="lessThanOrEqual" aboveAverage="0" equalAverage="0" bottom="0" percent="0" rank="0" text="" dxfId="2">
      <formula>Technologies!$L$23</formula>
    </cfRule>
    <cfRule type="cellIs" priority="7" operator="greaterThanOrEqual" aboveAverage="0" equalAverage="0" bottom="0" percent="0" rank="0" text="" dxfId="3">
      <formula>Technologies!$L$23</formula>
    </cfRule>
  </conditionalFormatting>
  <conditionalFormatting sqref="B13">
    <cfRule type="cellIs" priority="8" operator="lessThanOrEqual" aboveAverage="0" equalAverage="0" bottom="0" percent="0" rank="0" text="" dxfId="2">
      <formula>Technologies!$L$23</formula>
    </cfRule>
    <cfRule type="cellIs" priority="9" operator="greaterThanOrEqual" aboveAverage="0" equalAverage="0" bottom="0" percent="0" rank="0" text="" dxfId="3">
      <formula>Technologies!$L$23</formula>
    </cfRule>
  </conditionalFormatting>
  <conditionalFormatting sqref="B14">
    <cfRule type="cellIs" priority="10" operator="lessThanOrEqual" aboveAverage="0" equalAverage="0" bottom="0" percent="0" rank="0" text="" dxfId="2">
      <formula>Technologies!$L$23</formula>
    </cfRule>
    <cfRule type="cellIs" priority="11" operator="greaterThanOrEqual" aboveAverage="0" equalAverage="0" bottom="0" percent="0" rank="0" text="" dxfId="3">
      <formula>Technologies!$L$23</formula>
    </cfRule>
  </conditionalFormatting>
  <conditionalFormatting sqref="B15">
    <cfRule type="cellIs" priority="12" operator="greaterThanOrEqual" aboveAverage="0" equalAverage="0" bottom="0" percent="0" rank="0" text="" dxfId="3">
      <formula>Technologies!$L$23</formula>
    </cfRule>
    <cfRule type="cellIs" priority="13" operator="lessThanOrEqual" aboveAverage="0" equalAverage="0" bottom="0" percent="0" rank="0" text="" dxfId="2">
      <formula>Technologies!$L$23</formula>
    </cfRule>
  </conditionalFormatting>
  <conditionalFormatting sqref="B16">
    <cfRule type="cellIs" priority="14" operator="lessThanOrEqual" aboveAverage="0" equalAverage="0" bottom="0" percent="0" rank="0" text="" dxfId="2">
      <formula>Technologies!$L$23</formula>
    </cfRule>
    <cfRule type="cellIs" priority="15" operator="greaterThanOrEqual" aboveAverage="0" equalAverage="0" bottom="0" percent="0" rank="0" text="" dxfId="3">
      <formula>Technologies!$L$23</formula>
    </cfRule>
  </conditionalFormatting>
  <conditionalFormatting sqref="B17">
    <cfRule type="cellIs" priority="16" operator="lessThanOrEqual" aboveAverage="0" equalAverage="0" bottom="0" percent="0" rank="0" text="" dxfId="2">
      <formula>Technologies!$L$23</formula>
    </cfRule>
    <cfRule type="cellIs" priority="17" operator="greaterThanOrEqual" aboveAverage="0" equalAverage="0" bottom="0" percent="0" rank="0" text="" dxfId="3">
      <formula>Technologies!$L$23</formula>
    </cfRule>
  </conditionalFormatting>
  <conditionalFormatting sqref="B18">
    <cfRule type="cellIs" priority="18" operator="lessThanOrEqual" aboveAverage="0" equalAverage="0" bottom="0" percent="0" rank="0" text="" dxfId="2">
      <formula>Technologies!$L$23</formula>
    </cfRule>
    <cfRule type="cellIs" priority="19" operator="greaterThanOrEqual" aboveAverage="0" equalAverage="0" bottom="0" percent="0" rank="0" text="" dxfId="3">
      <formula>Technologies!$L$23</formula>
    </cfRule>
  </conditionalFormatting>
  <conditionalFormatting sqref="B19">
    <cfRule type="cellIs" priority="20" operator="lessThanOrEqual" aboveAverage="0" equalAverage="0" bottom="0" percent="0" rank="0" text="" dxfId="2">
      <formula>Technologies!$L$23</formula>
    </cfRule>
    <cfRule type="cellIs" priority="21" operator="greaterThanOrEqual" aboveAverage="0" equalAverage="0" bottom="0" percent="0" rank="0" text="" dxfId="3">
      <formula>Technologies!$L$23</formula>
    </cfRule>
  </conditionalFormatting>
  <conditionalFormatting sqref="B20">
    <cfRule type="cellIs" priority="22" operator="lessThanOrEqual" aboveAverage="0" equalAverage="0" bottom="0" percent="0" rank="0" text="" dxfId="2">
      <formula>Technologies!$L$23</formula>
    </cfRule>
    <cfRule type="cellIs" priority="23" operator="greaterThanOrEqual" aboveAverage="0" equalAverage="0" bottom="0" percent="0" rank="0" text="" dxfId="3">
      <formula>Technologies!$L$23</formula>
    </cfRule>
  </conditionalFormatting>
  <conditionalFormatting sqref="B21">
    <cfRule type="cellIs" priority="24" operator="lessThanOrEqual" aboveAverage="0" equalAverage="0" bottom="0" percent="0" rank="0" text="" dxfId="2">
      <formula>Technologies!$L$23</formula>
    </cfRule>
    <cfRule type="cellIs" priority="25" operator="greaterThanOrEqual" aboveAverage="0" equalAverage="0" bottom="0" percent="0" rank="0" text="" dxfId="3">
      <formula>Technologies!$L$23</formula>
    </cfRule>
  </conditionalFormatting>
  <conditionalFormatting sqref="B22">
    <cfRule type="cellIs" priority="26" operator="lessThanOrEqual" aboveAverage="0" equalAverage="0" bottom="0" percent="0" rank="0" text="" dxfId="2">
      <formula>Technologies!$L$23</formula>
    </cfRule>
    <cfRule type="cellIs" priority="27" operator="greaterThan" aboveAverage="0" equalAverage="0" bottom="0" percent="0" rank="0" text="" dxfId="3">
      <formula>Technologies!$L$23</formula>
    </cfRule>
  </conditionalFormatting>
  <conditionalFormatting sqref="B23">
    <cfRule type="cellIs" priority="28" operator="lessThanOrEqual" aboveAverage="0" equalAverage="0" bottom="0" percent="0" rank="0" text="" dxfId="2">
      <formula>Technologies!$L$23</formula>
    </cfRule>
    <cfRule type="cellIs" priority="29" operator="greaterThanOrEqual" aboveAverage="0" equalAverage="0" bottom="0" percent="0" rank="0" text="" dxfId="3">
      <formula>Technologies!$L$23</formula>
    </cfRule>
  </conditionalFormatting>
  <conditionalFormatting sqref="B24">
    <cfRule type="cellIs" priority="30" operator="lessThanOrEqual" aboveAverage="0" equalAverage="0" bottom="0" percent="0" rank="0" text="" dxfId="2">
      <formula>Technologies!$L$23</formula>
    </cfRule>
    <cfRule type="cellIs" priority="31" operator="greaterThanOrEqual" aboveAverage="0" equalAverage="0" bottom="0" percent="0" rank="0" text="" dxfId="3">
      <formula>Technologies!$L$23</formula>
    </cfRule>
  </conditionalFormatting>
  <conditionalFormatting sqref="B25">
    <cfRule type="cellIs" priority="32" operator="lessThanOrEqual" aboveAverage="0" equalAverage="0" bottom="0" percent="0" rank="0" text="" dxfId="2">
      <formula>Technologies!$L$23</formula>
    </cfRule>
    <cfRule type="cellIs" priority="33" operator="greaterThanOrEqual" aboveAverage="0" equalAverage="0" bottom="0" percent="0" rank="0" text="" dxfId="3">
      <formula>Technologies!$L$23</formula>
    </cfRule>
  </conditionalFormatting>
  <conditionalFormatting sqref="B26">
    <cfRule type="cellIs" priority="34" operator="lessThanOrEqual" aboveAverage="0" equalAverage="0" bottom="0" percent="0" rank="0" text="" dxfId="2">
      <formula>Technologies!$L$23</formula>
    </cfRule>
    <cfRule type="cellIs" priority="35" operator="greaterThanOrEqual" aboveAverage="0" equalAverage="0" bottom="0" percent="0" rank="0" text="" dxfId="3">
      <formula>Technologies!$L$23</formula>
    </cfRule>
  </conditionalFormatting>
  <conditionalFormatting sqref="C26">
    <cfRule type="cellIs" priority="36" operator="lessThanOrEqual" aboveAverage="0" equalAverage="0" bottom="0" percent="0" rank="0" text="" dxfId="2">
      <formula>Planètes!T19</formula>
    </cfRule>
    <cfRule type="cellIs" priority="37" operator="greaterThanOrEqual" aboveAverage="0" equalAverage="0" bottom="0" percent="0" rank="0" text="" dxfId="3">
      <formula>Planètes!T19</formula>
    </cfRule>
  </conditionalFormatting>
  <conditionalFormatting sqref="D24">
    <cfRule type="cellIs" priority="38" operator="lessThanOrEqual" aboveAverage="0" equalAverage="0" bottom="0" percent="0" rank="0" text="" dxfId="2">
      <formula>Planètes!T20</formula>
    </cfRule>
    <cfRule type="cellIs" priority="39" operator="greaterThanOrEqual" aboveAverage="0" equalAverage="0" bottom="0" percent="0" rank="0" text="" dxfId="3">
      <formula>Planètes!T20</formula>
    </cfRule>
  </conditionalFormatting>
  <conditionalFormatting sqref="E17">
    <cfRule type="cellIs" priority="40" operator="lessThanOrEqual" aboveAverage="0" equalAverage="0" bottom="0" percent="0" rank="0" text="" dxfId="2">
      <formula>Planètes!T17</formula>
    </cfRule>
    <cfRule type="cellIs" priority="41" operator="greaterThanOrEqual" aboveAverage="0" equalAverage="0" bottom="0" percent="0" rank="0" text="" dxfId="3">
      <formula>Planètes!T17</formula>
    </cfRule>
  </conditionalFormatting>
  <conditionalFormatting sqref="F14">
    <cfRule type="cellIs" priority="42" operator="lessThanOrEqual" aboveAverage="0" equalAverage="0" bottom="0" percent="0" rank="0" text="" dxfId="2">
      <formula>Planètes!T13</formula>
    </cfRule>
    <cfRule type="cellIs" priority="43" operator="greaterThanOrEqual" aboveAverage="0" equalAverage="0" bottom="0" percent="0" rank="0" text="" dxfId="3">
      <formula>Planètes!T13</formula>
    </cfRule>
  </conditionalFormatting>
  <conditionalFormatting sqref="F17">
    <cfRule type="cellIs" priority="44" operator="lessThanOrEqual" aboveAverage="0" equalAverage="0" bottom="0" percent="0" rank="0" text="" dxfId="2">
      <formula>Planètes!T13</formula>
    </cfRule>
    <cfRule type="cellIs" priority="45" operator="greaterThanOrEqual" aboveAverage="0" equalAverage="0" bottom="0" percent="0" rank="0" text="" dxfId="3">
      <formula>Planètes!T13</formula>
    </cfRule>
  </conditionalFormatting>
  <conditionalFormatting sqref="F18">
    <cfRule type="cellIs" priority="46" operator="greaterThanOrEqual" aboveAverage="0" equalAverage="0" bottom="0" percent="0" rank="0" text="" dxfId="3">
      <formula>Planètes!T13</formula>
    </cfRule>
    <cfRule type="cellIs" priority="47" operator="lessThanOrEqual" aboveAverage="0" equalAverage="0" bottom="0" percent="0" rank="0" text="" dxfId="2">
      <formula>Planètes!T13</formula>
    </cfRule>
  </conditionalFormatting>
  <conditionalFormatting sqref="F19">
    <cfRule type="cellIs" priority="48" operator="lessThanOrEqual" aboveAverage="0" equalAverage="0" bottom="0" percent="0" rank="0" text="" dxfId="2">
      <formula>Planètes!T13</formula>
    </cfRule>
    <cfRule type="cellIs" priority="49" operator="greaterThanOrEqual" aboveAverage="0" equalAverage="0" bottom="0" percent="0" rank="0" text="" dxfId="3">
      <formula>Planètes!T13</formula>
    </cfRule>
  </conditionalFormatting>
  <conditionalFormatting sqref="F21">
    <cfRule type="cellIs" priority="50" operator="lessThanOrEqual" aboveAverage="0" equalAverage="0" bottom="0" percent="0" rank="0" text="" dxfId="2">
      <formula>Planètes!T13</formula>
    </cfRule>
    <cfRule type="cellIs" priority="51" operator="greaterThanOrEqual" aboveAverage="0" equalAverage="0" bottom="0" percent="0" rank="0" text="" dxfId="3">
      <formula>Planètes!T13</formula>
    </cfRule>
  </conditionalFormatting>
  <conditionalFormatting sqref="F22">
    <cfRule type="cellIs" priority="52" operator="lessThanOrEqual" aboveAverage="0" equalAverage="0" bottom="0" percent="0" rank="0" text="" dxfId="2">
      <formula>Planètes!T13</formula>
    </cfRule>
    <cfRule type="cellIs" priority="53" operator="greaterThanOrEqual" aboveAverage="0" equalAverage="0" bottom="0" percent="0" rank="0" text="" dxfId="3">
      <formula>Planètes!T13</formula>
    </cfRule>
  </conditionalFormatting>
  <conditionalFormatting sqref="F23">
    <cfRule type="cellIs" priority="54" operator="lessThanOrEqual" aboveAverage="0" equalAverage="0" bottom="0" percent="0" rank="0" text="" dxfId="2">
      <formula>Planètes!T13</formula>
    </cfRule>
    <cfRule type="cellIs" priority="55" operator="greaterThanOrEqual" aboveAverage="0" equalAverage="0" bottom="0" percent="0" rank="0" text="" dxfId="3">
      <formula>Planètes!T13</formula>
    </cfRule>
  </conditionalFormatting>
  <conditionalFormatting sqref="G20">
    <cfRule type="cellIs" priority="56" operator="lessThanOrEqual" aboveAverage="0" equalAverage="0" bottom="0" percent="0" rank="0" text="" dxfId="2">
      <formula>Planètes!T27</formula>
    </cfRule>
    <cfRule type="cellIs" priority="57" operator="greaterThanOrEqual" aboveAverage="0" equalAverage="0" bottom="0" percent="0" rank="0" text="" dxfId="3">
      <formula>Planètes!T27</formula>
    </cfRule>
  </conditionalFormatting>
  <conditionalFormatting sqref="G24">
    <cfRule type="cellIs" priority="58" operator="lessThanOrEqual" aboveAverage="0" equalAverage="0" bottom="0" percent="0" rank="0" text="" dxfId="2">
      <formula>Planètes!T27</formula>
    </cfRule>
    <cfRule type="cellIs" priority="59" operator="greaterThanOrEqual" aboveAverage="0" equalAverage="0" bottom="0" percent="0" rank="0" text="" dxfId="3">
      <formula>Planètes!T27</formula>
    </cfRule>
  </conditionalFormatting>
  <conditionalFormatting sqref="I22">
    <cfRule type="cellIs" priority="60" operator="lessThanOrEqual" aboveAverage="0" equalAverage="0" bottom="0" percent="0" rank="0" text="" dxfId="2">
      <formula>Planètes!T28</formula>
    </cfRule>
    <cfRule type="cellIs" priority="61" operator="greaterThanOrEqual" aboveAverage="0" equalAverage="0" bottom="0" percent="0" rank="0" text="" dxfId="3">
      <formula>Planètes!T28</formula>
    </cfRule>
  </conditionalFormatting>
  <conditionalFormatting sqref="I23">
    <cfRule type="cellIs" priority="62" operator="lessThanOrEqual" aboveAverage="0" equalAverage="0" bottom="0" percent="0" rank="0" text="" dxfId="2">
      <formula>Planètes!T28</formula>
    </cfRule>
    <cfRule type="cellIs" priority="63" operator="greaterThanOrEqual" aboveAverage="0" equalAverage="0" bottom="0" percent="0" rank="0" text="" dxfId="3">
      <formula>Planètes!T28</formula>
    </cfRule>
  </conditionalFormatting>
  <conditionalFormatting sqref="M7">
    <cfRule type="containsText" priority="64" aboveAverage="0" equalAverage="0" bottom="0" percent="0" rank="0" text="" dxfId="0"/>
    <cfRule type="containsText" priority="65" aboveAverage="0" equalAverage="0" bottom="0" percent="0" rank="0" text="" dxfId="1"/>
  </conditionalFormatting>
  <conditionalFormatting sqref="A11">
    <cfRule type="expression" priority="66" aboveAverage="0" equalAverage="0" bottom="0" percent="0" rank="0" text="" dxfId="2">
      <formula>IF(Technologies!$A$3=1)</formula>
    </cfRule>
  </conditionalFormatting>
  <conditionalFormatting sqref="A12">
    <cfRule type="expression" priority="67" aboveAverage="0" equalAverage="0" bottom="0" percent="0" rank="0" text="" dxfId="2">
      <formula>IF(Technologies!$B$3=1)</formula>
    </cfRule>
  </conditionalFormatting>
  <conditionalFormatting sqref="A13">
    <cfRule type="expression" priority="68" aboveAverage="0" equalAverage="0" bottom="0" percent="0" rank="0" text="" dxfId="2">
      <formula>IF(Technologies!$C$3=1)</formula>
    </cfRule>
  </conditionalFormatting>
  <conditionalFormatting sqref="A14">
    <cfRule type="expression" priority="69" aboveAverage="0" equalAverage="0" bottom="0" percent="0" rank="0" text="" dxfId="2">
      <formula>Technologies!$D$3=1</formula>
    </cfRule>
  </conditionalFormatting>
  <conditionalFormatting sqref="A15">
    <cfRule type="expression" priority="70" aboveAverage="0" equalAverage="0" bottom="0" percent="0" rank="0" text="" dxfId="2">
      <formula>Technologies!$E$3=1</formula>
    </cfRule>
  </conditionalFormatting>
  <conditionalFormatting sqref="A16">
    <cfRule type="expression" priority="71" aboveAverage="0" equalAverage="0" bottom="0" percent="0" rank="0" text="" dxfId="2">
      <formula>Technologies!$F$3=1</formula>
    </cfRule>
  </conditionalFormatting>
  <conditionalFormatting sqref="A17">
    <cfRule type="expression" priority="72" aboveAverage="0" equalAverage="0" bottom="0" percent="0" rank="0" text="" dxfId="2">
      <formula>Technologies!$G$3=1</formula>
    </cfRule>
  </conditionalFormatting>
  <conditionalFormatting sqref="A18">
    <cfRule type="expression" priority="73" aboveAverage="0" equalAverage="0" bottom="0" percent="0" rank="0" text="" dxfId="2">
      <formula>Technologies!$H$3=1</formula>
    </cfRule>
  </conditionalFormatting>
  <conditionalFormatting sqref="A19">
    <cfRule type="expression" priority="74" aboveAverage="0" equalAverage="0" bottom="0" percent="0" rank="0" text="" dxfId="2">
      <formula>Technologies!$I$3=1</formula>
    </cfRule>
  </conditionalFormatting>
  <conditionalFormatting sqref="A20">
    <cfRule type="expression" priority="75" aboveAverage="0" equalAverage="0" bottom="0" percent="0" rank="0" text="" dxfId="2">
      <formula>Technologies!$J$3=1</formula>
    </cfRule>
  </conditionalFormatting>
  <conditionalFormatting sqref="A21">
    <cfRule type="expression" priority="76" aboveAverage="0" equalAverage="0" bottom="0" percent="0" rank="0" text="" dxfId="2">
      <formula>Technologies!$K$3=1</formula>
    </cfRule>
  </conditionalFormatting>
  <conditionalFormatting sqref="A22">
    <cfRule type="expression" priority="77" aboveAverage="0" equalAverage="0" bottom="0" percent="0" rank="0" text="" dxfId="2">
      <formula>Technologies!$L$3=1</formula>
    </cfRule>
  </conditionalFormatting>
  <conditionalFormatting sqref="A23">
    <cfRule type="expression" priority="78" aboveAverage="0" equalAverage="0" bottom="0" percent="0" rank="0" text="" dxfId="2">
      <formula>Technologies!$M$3=1</formula>
    </cfRule>
  </conditionalFormatting>
  <conditionalFormatting sqref="A24">
    <cfRule type="expression" priority="79" aboveAverage="0" equalAverage="0" bottom="0" percent="0" rank="0" text="" dxfId="2">
      <formula>Technologies!$N$3=1</formula>
    </cfRule>
  </conditionalFormatting>
  <conditionalFormatting sqref="A26">
    <cfRule type="expression" priority="80" aboveAverage="0" equalAverage="0" bottom="0" percent="0" rank="0" text="" dxfId="2">
      <formula>Technologies!$O$3=1</formula>
    </cfRule>
  </conditionalFormatting>
  <conditionalFormatting sqref="A25">
    <cfRule type="expression" priority="81" aboveAverage="0" equalAverage="0" bottom="0" percent="0" rank="0" text="" dxfId="2">
      <formula>Technologies!$P$3=1</formula>
    </cfRule>
  </conditionalFormatting>
  <conditionalFormatting sqref="H26">
    <cfRule type="cellIs" priority="82" operator="lessThanOrEqual" aboveAverage="0" equalAverage="0" bottom="0" percent="0" rank="0" text="" dxfId="2">
      <formula>Planètes!T25</formula>
    </cfRule>
    <cfRule type="cellIs" priority="83" operator="greaterThanOrEqual" aboveAverage="0" equalAverage="0" bottom="0" percent="0" rank="0" text="" dxfId="3">
      <formula>Planètes!T25</formula>
    </cfRule>
  </conditionalFormatting>
  <conditionalFormatting sqref="J23">
    <cfRule type="cellIs" priority="84" operator="lessThanOrEqual" aboveAverage="0" equalAverage="0" bottom="0" percent="0" rank="0" text="" dxfId="2">
      <formula>Planètes!T14</formula>
    </cfRule>
    <cfRule type="cellIs" priority="85" operator="greaterThanOrEqual" aboveAverage="0" equalAverage="0" bottom="0" percent="0" rank="0" text="" dxfId="3">
      <formula>Planètes!T14</formula>
    </cfRule>
  </conditionalFormatting>
  <conditionalFormatting sqref="C37">
    <cfRule type="cellIs" priority="86" operator="lessThanOrEqual" aboveAverage="0" equalAverage="0" bottom="0" percent="0" rank="0" text="" dxfId="2">
      <formula>Planètes!T19</formula>
    </cfRule>
    <cfRule type="cellIs" priority="87" operator="greaterThanOrEqual" aboveAverage="0" equalAverage="0" bottom="0" percent="0" rank="0" text="" dxfId="3">
      <formula>Planètes!T19</formula>
    </cfRule>
  </conditionalFormatting>
  <conditionalFormatting sqref="B30:B51">
    <cfRule type="cellIs" priority="88" operator="lessThanOrEqual" aboveAverage="0" equalAverage="0" bottom="0" percent="0" rank="0" text="" dxfId="2">
      <formula>Technologies!$L$17</formula>
    </cfRule>
    <cfRule type="cellIs" priority="89" operator="greaterThanOrEqual" aboveAverage="0" equalAverage="0" bottom="0" percent="0" rank="0" text="" dxfId="3">
      <formula>Technologies!$L$17</formula>
    </cfRule>
  </conditionalFormatting>
  <conditionalFormatting sqref="D47">
    <cfRule type="cellIs" priority="90" operator="lessThanOrEqual" aboveAverage="0" equalAverage="0" bottom="0" percent="0" rank="0" text="" dxfId="2">
      <formula>Planètes!T16</formula>
    </cfRule>
    <cfRule type="cellIs" priority="91" operator="greaterThanOrEqual" aboveAverage="0" equalAverage="0" bottom="0" percent="0" rank="0" text="" dxfId="3">
      <formula>Planètes!T16</formula>
    </cfRule>
  </conditionalFormatting>
  <conditionalFormatting sqref="E39">
    <cfRule type="cellIs" priority="92" operator="lessThanOrEqual" aboveAverage="0" equalAverage="0" bottom="0" percent="0" rank="0" text="" dxfId="2">
      <formula>Planètes!T17</formula>
    </cfRule>
    <cfRule type="cellIs" priority="93" operator="greaterThanOrEqual" aboveAverage="0" equalAverage="0" bottom="0" percent="0" rank="0" text="" dxfId="3">
      <formula>Planètes!T17</formula>
    </cfRule>
  </conditionalFormatting>
  <conditionalFormatting sqref="E47">
    <cfRule type="cellIs" priority="94" operator="lessThanOrEqual" aboveAverage="0" equalAverage="0" bottom="0" percent="0" rank="0" text="" dxfId="2">
      <formula>Planètes!T17</formula>
    </cfRule>
    <cfRule type="cellIs" priority="95" operator="greaterThanOrEqual" aboveAverage="0" equalAverage="0" bottom="0" percent="0" rank="0" text="" dxfId="3">
      <formula>Planètes!T17</formula>
    </cfRule>
  </conditionalFormatting>
  <conditionalFormatting sqref="E50">
    <cfRule type="cellIs" priority="96" operator="lessThanOrEqual" aboveAverage="0" equalAverage="0" bottom="0" percent="0" rank="0" text="" dxfId="2">
      <formula>Planètes!T17</formula>
    </cfRule>
    <cfRule type="cellIs" priority="97" operator="greaterThanOrEqual" aboveAverage="0" equalAverage="0" bottom="0" percent="0" rank="0" text="" dxfId="3">
      <formula>Planètes!T17</formula>
    </cfRule>
  </conditionalFormatting>
  <conditionalFormatting sqref="E51">
    <cfRule type="cellIs" priority="98" operator="lessThanOrEqual" aboveAverage="0" equalAverage="0" bottom="0" percent="0" rank="0" text="" dxfId="2">
      <formula>Planètes!T17</formula>
    </cfRule>
    <cfRule type="cellIs" priority="99" operator="greaterThanOrEqual" aboveAverage="0" equalAverage="0" bottom="0" percent="0" rank="0" text="" dxfId="3">
      <formula>Planètes!T17</formula>
    </cfRule>
  </conditionalFormatting>
  <conditionalFormatting sqref="F33">
    <cfRule type="cellIs" priority="100" operator="lessThanOrEqual" aboveAverage="0" equalAverage="0" bottom="0" percent="0" rank="0" text="" dxfId="2">
      <formula>Planètes!T18</formula>
    </cfRule>
    <cfRule type="cellIs" priority="101" operator="greaterThanOrEqual" aboveAverage="0" equalAverage="0" bottom="0" percent="0" rank="0" text="" dxfId="3">
      <formula>Planètes!T18</formula>
    </cfRule>
  </conditionalFormatting>
  <conditionalFormatting sqref="G45">
    <cfRule type="cellIs" priority="102" operator="lessThanOrEqual" aboveAverage="0" equalAverage="0" bottom="0" percent="0" rank="0" text="" dxfId="2">
      <formula>Planètes!T13</formula>
    </cfRule>
    <cfRule type="cellIs" priority="103" operator="greaterThanOrEqual" aboveAverage="0" equalAverage="0" bottom="0" percent="0" rank="0" text="" dxfId="3">
      <formula>Planètes!T13</formula>
    </cfRule>
  </conditionalFormatting>
  <conditionalFormatting sqref="G46">
    <cfRule type="cellIs" priority="104" operator="lessThanOrEqual" aboveAverage="0" equalAverage="0" bottom="0" percent="0" rank="0" text="" dxfId="2">
      <formula>Planètes!T13</formula>
    </cfRule>
    <cfRule type="cellIs" priority="105" operator="greaterThanOrEqual" aboveAverage="0" equalAverage="0" bottom="0" percent="0" rank="0" text="" dxfId="3">
      <formula>Planètes!T13</formula>
    </cfRule>
  </conditionalFormatting>
  <conditionalFormatting sqref="G47">
    <cfRule type="cellIs" priority="106" operator="lessThanOrEqual" aboveAverage="0" equalAverage="0" bottom="0" percent="0" rank="0" text="" dxfId="2">
      <formula>Planètes!T13</formula>
    </cfRule>
    <cfRule type="cellIs" priority="107" operator="greaterThanOrEqual" aboveAverage="0" equalAverage="0" bottom="0" percent="0" rank="0" text="" dxfId="3">
      <formula>Planètes!T13</formula>
    </cfRule>
  </conditionalFormatting>
  <conditionalFormatting sqref="H41">
    <cfRule type="cellIs" priority="108" operator="lessThanOrEqual" aboveAverage="0" equalAverage="0" bottom="0" percent="0" rank="0" text="" dxfId="2">
      <formula>Planètes!T27</formula>
    </cfRule>
    <cfRule type="cellIs" priority="109" operator="greaterThanOrEqual" aboveAverage="0" equalAverage="0" bottom="0" percent="0" rank="0" text="" dxfId="3">
      <formula>Planètes!T27</formula>
    </cfRule>
  </conditionalFormatting>
  <conditionalFormatting sqref="H42">
    <cfRule type="cellIs" priority="110" operator="lessThanOrEqual" aboveAverage="0" equalAverage="0" bottom="0" percent="0" rank="0" text="" dxfId="2">
      <formula>Planètes!T27</formula>
    </cfRule>
    <cfRule type="cellIs" priority="111" operator="greaterThanOrEqual" aboveAverage="0" equalAverage="0" bottom="0" percent="0" rank="0" text="" dxfId="3">
      <formula>Planètes!T27</formula>
    </cfRule>
  </conditionalFormatting>
  <conditionalFormatting sqref="H43">
    <cfRule type="cellIs" priority="112" operator="lessThanOrEqual" aboveAverage="0" equalAverage="0" bottom="0" percent="0" rank="0" text="" dxfId="2">
      <formula>Planètes!T27</formula>
    </cfRule>
    <cfRule type="cellIs" priority="113" operator="greaterThanOrEqual" aboveAverage="0" equalAverage="0" bottom="0" percent="0" rank="0" text="" dxfId="3">
      <formula>Planètes!T27</formula>
    </cfRule>
  </conditionalFormatting>
  <conditionalFormatting sqref="I30">
    <cfRule type="cellIs" priority="114" operator="lessThanOrEqual" aboveAverage="0" equalAverage="0" bottom="0" percent="0" rank="0" text="" dxfId="2">
      <formula>Planètes!T24</formula>
    </cfRule>
    <cfRule type="cellIs" priority="115" operator="greaterThanOrEqual" aboveAverage="0" equalAverage="0" bottom="0" percent="0" rank="0" text="" dxfId="3">
      <formula>Planètes!T24</formula>
    </cfRule>
  </conditionalFormatting>
  <conditionalFormatting sqref="I31">
    <cfRule type="cellIs" priority="116" operator="lessThanOrEqual" aboveAverage="0" equalAverage="0" bottom="0" percent="0" rank="0" text="" dxfId="2">
      <formula>Planètes!T24</formula>
    </cfRule>
    <cfRule type="cellIs" priority="117" operator="greaterThanOrEqual" aboveAverage="0" equalAverage="0" bottom="0" percent="0" rank="0" text="" dxfId="3">
      <formula>Planètes!T24</formula>
    </cfRule>
  </conditionalFormatting>
  <conditionalFormatting sqref="I32">
    <cfRule type="cellIs" priority="118" operator="lessThanOrEqual" aboveAverage="0" equalAverage="0" bottom="0" percent="0" rank="0" text="" dxfId="2">
      <formula>Planètes!T24</formula>
    </cfRule>
    <cfRule type="cellIs" priority="119" operator="greaterThanOrEqual" aboveAverage="0" equalAverage="0" bottom="0" percent="0" rank="0" text="" dxfId="3">
      <formula>Planètes!T24</formula>
    </cfRule>
  </conditionalFormatting>
  <conditionalFormatting sqref="I37">
    <cfRule type="cellIs" priority="120" operator="lessThanOrEqual" aboveAverage="0" equalAverage="0" bottom="0" percent="0" rank="0" text="" dxfId="2">
      <formula>Planètes!T24</formula>
    </cfRule>
    <cfRule type="cellIs" priority="121" operator="greaterThanOrEqual" aboveAverage="0" equalAverage="0" bottom="0" percent="0" rank="0" text="" dxfId="3">
      <formula>Planètes!T24</formula>
    </cfRule>
  </conditionalFormatting>
  <conditionalFormatting sqref="I39">
    <cfRule type="cellIs" priority="122" operator="lessThanOrEqual" aboveAverage="0" equalAverage="0" bottom="0" percent="0" rank="0" text="" dxfId="2">
      <formula>Planètes!T24</formula>
    </cfRule>
    <cfRule type="cellIs" priority="123" operator="greaterThanOrEqual" aboveAverage="0" equalAverage="0" bottom="0" percent="0" rank="0" text="" dxfId="3">
      <formula>Planètes!T24</formula>
    </cfRule>
  </conditionalFormatting>
  <conditionalFormatting sqref="J33">
    <cfRule type="cellIs" priority="124" operator="lessThanOrEqual" aboveAverage="0" equalAverage="0" bottom="0" percent="0" rank="0" text="" dxfId="2">
      <formula>Planètes!T25</formula>
    </cfRule>
    <cfRule type="cellIs" priority="125" operator="greaterThanOrEqual" aboveAverage="0" equalAverage="0" bottom="0" percent="0" rank="0" text="" dxfId="3">
      <formula>Planètes!T25</formula>
    </cfRule>
  </conditionalFormatting>
  <conditionalFormatting sqref="J36">
    <cfRule type="cellIs" priority="126" operator="lessThanOrEqual" aboveAverage="0" equalAverage="0" bottom="0" percent="0" rank="0" text="" dxfId="2">
      <formula>Planètes!T25</formula>
    </cfRule>
    <cfRule type="cellIs" priority="127" operator="greaterThanOrEqual" aboveAverage="0" equalAverage="0" bottom="0" percent="0" rank="0" text="" dxfId="3">
      <formula>Planètes!T25</formula>
    </cfRule>
  </conditionalFormatting>
  <conditionalFormatting sqref="J40">
    <cfRule type="cellIs" priority="128" operator="lessThanOrEqual" aboveAverage="0" equalAverage="0" bottom="0" percent="0" rank="0" text="" dxfId="2">
      <formula>Planètes!T25</formula>
    </cfRule>
    <cfRule type="cellIs" priority="129" operator="greaterThanOrEqual" aboveAverage="0" equalAverage="0" bottom="0" percent="0" rank="0" text="" dxfId="3">
      <formula>Planètes!T25</formula>
    </cfRule>
  </conditionalFormatting>
  <conditionalFormatting sqref="K35">
    <cfRule type="cellIs" priority="130" operator="lessThanOrEqual" aboveAverage="0" equalAverage="0" bottom="0" percent="0" rank="0" text="" dxfId="2">
      <formula>Planètes!T26</formula>
    </cfRule>
    <cfRule type="cellIs" priority="131" operator="greaterThanOrEqual" aboveAverage="0" equalAverage="0" bottom="0" percent="0" rank="0" text="" dxfId="3">
      <formula>Planètes!T26</formula>
    </cfRule>
  </conditionalFormatting>
  <conditionalFormatting sqref="K41">
    <cfRule type="cellIs" priority="132" operator="lessThanOrEqual" aboveAverage="0" equalAverage="0" bottom="0" percent="0" rank="0" text="" dxfId="2">
      <formula>Planètes!T26</formula>
    </cfRule>
    <cfRule type="cellIs" priority="133" operator="greaterThanOrEqual" aboveAverage="0" equalAverage="0" bottom="0" percent="0" rank="0" text="" dxfId="3">
      <formula>Planètes!T26</formula>
    </cfRule>
  </conditionalFormatting>
  <conditionalFormatting sqref="K42">
    <cfRule type="cellIs" priority="134" operator="lessThanOrEqual" aboveAverage="0" equalAverage="0" bottom="0" percent="0" rank="0" text="" dxfId="2">
      <formula>Planètes!T26</formula>
    </cfRule>
    <cfRule type="cellIs" priority="135" operator="greaterThanOrEqual" aboveAverage="0" equalAverage="0" bottom="0" percent="0" rank="0" text="" dxfId="3">
      <formula>Planètes!T26</formula>
    </cfRule>
  </conditionalFormatting>
  <conditionalFormatting sqref="K43">
    <cfRule type="cellIs" priority="136" operator="lessThanOrEqual" aboveAverage="0" equalAverage="0" bottom="0" percent="0" rank="0" text="" dxfId="2">
      <formula>Planètes!T26</formula>
    </cfRule>
    <cfRule type="cellIs" priority="137" operator="greaterThanOrEqual" aboveAverage="0" equalAverage="0" bottom="0" percent="0" rank="0" text="" dxfId="3">
      <formula>Planètes!T26</formula>
    </cfRule>
  </conditionalFormatting>
  <conditionalFormatting sqref="L43">
    <cfRule type="cellIs" priority="138" operator="lessThanOrEqual" aboveAverage="0" equalAverage="0" bottom="0" percent="0" rank="0" text="" dxfId="2">
      <formula>Planètes!T28</formula>
    </cfRule>
    <cfRule type="cellIs" priority="139" operator="greaterThanOrEqual" aboveAverage="0" equalAverage="0" bottom="0" percent="0" rank="0" text="" dxfId="3">
      <formula>Planètes!T28</formula>
    </cfRule>
  </conditionalFormatting>
  <conditionalFormatting sqref="L45">
    <cfRule type="cellIs" priority="140" operator="lessThanOrEqual" aboveAverage="0" equalAverage="0" bottom="0" percent="0" rank="0" text="" dxfId="2">
      <formula>Planètes!T28</formula>
    </cfRule>
    <cfRule type="cellIs" priority="141" operator="greaterThanOrEqual" aboveAverage="0" equalAverage="0" bottom="0" percent="0" rank="0" text="" dxfId="3">
      <formula>Planètes!T28</formula>
    </cfRule>
  </conditionalFormatting>
  <conditionalFormatting sqref="L46">
    <cfRule type="cellIs" priority="142" operator="lessThanOrEqual" aboveAverage="0" equalAverage="0" bottom="0" percent="0" rank="0" text="" dxfId="2">
      <formula>Planètes!T28</formula>
    </cfRule>
    <cfRule type="cellIs" priority="143" operator="greaterThanOrEqual" aboveAverage="0" equalAverage="0" bottom="0" percent="0" rank="0" text="" dxfId="3">
      <formula>Planètes!T28</formula>
    </cfRule>
  </conditionalFormatting>
  <conditionalFormatting sqref="M34">
    <cfRule type="cellIs" priority="144" operator="lessThanOrEqual" aboveAverage="0" equalAverage="0" bottom="0" percent="0" rank="0" text="" dxfId="2">
      <formula>Planètes!T14</formula>
    </cfRule>
    <cfRule type="cellIs" priority="145" operator="greaterThanOrEqual" aboveAverage="0" equalAverage="0" bottom="0" percent="0" rank="0" text="" dxfId="3">
      <formula>Planètes!T14</formula>
    </cfRule>
  </conditionalFormatting>
  <conditionalFormatting sqref="M48">
    <cfRule type="cellIs" priority="146" operator="lessThanOrEqual" aboveAverage="0" equalAverage="0" bottom="0" percent="0" rank="0" text="" dxfId="2">
      <formula>Planètes!T14</formula>
    </cfRule>
    <cfRule type="cellIs" priority="147" operator="greaterThanOrEqual" aboveAverage="0" equalAverage="0" bottom="0" percent="0" rank="0" text="" dxfId="3">
      <formula>Planètes!T14</formula>
    </cfRule>
  </conditionalFormatting>
  <conditionalFormatting sqref="N40">
    <cfRule type="cellIs" priority="148" operator="lessThanOrEqual" aboveAverage="0" equalAverage="0" bottom="0" percent="0" rank="0" text="" dxfId="2">
      <formula>Planètes!T15</formula>
    </cfRule>
    <cfRule type="cellIs" priority="149" operator="greaterThanOrEqual" aboveAverage="0" equalAverage="0" bottom="0" percent="0" rank="0" text="" dxfId="3">
      <formula>Planètes!T15</formula>
    </cfRule>
  </conditionalFormatting>
  <conditionalFormatting sqref="N49">
    <cfRule type="cellIs" priority="150" operator="lessThanOrEqual" aboveAverage="0" equalAverage="0" bottom="0" percent="0" rank="0" text="" dxfId="2">
      <formula>Planètes!T15</formula>
    </cfRule>
    <cfRule type="cellIs" priority="151" operator="greaterThanOrEqual" aboveAverage="0" equalAverage="0" bottom="0" percent="0" rank="0" text="" dxfId="3">
      <formula>Planètes!T15</formula>
    </cfRule>
  </conditionalFormatting>
  <conditionalFormatting sqref="O42">
    <cfRule type="cellIs" priority="152" operator="lessThanOrEqual" aboveAverage="0" equalAverage="0" bottom="0" percent="0" rank="0" text="" dxfId="2">
      <formula>Planètes!T23</formula>
    </cfRule>
    <cfRule type="cellIs" priority="153" operator="greaterThanOrEqual" aboveAverage="0" equalAverage="0" bottom="0" percent="0" rank="0" text="" dxfId="3">
      <formula>Planètes!T23</formula>
    </cfRule>
  </conditionalFormatting>
  <conditionalFormatting sqref="A30">
    <cfRule type="expression" priority="154" aboveAverage="0" equalAverage="0" bottom="0" percent="0" rank="0" text="" dxfId="2">
      <formula>Technologies!$A$5=1</formula>
    </cfRule>
  </conditionalFormatting>
  <conditionalFormatting sqref="A31">
    <cfRule type="expression" priority="155" aboveAverage="0" equalAverage="0" bottom="0" percent="0" rank="0" text="" dxfId="2">
      <formula>Technologies!$B$5=1</formula>
    </cfRule>
  </conditionalFormatting>
  <conditionalFormatting sqref="A32">
    <cfRule type="expression" priority="156" aboveAverage="0" equalAverage="0" bottom="0" percent="0" rank="0" text="" dxfId="2">
      <formula>Technologies!$C$5=1</formula>
    </cfRule>
  </conditionalFormatting>
  <conditionalFormatting sqref="A33">
    <cfRule type="expression" priority="157" aboveAverage="0" equalAverage="0" bottom="0" percent="0" rank="0" text="" dxfId="2">
      <formula>Technologies!$D$5=1</formula>
    </cfRule>
  </conditionalFormatting>
  <conditionalFormatting sqref="A34">
    <cfRule type="expression" priority="158" aboveAverage="0" equalAverage="0" bottom="0" percent="0" rank="0" text="" dxfId="2">
      <formula>Technologies!$E$5=1</formula>
    </cfRule>
  </conditionalFormatting>
  <conditionalFormatting sqref="A35">
    <cfRule type="expression" priority="159" aboveAverage="0" equalAverage="0" bottom="0" percent="0" rank="0" text="" dxfId="2">
      <formula>Technologies!$F$5=1</formula>
    </cfRule>
  </conditionalFormatting>
  <conditionalFormatting sqref="A36">
    <cfRule type="expression" priority="160" aboveAverage="0" equalAverage="0" bottom="0" percent="0" rank="0" text="" dxfId="2">
      <formula>Technologies!$G$5=1</formula>
    </cfRule>
  </conditionalFormatting>
  <conditionalFormatting sqref="A37">
    <cfRule type="expression" priority="161" aboveAverage="0" equalAverage="0" bottom="0" percent="0" rank="0" text="" dxfId="2">
      <formula>Technologies!$H$5=1</formula>
    </cfRule>
  </conditionalFormatting>
  <conditionalFormatting sqref="A38">
    <cfRule type="expression" priority="162" aboveAverage="0" equalAverage="0" bottom="0" percent="0" rank="0" text="" dxfId="2">
      <formula>Technologies!$I$5=1</formula>
    </cfRule>
  </conditionalFormatting>
  <conditionalFormatting sqref="A39">
    <cfRule type="expression" priority="163" aboveAverage="0" equalAverage="0" bottom="0" percent="0" rank="0" text="" dxfId="2">
      <formula>Technologies!$J$5=1</formula>
    </cfRule>
  </conditionalFormatting>
  <conditionalFormatting sqref="A40">
    <cfRule type="expression" priority="164" aboveAverage="0" equalAverage="0" bottom="0" percent="0" rank="0" text="" dxfId="2">
      <formula>Technologies!$K$5=1</formula>
    </cfRule>
  </conditionalFormatting>
  <conditionalFormatting sqref="A41">
    <cfRule type="expression" priority="165" aboveAverage="0" equalAverage="0" bottom="0" percent="0" rank="0" text="" dxfId="2">
      <formula>Technologies!$L$5=1</formula>
    </cfRule>
  </conditionalFormatting>
  <conditionalFormatting sqref="A42">
    <cfRule type="expression" priority="166" aboveAverage="0" equalAverage="0" bottom="0" percent="0" rank="0" text="" dxfId="2">
      <formula>Technologies!$M$5=1</formula>
    </cfRule>
  </conditionalFormatting>
  <conditionalFormatting sqref="A43">
    <cfRule type="expression" priority="167" aboveAverage="0" equalAverage="0" bottom="0" percent="0" rank="0" text="" dxfId="2">
      <formula>Technologies!$N$5=1</formula>
    </cfRule>
  </conditionalFormatting>
  <conditionalFormatting sqref="A44">
    <cfRule type="expression" priority="168" aboveAverage="0" equalAverage="0" bottom="0" percent="0" rank="0" text="" dxfId="2">
      <formula>Technologies!$A$7=1</formula>
    </cfRule>
  </conditionalFormatting>
  <conditionalFormatting sqref="A45">
    <cfRule type="expression" priority="169" aboveAverage="0" equalAverage="0" bottom="0" percent="0" rank="0" text="" dxfId="2">
      <formula>Technologies!$B$7=1</formula>
    </cfRule>
  </conditionalFormatting>
  <conditionalFormatting sqref="A46">
    <cfRule type="expression" priority="170" aboveAverage="0" equalAverage="0" bottom="0" percent="0" rank="0" text="" dxfId="2">
      <formula>Technologies!$C$7=1</formula>
    </cfRule>
  </conditionalFormatting>
  <conditionalFormatting sqref="A47">
    <cfRule type="expression" priority="171" aboveAverage="0" equalAverage="0" bottom="0" percent="0" rank="0" text="" dxfId="2">
      <formula>Technologies!$D$7=1</formula>
    </cfRule>
  </conditionalFormatting>
  <conditionalFormatting sqref="A48">
    <cfRule type="expression" priority="172" aboveAverage="0" equalAverage="0" bottom="0" percent="0" rank="0" text="" dxfId="2">
      <formula>Technologies!$F$7=1</formula>
    </cfRule>
  </conditionalFormatting>
  <conditionalFormatting sqref="A49">
    <cfRule type="expression" priority="173" aboveAverage="0" equalAverage="0" bottom="0" percent="0" rank="0" text="" dxfId="2">
      <formula>Technologies!$E$7=1</formula>
    </cfRule>
  </conditionalFormatting>
  <conditionalFormatting sqref="A50">
    <cfRule type="expression" priority="174" aboveAverage="0" equalAverage="0" bottom="0" percent="0" rank="0" text="" dxfId="2">
      <formula>Technologies!$G$7=1</formula>
    </cfRule>
  </conditionalFormatting>
  <conditionalFormatting sqref="A51">
    <cfRule type="expression" priority="175" aboveAverage="0" equalAverage="0" bottom="0" percent="0" rank="0" text="" dxfId="2">
      <formula>Technologies!$H$7=1</formula>
    </cfRule>
  </conditionalFormatting>
  <conditionalFormatting sqref="A3">
    <cfRule type="cellIs" priority="176" operator="equal" aboveAverage="0" equalAverage="0" bottom="0" percent="0" rank="0" text="" dxfId="2">
      <formula>1</formula>
    </cfRule>
    <cfRule type="cellIs" priority="177" operator="equal" aboveAverage="0" equalAverage="0" bottom="0" percent="0" rank="0" text="" dxfId="3">
      <formula>0</formula>
    </cfRule>
  </conditionalFormatting>
  <conditionalFormatting sqref="A3:P3;A5:N5;A7:H7">
    <cfRule type="cellIs" priority="178" operator="equal" aboveAverage="0" equalAverage="0" bottom="0" percent="0" rank="0" text="" dxfId="3">
      <formula>0</formula>
    </cfRule>
    <cfRule type="cellIs" priority="179" operator="equal" aboveAverage="0" equalAverage="0" bottom="0" percent="0" rank="0" text="" dxfId="2">
      <formula>1</formula>
    </cfRule>
  </conditionalFormatting>
  <conditionalFormatting sqref="J34">
    <cfRule type="cellIs" priority="180" operator="lessThanOrEqual" aboveAverage="0" equalAverage="0" bottom="0" percent="0" rank="0" text="" dxfId="2">
      <formula>Planètes!T25</formula>
    </cfRule>
    <cfRule type="cellIs" priority="181" operator="greaterThanOrEqual" aboveAverage="0" equalAverage="0" bottom="0" percent="0" rank="0" text="" dxfId="3">
      <formula>Planètes!T25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RowHeight="8.2"/>
  <cols>
    <col collapsed="false" hidden="false" max="1" min="1" style="7" width="11.530612244898"/>
    <col collapsed="false" hidden="false" max="2" min="2" style="7" width="5.41836734693878"/>
    <col collapsed="false" hidden="false" max="3" min="3" style="7" width="10.5561224489796"/>
    <col collapsed="false" hidden="false" max="4" min="4" style="7" width="10.4132653061225"/>
    <col collapsed="false" hidden="false" max="5" min="5" style="7" width="10"/>
    <col collapsed="false" hidden="false" max="6" min="6" style="7" width="8.46938775510204"/>
    <col collapsed="false" hidden="false" max="7" min="7" style="7" width="6.24489795918367"/>
    <col collapsed="false" hidden="false" max="8" min="8" style="7" width="13.3367346938776"/>
    <col collapsed="false" hidden="false" max="9" min="9" style="7" width="6.93877551020408"/>
    <col collapsed="false" hidden="false" max="10" min="10" style="7" width="5.96428571428571"/>
    <col collapsed="false" hidden="false" max="11" min="11" style="7" width="11.1122448979592"/>
    <col collapsed="false" hidden="false" max="12" min="12" style="7" width="5.55102040816327"/>
    <col collapsed="false" hidden="false" max="13" min="13" style="7" width="9.02551020408163"/>
    <col collapsed="false" hidden="false" max="14" min="14" style="7" width="10.4132653061225"/>
    <col collapsed="false" hidden="false" max="15" min="15" style="7" width="10.1428571428571"/>
    <col collapsed="false" hidden="false" max="16" min="16" style="7" width="11.8061224489796"/>
    <col collapsed="false" hidden="false" max="17" min="17" style="7" width="6.80612244897959"/>
    <col collapsed="false" hidden="false" max="18" min="18" style="7" width="6.93877551020408"/>
    <col collapsed="false" hidden="false" max="19" min="19" style="7" width="10.6938775510204"/>
    <col collapsed="false" hidden="false" max="20" min="20" style="7" width="6.38775510204082"/>
    <col collapsed="false" hidden="false" max="21" min="21" style="7" width="8.46938775510204"/>
    <col collapsed="false" hidden="false" max="22" min="22" style="7" width="6.24489795918367"/>
    <col collapsed="false" hidden="false" max="23" min="23" style="7" width="5.83163265306122"/>
    <col collapsed="false" hidden="false" max="24" min="24" style="7" width="11.5204081632653"/>
    <col collapsed="false" hidden="false" max="25" min="25" style="7" width="7.21938775510204"/>
    <col collapsed="false" hidden="false" max="26" min="26" style="7" width="5.13775510204082"/>
    <col collapsed="false" hidden="false" max="1025" min="27" style="7" width="11.5204081632653"/>
  </cols>
  <sheetData>
    <row r="1" customFormat="false" ht="8.2" hidden="false" customHeight="true" outlineLevel="0" collapsed="false">
      <c r="A1" s="33" t="s">
        <v>213</v>
      </c>
      <c r="B1" s="33"/>
      <c r="C1" s="33"/>
      <c r="D1" s="33"/>
      <c r="E1" s="33"/>
      <c r="F1" s="33"/>
      <c r="G1" s="33"/>
      <c r="H1" s="33"/>
      <c r="I1" s="33" t="s">
        <v>214</v>
      </c>
      <c r="J1" s="33"/>
      <c r="K1" s="33" t="s">
        <v>215</v>
      </c>
      <c r="L1" s="33"/>
      <c r="M1" s="33"/>
      <c r="N1" s="33"/>
      <c r="O1" s="33"/>
      <c r="P1" s="33"/>
      <c r="Q1" s="33"/>
      <c r="R1" s="33"/>
      <c r="S1" s="33" t="s">
        <v>216</v>
      </c>
      <c r="T1" s="33"/>
      <c r="U1" s="33"/>
      <c r="V1" s="33"/>
      <c r="W1" s="33"/>
      <c r="X1" s="33"/>
      <c r="Y1" s="33"/>
      <c r="Z1" s="33"/>
    </row>
    <row r="2" customFormat="false" ht="8.2" hidden="false" customHeight="true" outlineLevel="0" collapsed="false">
      <c r="A2" s="51"/>
      <c r="B2" s="51" t="s">
        <v>108</v>
      </c>
      <c r="C2" s="51" t="s">
        <v>21</v>
      </c>
      <c r="D2" s="51" t="s">
        <v>23</v>
      </c>
      <c r="E2" s="51" t="s">
        <v>24</v>
      </c>
      <c r="F2" s="51" t="s">
        <v>19</v>
      </c>
      <c r="G2" s="46" t="s">
        <v>68</v>
      </c>
      <c r="H2" s="46" t="s">
        <v>217</v>
      </c>
      <c r="I2" s="151" t="n">
        <v>-0.5</v>
      </c>
      <c r="J2" s="46" t="s">
        <v>218</v>
      </c>
      <c r="K2" s="51"/>
      <c r="L2" s="51" t="s">
        <v>219</v>
      </c>
      <c r="M2" s="51" t="s">
        <v>220</v>
      </c>
      <c r="N2" s="51" t="s">
        <v>21</v>
      </c>
      <c r="O2" s="51" t="s">
        <v>23</v>
      </c>
      <c r="P2" s="51" t="s">
        <v>221</v>
      </c>
      <c r="Q2" s="51" t="s">
        <v>19</v>
      </c>
      <c r="R2" s="46" t="s">
        <v>68</v>
      </c>
      <c r="S2" s="51"/>
      <c r="T2" s="51" t="s">
        <v>108</v>
      </c>
      <c r="U2" s="51" t="s">
        <v>220</v>
      </c>
      <c r="V2" s="51" t="s">
        <v>21</v>
      </c>
      <c r="W2" s="51" t="s">
        <v>23</v>
      </c>
      <c r="X2" s="51" t="s">
        <v>24</v>
      </c>
      <c r="Y2" s="46" t="s">
        <v>222</v>
      </c>
      <c r="Z2" s="46" t="s">
        <v>68</v>
      </c>
    </row>
    <row r="3" customFormat="false" ht="8.2" hidden="false" customHeight="true" outlineLevel="0" collapsed="false">
      <c r="A3" s="152" t="s">
        <v>31</v>
      </c>
      <c r="B3" s="129" t="n">
        <v>1</v>
      </c>
      <c r="C3" s="153" t="n">
        <f aca="false">60 * 1.5^(B3-1)</f>
        <v>60</v>
      </c>
      <c r="D3" s="153" t="n">
        <f aca="false"> 15 * 1.5^(B3-1)</f>
        <v>15</v>
      </c>
      <c r="E3" s="153" t="n">
        <v>0</v>
      </c>
      <c r="F3" s="153" t="n">
        <v>0</v>
      </c>
      <c r="G3" s="16" t="n">
        <f aca="false">ROUNDUP((SUM(C3:E3))/25000)</f>
        <v>1</v>
      </c>
      <c r="H3" s="154" t="n">
        <f aca="false">SECOND((ROUNDDOWN(((($C3+$D3)/5000)*(2/(1+$T$21))*0.5^$T$23)*3600,0)/86400)/Production!$B$29)+100*MINUTE((ROUNDUP(((($C3+$D3)/5000)*(2/(1+$T$21))*0.5^$T$23)*3600,0)/86400)/Production!$B$29)+10000*HOUR((ROUNDUP(((($C3+$D3)/5000)*(2/(1+$T$21))*0.5^$T$23)*3600,0)/86400)/Production!$B$29)+1000000*ROUNDDOWN((ROUNDUP(((($C3+$D3)/5000)*(2/(1+$T$21))*0.5^$T$23)*3600,0)/86400)/Production!$B$29,0)</f>
        <v>1</v>
      </c>
      <c r="I3" s="111" t="n">
        <f aca="false">IF(750*(ROUNDUP((((((($C3+$D3)/(2500*(1+$T$21)*(2^$T$23)))/24)/Production!$B$29)*24)*60)/30))&lt;72000,750*(ROUNDUP((((((($C3+$D3)/(2500*(1+$T$21)*(2^$T$23)))/24)/Production!$B$29)*24)*60)/30)),72000)</f>
        <v>750</v>
      </c>
      <c r="J3" s="111" t="n">
        <f aca="false">$I3*2</f>
        <v>1500</v>
      </c>
      <c r="K3" s="152" t="s">
        <v>31</v>
      </c>
      <c r="L3" s="129" t="n">
        <v>0</v>
      </c>
      <c r="M3" s="129" t="n">
        <v>0</v>
      </c>
      <c r="N3" s="153" t="n">
        <f aca="false">(60 * (1 - 1.5^$M$3) / (-0.5))-(60 * (1 - 1.5^$L$3) / (-0.5))</f>
        <v>0</v>
      </c>
      <c r="O3" s="153" t="n">
        <f aca="false">(15 * (1 - 1.5^M3) / (-0.5))-15 * (1 - 1.5^L3) / (-0.5)</f>
        <v>0</v>
      </c>
      <c r="P3" s="153" t="n">
        <v>0</v>
      </c>
      <c r="Q3" s="153" t="n">
        <v>0</v>
      </c>
      <c r="R3" s="16" t="n">
        <f aca="false">ROUNDUP((SUM(N3:P3))/25000)</f>
        <v>0</v>
      </c>
      <c r="S3" s="152" t="s">
        <v>31</v>
      </c>
      <c r="T3" s="129" t="n">
        <v>1</v>
      </c>
      <c r="U3" s="129" t="n">
        <v>1</v>
      </c>
      <c r="V3" s="153" t="n">
        <f aca="false">(1 - 0.04 * Planètes!T14) * (60 * (1 - 1.5^(T3-1)) / (-0.5) - (60 * (1 - 1.5^(U3-1)) / (-0.5)))</f>
        <v>0</v>
      </c>
      <c r="W3" s="153" t="n">
        <f aca="false">(1 - 0.04 * Planètes!T14) * (15 * (1 - 1.5^(T3-1)) / (-0.5) - (15 * (1 - 1.5^(U3-1)) / (-0.5)))</f>
        <v>0</v>
      </c>
      <c r="X3" s="153" t="n">
        <v>0</v>
      </c>
      <c r="Y3" s="155" t="n">
        <f aca="false">(((V3+W3)/(2500*(1+T21)*(2^T23)))/24)/Production!B29</f>
        <v>0</v>
      </c>
      <c r="Z3" s="16" t="n">
        <f aca="false">ROUNDUP((SUM(V3:X3))/25000)</f>
        <v>0</v>
      </c>
    </row>
    <row r="4" customFormat="false" ht="8.2" hidden="false" customHeight="true" outlineLevel="0" collapsed="false">
      <c r="A4" s="152" t="s">
        <v>33</v>
      </c>
      <c r="B4" s="129" t="n">
        <v>1</v>
      </c>
      <c r="C4" s="153" t="n">
        <f aca="false">48 * 1.6^(B4-1)</f>
        <v>48</v>
      </c>
      <c r="D4" s="153" t="n">
        <f aca="false">24 * 1.6^(B4-1)</f>
        <v>24</v>
      </c>
      <c r="E4" s="153" t="n">
        <v>0</v>
      </c>
      <c r="F4" s="153" t="n">
        <v>0</v>
      </c>
      <c r="G4" s="16" t="n">
        <f aca="false">ROUNDUP((SUM(C4:E4))/25000)</f>
        <v>1</v>
      </c>
      <c r="H4" s="154" t="n">
        <f aca="false">SECOND((ROUNDDOWN(((($C4+$D4)/5000)*(2/(1+$T$21))*0.5^$T$23)*3600,0)/86400)/Production!$B$29)+100*MINUTE((ROUNDUP(((($C4+$D4)/5000)*(2/(1+$T$21))*0.5^$T$23)*3600,0)/86400)/Production!$B$29)+10000*HOUR((ROUNDUP(((($C4+$D4)/5000)*(2/(1+$T$21))*0.5^$T$23)*3600,0)/86400)/Production!$B$29)+1000000*ROUNDDOWN((ROUNDUP(((($C4+$D4)/5000)*(2/(1+$T$21))*0.5^$T$23)*3600,0)/86400)/Production!$B$29,0)</f>
        <v>1</v>
      </c>
      <c r="I4" s="111" t="n">
        <f aca="false">IF(750*(ROUNDUP((((((($C4+$D4)/(2500*(1+$T$21)*(2^$T$23)))/24)/Production!$B$29)*24)*60)/30))&lt;72000,750*(ROUNDUP((((((($C4+$D4)/(2500*(1+$T$21)*(2^$T$23)))/24)/Production!$B$29)*24)*60)/30)),72000)</f>
        <v>750</v>
      </c>
      <c r="J4" s="111" t="n">
        <f aca="false">$I4*2</f>
        <v>1500</v>
      </c>
      <c r="K4" s="152" t="s">
        <v>33</v>
      </c>
      <c r="L4" s="129" t="n">
        <v>0</v>
      </c>
      <c r="M4" s="129" t="n">
        <v>0</v>
      </c>
      <c r="N4" s="153" t="n">
        <f aca="false">(48 * (1 - 1.6^$M$4) / (-0.6))-(48 * (1 - 1.6^$L$4) / (-0.6))</f>
        <v>0</v>
      </c>
      <c r="O4" s="153" t="n">
        <f aca="false">(24 * (1 - 1.6^M4) / (-0.6))-(24 * (1 - 1.6^L4) / (-0.6))</f>
        <v>0</v>
      </c>
      <c r="P4" s="153" t="n">
        <v>0</v>
      </c>
      <c r="Q4" s="153" t="n">
        <v>0</v>
      </c>
      <c r="R4" s="16" t="n">
        <f aca="false">ROUNDUP((SUM(N4:P4))/25000)</f>
        <v>0</v>
      </c>
      <c r="S4" s="152" t="s">
        <v>33</v>
      </c>
      <c r="T4" s="129" t="n">
        <v>1</v>
      </c>
      <c r="U4" s="129" t="n">
        <v>1</v>
      </c>
      <c r="V4" s="153" t="n">
        <f aca="false">(1 - 0.04 * Planètes!T14) * (48 * (1 - 1.6^(T4-1)) / (-0.6) - (48 * (1 - 1.6^(U4-1)) / (-0.6)))</f>
        <v>0</v>
      </c>
      <c r="W4" s="153" t="n">
        <f aca="false">(1 - 0.04 * Planètes!T14) * (24 * (1 - 1.6^(T4-1)) / (-0.6) - (24 * (1 - 1.6^(U4-1)) / (-0.6)))</f>
        <v>0</v>
      </c>
      <c r="X4" s="153" t="n">
        <v>0</v>
      </c>
      <c r="Y4" s="155" t="n">
        <f aca="false">(((V4+W4)/(2500*(1+T21)*(2^T23)))/24)/Production!B29</f>
        <v>0</v>
      </c>
      <c r="Z4" s="16" t="n">
        <f aca="false">ROUNDUP((SUM(V4:X4))/25000)</f>
        <v>0</v>
      </c>
    </row>
    <row r="5" customFormat="false" ht="8.2" hidden="false" customHeight="true" outlineLevel="0" collapsed="false">
      <c r="A5" s="152" t="s">
        <v>35</v>
      </c>
      <c r="B5" s="129" t="n">
        <v>1</v>
      </c>
      <c r="C5" s="153" t="n">
        <f aca="false">225*1.5^(B5-1)</f>
        <v>225</v>
      </c>
      <c r="D5" s="153" t="n">
        <f aca="false">75 * 1.5^(B5-1)</f>
        <v>75</v>
      </c>
      <c r="E5" s="153" t="n">
        <v>0</v>
      </c>
      <c r="F5" s="153" t="n">
        <v>0</v>
      </c>
      <c r="G5" s="16" t="n">
        <f aca="false">ROUNDUP((SUM(C5:E5))/25000)</f>
        <v>1</v>
      </c>
      <c r="H5" s="154" t="n">
        <f aca="false">SECOND((ROUNDDOWN(((($C5+$D5)/5000)*(2/(1+$T$21))*0.5^$T$23)*3600,0)/86400)/Production!$B$29)+100*MINUTE((ROUNDUP(((($C5+$D5)/5000)*(2/(1+$T$21))*0.5^$T$23)*3600,0)/86400)/Production!$B$29)+10000*HOUR((ROUNDUP(((($C5+$D5)/5000)*(2/(1+$T$21))*0.5^$T$23)*3600,0)/86400)/Production!$B$29)+1000000*ROUNDDOWN((ROUNDUP(((($C5+$D5)/5000)*(2/(1+$T$21))*0.5^$T$23)*3600,0)/86400)/Production!$B$29,0)</f>
        <v>6</v>
      </c>
      <c r="I5" s="111" t="n">
        <f aca="false">IF(750*(ROUNDUP((((((($C5+$D5)/(2500*(1+$T$21)*(2^$T$23)))/24)/Production!$B$29)*24)*60)/30))&lt;72000,750*(ROUNDUP((((((($C5+$D5)/(2500*(1+$T$21)*(2^$T$23)))/24)/Production!$B$29)*24)*60)/30)),72000)</f>
        <v>750</v>
      </c>
      <c r="J5" s="111" t="n">
        <f aca="false">$I5*2</f>
        <v>1500</v>
      </c>
      <c r="K5" s="152" t="s">
        <v>35</v>
      </c>
      <c r="L5" s="129" t="n">
        <v>0</v>
      </c>
      <c r="M5" s="129" t="n">
        <v>0</v>
      </c>
      <c r="N5" s="153" t="n">
        <f aca="false">(225 * (1 - 1.5^$M$5) / (-0.5))-(225 * (1 - 1.5^$L$5) / (-0.5))</f>
        <v>0</v>
      </c>
      <c r="O5" s="153" t="n">
        <f aca="false">(75 * (1 - 1.5^M5) / (-0.5))-(75 * (1 - 1.5^L5) / (-0.5))</f>
        <v>0</v>
      </c>
      <c r="P5" s="153" t="n">
        <v>0</v>
      </c>
      <c r="Q5" s="153" t="n">
        <v>0</v>
      </c>
      <c r="R5" s="16" t="n">
        <f aca="false">ROUNDUP((SUM(N5:P5))/25000)</f>
        <v>0</v>
      </c>
      <c r="S5" s="152" t="s">
        <v>223</v>
      </c>
      <c r="T5" s="129" t="n">
        <v>1</v>
      </c>
      <c r="U5" s="129" t="n">
        <v>1</v>
      </c>
      <c r="V5" s="153" t="n">
        <f aca="false">(1 - 0.04 * Planètes!T14) * (225 * (1 - 1.5^(T5-1)) / (-0.5) - (225 * (1 - 1.5^(U5-1)) / (-0.5)))</f>
        <v>0</v>
      </c>
      <c r="W5" s="153" t="n">
        <f aca="false">(1 - 0.04 * Planètes!T14) * (75 * (1 - 1.5^(T5-1)) / (-0.5) - (75 * (1 - 1.5^(U5-1)) / (-0.5)))</f>
        <v>0</v>
      </c>
      <c r="X5" s="153" t="n">
        <v>0</v>
      </c>
      <c r="Y5" s="155" t="n">
        <f aca="false">(((V5+W5)/(2500*(1+T21)*(2^T23)))/24)/Production!B29</f>
        <v>0</v>
      </c>
      <c r="Z5" s="16" t="n">
        <f aca="false">ROUNDUP((SUM(V5:X5))/25000)</f>
        <v>0</v>
      </c>
    </row>
    <row r="6" customFormat="false" ht="8.2" hidden="false" customHeight="true" outlineLevel="0" collapsed="false">
      <c r="A6" s="152" t="s">
        <v>37</v>
      </c>
      <c r="B6" s="129" t="n">
        <v>1</v>
      </c>
      <c r="C6" s="153" t="n">
        <f aca="false">75 * 1.5^(B6-1)</f>
        <v>75</v>
      </c>
      <c r="D6" s="153" t="n">
        <f aca="false">30 * 1.5^(B6-1)</f>
        <v>30</v>
      </c>
      <c r="E6" s="153" t="n">
        <v>0</v>
      </c>
      <c r="F6" s="153" t="n">
        <v>0</v>
      </c>
      <c r="G6" s="16" t="n">
        <f aca="false">ROUNDUP((SUM(C6:E6))/25000)</f>
        <v>1</v>
      </c>
      <c r="H6" s="154" t="n">
        <f aca="false">SECOND((ROUNDDOWN(((($C6+$D6)/5000)*(2/(1+$T$21))*0.5^$T$23)*3600,0)/86400)/Production!$B$29)+100*MINUTE((ROUNDUP(((($C6+$D6)/5000)*(2/(1+$T$21))*0.5^$T$23)*3600,0)/86400)/Production!$B$29)+10000*HOUR((ROUNDUP(((($C6+$D6)/5000)*(2/(1+$T$21))*0.5^$T$23)*3600,0)/86400)/Production!$B$29)+1000000*ROUNDDOWN((ROUNDUP(((($C6+$D6)/5000)*(2/(1+$T$21))*0.5^$T$23)*3600,0)/86400)/Production!$B$29,0)</f>
        <v>2</v>
      </c>
      <c r="I6" s="111" t="n">
        <f aca="false">IF(750*(ROUNDUP((((((($C6+$D6)/(2500*(1+$T$21)*(2^$T$23)))/24)/Production!$B$29)*24)*60)/30))&lt;72000,750*(ROUNDUP((((((($C6+$D6)/(2500*(1+$T$21)*(2^$T$23)))/24)/Production!$B$29)*24)*60)/30)),72000)</f>
        <v>750</v>
      </c>
      <c r="J6" s="111" t="n">
        <f aca="false">$I6*2</f>
        <v>1500</v>
      </c>
      <c r="K6" s="152" t="s">
        <v>37</v>
      </c>
      <c r="L6" s="129" t="n">
        <v>0</v>
      </c>
      <c r="M6" s="129" t="n">
        <v>0</v>
      </c>
      <c r="N6" s="153" t="n">
        <f aca="false"> (75 * (1 - 1.5^M6) / (-0.5))-(75 * (1 - 1.5^L6) / (-0.5))</f>
        <v>0</v>
      </c>
      <c r="O6" s="153" t="n">
        <f aca="false"> (30 * (1 - 1.5^M6) / (-0.5))-(30 * (1 - 1.5^L6) / (-0.5))</f>
        <v>0</v>
      </c>
      <c r="P6" s="153" t="n">
        <v>0</v>
      </c>
      <c r="Q6" s="153" t="n">
        <v>0</v>
      </c>
      <c r="R6" s="16" t="n">
        <f aca="false">ROUNDUP((SUM(N6:P6))/25000)</f>
        <v>0</v>
      </c>
      <c r="S6" s="152" t="s">
        <v>37</v>
      </c>
      <c r="T6" s="129" t="n">
        <v>1</v>
      </c>
      <c r="U6" s="129" t="n">
        <v>1</v>
      </c>
      <c r="V6" s="153" t="n">
        <f aca="false">(1 - 0.04 * Planètes!T14) * (75 * (1 - 1.5^(T6-1)) / (-0.5) - (75 * (1 - 1.5^(U6-1)) / (-0.5)))</f>
        <v>0</v>
      </c>
      <c r="W6" s="153" t="n">
        <f aca="false">(1 - 0.04 * Planètes!T14) * (30 * (1 - 1.5^(T6-1)) / (-0.5) - (30 * (1 - 1.5^(U6-1)) / (-0.5)))</f>
        <v>0</v>
      </c>
      <c r="X6" s="153" t="n">
        <v>0</v>
      </c>
      <c r="Y6" s="155" t="n">
        <f aca="false">(((V6+W6)/(2500*(1+T21)*(2^T23)))/24)/Production!B29</f>
        <v>0</v>
      </c>
      <c r="Z6" s="16" t="n">
        <f aca="false">ROUNDUP((SUM(V6:X6))/25000)</f>
        <v>0</v>
      </c>
    </row>
    <row r="7" customFormat="false" ht="8.2" hidden="false" customHeight="true" outlineLevel="0" collapsed="false">
      <c r="A7" s="152" t="s">
        <v>39</v>
      </c>
      <c r="B7" s="129" t="n">
        <v>1</v>
      </c>
      <c r="C7" s="153" t="n">
        <f aca="false">900 * 1.8^(B7-1)</f>
        <v>900</v>
      </c>
      <c r="D7" s="153" t="n">
        <f aca="false">360 * 1.8^(B7-1)</f>
        <v>360</v>
      </c>
      <c r="E7" s="153" t="n">
        <f aca="false">180 * 1.8^(B7-1)</f>
        <v>180</v>
      </c>
      <c r="F7" s="153" t="n">
        <v>0</v>
      </c>
      <c r="G7" s="16" t="n">
        <f aca="false">ROUNDUP((SUM(C7:E7))/25000)</f>
        <v>1</v>
      </c>
      <c r="H7" s="154" t="n">
        <f aca="false">SECOND((ROUNDDOWN(((($C7+$D7)/5000)*(2/(1+$T$21))*0.5^$T$23)*3600,0)/86400)/Production!$B$29)+100*MINUTE((ROUNDUP(((($C7+$D7)/5000)*(2/(1+$T$21))*0.5^$T$23)*3600,0)/86400)/Production!$B$29)+10000*HOUR((ROUNDUP(((($C7+$D7)/5000)*(2/(1+$T$21))*0.5^$T$23)*3600,0)/86400)/Production!$B$29)+1000000*ROUNDDOWN((ROUNDUP(((($C7+$D7)/5000)*(2/(1+$T$21))*0.5^$T$23)*3600,0)/86400)/Production!$B$29,0)</f>
        <v>27</v>
      </c>
      <c r="I7" s="111" t="n">
        <f aca="false">IF(750*(ROUNDUP((((((($C7+$D7)/(2500*(1+$T$21)*(2^$T$23)))/24)/Production!$B$29)*24)*60)/30))&lt;72000,750*(ROUNDUP((((((($C7+$D7)/(2500*(1+$T$21)*(2^$T$23)))/24)/Production!$B$29)*24)*60)/30)),72000)</f>
        <v>750</v>
      </c>
      <c r="J7" s="111" t="n">
        <f aca="false">$I7*2</f>
        <v>1500</v>
      </c>
      <c r="K7" s="152" t="s">
        <v>39</v>
      </c>
      <c r="L7" s="129" t="n">
        <v>0</v>
      </c>
      <c r="M7" s="129" t="n">
        <v>0</v>
      </c>
      <c r="N7" s="153" t="n">
        <f aca="false">(900 * (1 - 1.8^M7) / ( -0.8 ))-((900 * (1 - 1.8^L7) / ( -0.8 )))</f>
        <v>0</v>
      </c>
      <c r="O7" s="153" t="n">
        <f aca="false"> (360 * (1 - 1.8^M7) / ( -0.8 ))-((360 * (1 - 1.8^L7) / ( -0.8 )))</f>
        <v>0</v>
      </c>
      <c r="P7" s="153" t="n">
        <f aca="false"> (180 * (1 - 1.8^M7) / ( -0.8 ))- ((180 * (1 - 1.8^L7) / ( -0.8 )))</f>
        <v>0</v>
      </c>
      <c r="Q7" s="153" t="n">
        <v>0</v>
      </c>
      <c r="R7" s="16" t="n">
        <f aca="false">ROUNDUP((SUM(N7:P7))/25000)</f>
        <v>0</v>
      </c>
      <c r="S7" s="152" t="s">
        <v>39</v>
      </c>
      <c r="T7" s="129" t="n">
        <v>1</v>
      </c>
      <c r="U7" s="129" t="n">
        <v>1</v>
      </c>
      <c r="V7" s="153" t="n">
        <f aca="false">(1 - 0.04 * Planètes!T14) * (900 * (1 - 1.8^(T7-1)) / (-0.8) - (900 * (1 - 1.8^(U7-1)) / (-0.8)))</f>
        <v>0</v>
      </c>
      <c r="W7" s="153" t="n">
        <f aca="false">(1 - 0.04 * Planètes!T14) * (360 * (1 - 1.8^(T7-1)) / (-0.8) - (360 * (1 - 1.8^(U7-1)) / (-0.8)))</f>
        <v>0</v>
      </c>
      <c r="X7" s="153" t="n">
        <f aca="false">(1 - 0.04 * Planètes!T14) * (180 * (1 - 1.8^(T7-1)) / (-0.8) - (180 * (1 - 1.8^(U7-1)) / (-0.8)))</f>
        <v>0</v>
      </c>
      <c r="Y7" s="155" t="n">
        <f aca="false">(((V7+W7)/(2500*(1+T21)*(2^T23)))/24)/Production!B29</f>
        <v>0</v>
      </c>
      <c r="Z7" s="16" t="n">
        <f aca="false">ROUNDUP((SUM(V7:X7))/25000)</f>
        <v>0</v>
      </c>
    </row>
    <row r="8" customFormat="false" ht="8.2" hidden="false" customHeight="true" outlineLevel="0" collapsed="false">
      <c r="A8" s="152" t="s">
        <v>41</v>
      </c>
      <c r="B8" s="129" t="n">
        <v>1</v>
      </c>
      <c r="C8" s="153" t="n">
        <f aca="false">1000*2^(B8-1)</f>
        <v>1000</v>
      </c>
      <c r="D8" s="153" t="n">
        <f aca="false">0*2^(B8-1)</f>
        <v>0</v>
      </c>
      <c r="E8" s="153" t="n">
        <v>0</v>
      </c>
      <c r="F8" s="153" t="n">
        <v>0</v>
      </c>
      <c r="G8" s="16" t="n">
        <f aca="false">ROUNDUP((SUM(C8:E8))/25000)</f>
        <v>1</v>
      </c>
      <c r="H8" s="154" t="n">
        <f aca="false">SECOND((ROUNDDOWN(((($C8+$D8)/5000)*(2/(1+$T$21))*0.5^$T$23)*3600,0)/86400)/Production!$B$29)+100*MINUTE((ROUNDUP(((($C8+$D8)/5000)*(2/(1+$T$21))*0.5^$T$23)*3600,0)/86400)/Production!$B$29)+10000*HOUR((ROUNDUP(((($C8+$D8)/5000)*(2/(1+$T$21))*0.5^$T$23)*3600,0)/86400)/Production!$B$29)+1000000*ROUNDDOWN((ROUNDUP(((($C8+$D8)/5000)*(2/(1+$T$21))*0.5^$T$23)*3600,0)/86400)/Production!$B$29,0)</f>
        <v>22</v>
      </c>
      <c r="I8" s="111" t="n">
        <f aca="false">IF(750*(ROUNDUP((((((($C8+$D8)/(2500*(1+$T$21)*(2^$T$23)))/24)/Production!$B$29)*24)*60)/30))&lt;72000,750*(ROUNDUP((((((($C8+$D8)/(2500*(1+$T$21)*(2^$T$23)))/24)/Production!$B$29)*24)*60)/30)),72000)</f>
        <v>750</v>
      </c>
      <c r="J8" s="111" t="n">
        <f aca="false">$I8*2</f>
        <v>1500</v>
      </c>
      <c r="K8" s="152" t="s">
        <v>41</v>
      </c>
      <c r="L8" s="129" t="n">
        <v>0</v>
      </c>
      <c r="M8" s="129" t="n">
        <v>0</v>
      </c>
      <c r="N8" s="153" t="n">
        <f aca="false">(1000*  - (1 - 2^$M8))-((1000*  - (1 - 2^$L8)))</f>
        <v>0</v>
      </c>
      <c r="O8" s="153" t="n">
        <f aca="false">(0*  - (1 - 2^$M8))-(0*  - (1 - 2^$L8))</f>
        <v>0</v>
      </c>
      <c r="P8" s="153" t="n">
        <f aca="false">0</f>
        <v>0</v>
      </c>
      <c r="Q8" s="153" t="n">
        <f aca="false">0</f>
        <v>0</v>
      </c>
      <c r="R8" s="16" t="n">
        <f aca="false">ROUNDUP((SUM(N8:P8))/25000)</f>
        <v>0</v>
      </c>
      <c r="S8" s="152" t="s">
        <v>41</v>
      </c>
      <c r="T8" s="129" t="n">
        <v>1</v>
      </c>
      <c r="U8" s="129" t="n">
        <v>1</v>
      </c>
      <c r="V8" s="153" t="n">
        <f aca="false">(1 - 0.04 * Planètes!T14) * (1000 * - (1 - 2^(T8-1)) - (1000 * - (1 - 2^(U8-1))))</f>
        <v>0</v>
      </c>
      <c r="W8" s="153" t="n">
        <f aca="false">(1 - 0.04 * Planètes!T14) * (0 * - (1 - 2^(T8-1)) - (0 * - (1 - 2^(U8-1))))</f>
        <v>0</v>
      </c>
      <c r="X8" s="153" t="n">
        <f aca="false">(1 - 0.04 * Planètes!T14) * (0 * - (1 - 2^(T8-1)) - (0 * - (1 - 2^(U8-1))))</f>
        <v>0</v>
      </c>
      <c r="Y8" s="155" t="n">
        <f aca="false">(((V8+W8)/(2500*(1+T21)*(2^T23)))/24)/Production!B29</f>
        <v>0</v>
      </c>
      <c r="Z8" s="16" t="n">
        <f aca="false">ROUNDUP((SUM(V8:X8))/25000)</f>
        <v>0</v>
      </c>
    </row>
    <row r="9" customFormat="false" ht="8.2" hidden="false" customHeight="true" outlineLevel="0" collapsed="false">
      <c r="A9" s="152" t="s">
        <v>43</v>
      </c>
      <c r="B9" s="129" t="n">
        <v>1</v>
      </c>
      <c r="C9" s="153" t="n">
        <f aca="false">1000*2^(B9-1)</f>
        <v>1000</v>
      </c>
      <c r="D9" s="153" t="n">
        <f aca="false">500*2^(B9-1)</f>
        <v>500</v>
      </c>
      <c r="E9" s="153" t="n">
        <v>0</v>
      </c>
      <c r="F9" s="153" t="n">
        <v>0</v>
      </c>
      <c r="G9" s="16" t="n">
        <f aca="false">ROUNDUP((SUM(C9:E9))/25000)</f>
        <v>1</v>
      </c>
      <c r="H9" s="154" t="n">
        <f aca="false">SECOND((ROUNDDOWN(((($C9+$D9)/5000)*(2/(1+$T$21))*0.5^$T$23)*3600,0)/86400)/Production!$B$29)+100*MINUTE((ROUNDUP(((($C9+$D9)/5000)*(2/(1+$T$21))*0.5^$T$23)*3600,0)/86400)/Production!$B$29)+10000*HOUR((ROUNDUP(((($C9+$D9)/5000)*(2/(1+$T$21))*0.5^$T$23)*3600,0)/86400)/Production!$B$29)+1000000*ROUNDDOWN((ROUNDUP(((($C9+$D9)/5000)*(2/(1+$T$21))*0.5^$T$23)*3600,0)/86400)/Production!$B$29,0)</f>
        <v>33</v>
      </c>
      <c r="I9" s="111" t="n">
        <f aca="false">IF(750*(ROUNDUP((((((($C9+$D9)/(2500*(1+$T$21)*(2^$T$23)))/24)/Production!$B$29)*24)*60)/30))&lt;72000,750*(ROUNDUP((((((($C9+$D9)/(2500*(1+$T$21)*(2^$T$23)))/24)/Production!$B$29)*24)*60)/30)),72000)</f>
        <v>750</v>
      </c>
      <c r="J9" s="111" t="n">
        <f aca="false">$I9*2</f>
        <v>1500</v>
      </c>
      <c r="K9" s="152" t="s">
        <v>43</v>
      </c>
      <c r="L9" s="129" t="n">
        <v>0</v>
      </c>
      <c r="M9" s="129" t="n">
        <v>0</v>
      </c>
      <c r="N9" s="153" t="n">
        <f aca="false">(1000*  - (1 - 2^$M9))-((1000*  - (1 - 2^$L9)))</f>
        <v>0</v>
      </c>
      <c r="O9" s="153" t="n">
        <f aca="false">(500*  - (1 - 2^$M9))-(500*  - (1 - 2^$L9))</f>
        <v>0</v>
      </c>
      <c r="P9" s="153" t="n">
        <f aca="false">0</f>
        <v>0</v>
      </c>
      <c r="Q9" s="153" t="n">
        <f aca="false">0</f>
        <v>0</v>
      </c>
      <c r="R9" s="16" t="n">
        <f aca="false">ROUNDUP((SUM(N9:P9))/25000)</f>
        <v>0</v>
      </c>
      <c r="S9" s="152" t="s">
        <v>43</v>
      </c>
      <c r="T9" s="129" t="n">
        <v>1</v>
      </c>
      <c r="U9" s="129" t="n">
        <v>1</v>
      </c>
      <c r="V9" s="153" t="n">
        <f aca="false">(1 - 0.04 * Planètes!T14) * (1000 * - (1 - 2^(T9-1)) - (1000 * - (1 - 2^(U9-1))))</f>
        <v>0</v>
      </c>
      <c r="W9" s="153" t="n">
        <f aca="false">(1 - 0.04 * Planètes!T14) * (500 * - (1 - 2^(T9-1)) - (500 * - (1 - 2^(U9-1))))</f>
        <v>0</v>
      </c>
      <c r="X9" s="153" t="n">
        <f aca="false">(1 - 0.04 * Planètes!T14) * (0 * - (1 - 2^(T9-1)) - (0 * - (1 - 2^(U9-1))))</f>
        <v>0</v>
      </c>
      <c r="Y9" s="155" t="n">
        <f aca="false">(((V9+W9)/(2500*(1+T21)*(2^T23)))/24)/Production!B29</f>
        <v>0</v>
      </c>
      <c r="Z9" s="16" t="n">
        <f aca="false">ROUNDUP((SUM(V9:X9))/25000)</f>
        <v>0</v>
      </c>
    </row>
    <row r="10" customFormat="false" ht="8.2" hidden="false" customHeight="true" outlineLevel="0" collapsed="false">
      <c r="A10" s="152" t="s">
        <v>45</v>
      </c>
      <c r="B10" s="129" t="n">
        <v>1</v>
      </c>
      <c r="C10" s="153" t="n">
        <f aca="false">1000*2^(B10-1)</f>
        <v>1000</v>
      </c>
      <c r="D10" s="153" t="n">
        <f aca="false">1000*2^(B10-1)</f>
        <v>1000</v>
      </c>
      <c r="E10" s="153" t="n">
        <v>0</v>
      </c>
      <c r="F10" s="153" t="n">
        <v>0</v>
      </c>
      <c r="G10" s="16" t="n">
        <f aca="false">ROUNDUP((SUM(C10:E10))/25000)</f>
        <v>1</v>
      </c>
      <c r="H10" s="154" t="n">
        <f aca="false">SECOND((ROUNDDOWN(((($C10+$D10)/5000)*(2/(1+$T$21))*0.5^$T$23)*3600,0)/86400)/Production!$B$29)+100*MINUTE((ROUNDUP(((($C10+$D10)/5000)*(2/(1+$T$21))*0.5^$T$23)*3600,0)/86400)/Production!$B$29)+10000*HOUR((ROUNDUP(((($C10+$D10)/5000)*(2/(1+$T$21))*0.5^$T$23)*3600,0)/86400)/Production!$B$29)+1000000*ROUNDDOWN((ROUNDUP(((($C10+$D10)/5000)*(2/(1+$T$21))*0.5^$T$23)*3600,0)/86400)/Production!$B$29,0)</f>
        <v>43</v>
      </c>
      <c r="I10" s="111" t="n">
        <f aca="false">IF(750*(ROUNDUP((((((($C10+$D10)/(2500*(1+$T$21)*(2^$T$23)))/24)/Production!$B$29)*24)*60)/30))&lt;72000,750*(ROUNDUP((((((($C10+$D10)/(2500*(1+$T$21)*(2^$T$23)))/24)/Production!$B$29)*24)*60)/30)),72000)</f>
        <v>750</v>
      </c>
      <c r="J10" s="111" t="n">
        <f aca="false">$I10*2</f>
        <v>1500</v>
      </c>
      <c r="K10" s="152" t="s">
        <v>45</v>
      </c>
      <c r="L10" s="129" t="n">
        <v>0</v>
      </c>
      <c r="M10" s="129" t="n">
        <v>0</v>
      </c>
      <c r="N10" s="153" t="n">
        <f aca="false">(1000*  - (1 - 2^$M10))-((1000*  - (1 - 2^$L10)))</f>
        <v>0</v>
      </c>
      <c r="O10" s="153" t="n">
        <f aca="false">(1000*  - (1 - 2^$M10))-(1000*  - (1 - 2^$L10))</f>
        <v>0</v>
      </c>
      <c r="P10" s="153" t="n">
        <f aca="false">0</f>
        <v>0</v>
      </c>
      <c r="Q10" s="153" t="n">
        <f aca="false">0</f>
        <v>0</v>
      </c>
      <c r="R10" s="16" t="n">
        <f aca="false">ROUNDUP((SUM(N10:P10))/25000)</f>
        <v>0</v>
      </c>
      <c r="S10" s="152" t="s">
        <v>45</v>
      </c>
      <c r="T10" s="129" t="n">
        <v>1</v>
      </c>
      <c r="U10" s="129" t="n">
        <v>1</v>
      </c>
      <c r="V10" s="153" t="n">
        <f aca="false">(1 - 0.04 * Planètes!T14) * (1000 * - (1 - 2^(T10-1)) - (1000 * - (1 - 2^(U10-1))))</f>
        <v>0</v>
      </c>
      <c r="W10" s="153" t="n">
        <f aca="false">(1 - 0.04 * Planètes!T14) * (1000 * - (1 - 2^(T10-1)) - (1000 * - (1 - 2^(U10-1))))</f>
        <v>0</v>
      </c>
      <c r="X10" s="153" t="n">
        <f aca="false">(1 - 0.04 * Planètes!T14) * (0 * - (1 - 2^(T10-1)) - (0 * - (1 - 2^(U10-1))))</f>
        <v>0</v>
      </c>
      <c r="Y10" s="155" t="n">
        <f aca="false">(((V10+W10)/(2500*(1+T21)*(2^T23)))/24)/Production!B29</f>
        <v>0</v>
      </c>
      <c r="Z10" s="16" t="n">
        <f aca="false">ROUNDUP((SUM(V10:X10))/25000)</f>
        <v>0</v>
      </c>
    </row>
    <row r="11" customFormat="false" ht="8.2" hidden="false" customHeight="true" outlineLevel="0" collapsed="false">
      <c r="A11" s="152" t="s">
        <v>47</v>
      </c>
      <c r="B11" s="129" t="n">
        <v>1</v>
      </c>
      <c r="C11" s="153" t="n">
        <f aca="false">400*2^(B11-1)</f>
        <v>400</v>
      </c>
      <c r="D11" s="153" t="n">
        <f aca="false">120*2^(B11-1)</f>
        <v>120</v>
      </c>
      <c r="E11" s="153" t="n">
        <f aca="false">200*2^(B11-1)</f>
        <v>200</v>
      </c>
      <c r="F11" s="153" t="n">
        <v>0</v>
      </c>
      <c r="G11" s="16" t="n">
        <f aca="false">ROUNDUP((SUM(C11:E11))/25000)</f>
        <v>1</v>
      </c>
      <c r="H11" s="154" t="n">
        <f aca="false">SECOND((ROUNDDOWN(((($C11+$D11)/5000)*(2/(1+$T$21))*0.5^$T$23)*3600,0)/86400)/Production!$B$29)+100*MINUTE((ROUNDUP(((($C11+$D11)/5000)*(2/(1+$T$21))*0.5^$T$23)*3600,0)/86400)/Production!$B$29)+10000*HOUR((ROUNDUP(((($C11+$D11)/5000)*(2/(1+$T$21))*0.5^$T$23)*3600,0)/86400)/Production!$B$29)+1000000*ROUNDDOWN((ROUNDUP(((($C11+$D11)/5000)*(2/(1+$T$21))*0.5^$T$23)*3600,0)/86400)/Production!$B$29,0)</f>
        <v>11</v>
      </c>
      <c r="I11" s="111" t="n">
        <f aca="false">IF(750*(ROUNDUP((((((($C11+$D11)/(2500*(1+$T$21)*(2^$T$23)))/24)/Production!$B$29)*24)*60)/30))&lt;72000,750*(ROUNDUP((((((($C11+$D11)/(2500*(1+$T$21)*(2^$T$23)))/24)/Production!$B$29)*24)*60)/30)),72000)</f>
        <v>750</v>
      </c>
      <c r="J11" s="111" t="n">
        <f aca="false">$I11*2</f>
        <v>1500</v>
      </c>
      <c r="K11" s="152" t="s">
        <v>47</v>
      </c>
      <c r="L11" s="129" t="n">
        <v>0</v>
      </c>
      <c r="M11" s="129" t="n">
        <v>0</v>
      </c>
      <c r="N11" s="153" t="n">
        <f aca="false">(400*  - (1 - 2^$M11))-((400*  - (1 - 2^$L11)))</f>
        <v>0</v>
      </c>
      <c r="O11" s="153" t="n">
        <f aca="false">(120*  - (1 - 2^$M11))-(120*  - (1 - 2^$L11))</f>
        <v>0</v>
      </c>
      <c r="P11" s="153" t="n">
        <f aca="false">(200*  - (1 - 2^$M11))-(200*  - (1 - 2^$L11))</f>
        <v>0</v>
      </c>
      <c r="Q11" s="153" t="n">
        <f aca="false">(200*  - (1 - 2^$M11))-(200*  - (1 - 2^$L11))</f>
        <v>0</v>
      </c>
      <c r="R11" s="16" t="n">
        <f aca="false">ROUNDUP((SUM(N11:P11))/25000)</f>
        <v>0</v>
      </c>
      <c r="S11" s="152" t="s">
        <v>47</v>
      </c>
      <c r="T11" s="129" t="n">
        <v>1</v>
      </c>
      <c r="U11" s="129" t="n">
        <v>1</v>
      </c>
      <c r="V11" s="153" t="n">
        <f aca="false">(1 - 0.04 * Planètes!T14) * (400 * - (1 - 2^(T11-1)) - (400 * - (1 - 2^(U11-1))))</f>
        <v>0</v>
      </c>
      <c r="W11" s="153" t="n">
        <f aca="false">(1 - 0.04 * Planètes!T14) * (120 * - (1 - 2^(T11-1)) - (120 * - (1 - 2^(U11-1))))</f>
        <v>0</v>
      </c>
      <c r="X11" s="153" t="n">
        <f aca="false">(1 - 0.04 * Planètes!T14) * (200 * - (1 - 2^(T11-1)) - (200 * - (1 - 2^(U11-1))))</f>
        <v>0</v>
      </c>
      <c r="Y11" s="155" t="n">
        <f aca="false">(((V11+W11)/(2500*(1+T21)*(2^T23)))/24)/Production!B29</f>
        <v>0</v>
      </c>
      <c r="Z11" s="16" t="n">
        <f aca="false">ROUNDUP((SUM(V11:X11))/25000)</f>
        <v>0</v>
      </c>
    </row>
    <row r="12" customFormat="false" ht="8.2" hidden="false" customHeight="true" outlineLevel="0" collapsed="false">
      <c r="A12" s="152" t="s">
        <v>49</v>
      </c>
      <c r="B12" s="129" t="n">
        <v>1</v>
      </c>
      <c r="C12" s="153" t="n">
        <f aca="false">1000000*2^(B12-1)</f>
        <v>1000000</v>
      </c>
      <c r="D12" s="153" t="n">
        <f aca="false">500000*2^(B12-1)</f>
        <v>500000</v>
      </c>
      <c r="E12" s="153" t="n">
        <f aca="false">100000*2^(B12-1)</f>
        <v>100000</v>
      </c>
      <c r="F12" s="153" t="n">
        <v>0</v>
      </c>
      <c r="G12" s="16" t="n">
        <f aca="false">ROUNDUP((SUM(C12:E12))/25000)</f>
        <v>64</v>
      </c>
      <c r="H12" s="154" t="n">
        <f aca="false">SECOND((ROUNDDOWN(((($C12+$D12)/5000)*(2/(1+$T$21))*0.5^$T$23)*3600,0)/86400)/Production!$B$29)+100*MINUTE((ROUNDUP(((($C12+$D12)/5000)*(2/(1+$T$21))*0.5^$T$23)*3600,0)/86400)/Production!$B$29)+10000*HOUR((ROUNDUP(((($C12+$D12)/5000)*(2/(1+$T$21))*0.5^$T$23)*3600,0)/86400)/Production!$B$29)+1000000*ROUNDDOWN((ROUNDUP(((($C12+$D12)/5000)*(2/(1+$T$21))*0.5^$T$23)*3600,0)/86400)/Production!$B$29,0)</f>
        <v>90527</v>
      </c>
      <c r="I12" s="111" t="n">
        <f aca="false">IF(750*(ROUNDUP((((((($C12+$D12)/(2500*(1+$T$21)*(2^$T$23)))/24)/Production!$B$29)*24)*60)/30))&lt;72000,750*(ROUNDUP((((((($C12+$D12)/(2500*(1+$T$21)*(2^$T$23)))/24)/Production!$B$29)*24)*60)/30)),72000)</f>
        <v>14250</v>
      </c>
      <c r="J12" s="111" t="n">
        <f aca="false">$I12*2</f>
        <v>28500</v>
      </c>
      <c r="K12" s="152" t="s">
        <v>49</v>
      </c>
      <c r="L12" s="129" t="n">
        <v>0</v>
      </c>
      <c r="M12" s="129" t="n">
        <v>0</v>
      </c>
      <c r="N12" s="153" t="n">
        <f aca="false">(1000000*  - (1 - 2^$M12))-((1000000*  - (1 - 2^$L12)))</f>
        <v>0</v>
      </c>
      <c r="O12" s="153" t="n">
        <f aca="false">(500000*  - (1 - 2^$M12))-(500000*  - (1 - 2^$L12))</f>
        <v>0</v>
      </c>
      <c r="P12" s="153" t="n">
        <f aca="false">(100000*  - (1 - 2^$M12))-(100000*  - (1 - 2^$L12))</f>
        <v>0</v>
      </c>
      <c r="Q12" s="153" t="n">
        <f aca="false">(100000*  - (1 - 2^$M12))-(100000*  - (1 - 2^$L12))</f>
        <v>0</v>
      </c>
      <c r="R12" s="16" t="n">
        <f aca="false">ROUNDUP((SUM(N12:P12))/25000)</f>
        <v>0</v>
      </c>
      <c r="S12" s="152" t="s">
        <v>49</v>
      </c>
      <c r="T12" s="129" t="n">
        <v>1</v>
      </c>
      <c r="U12" s="129" t="n">
        <v>1</v>
      </c>
      <c r="V12" s="153" t="n">
        <f aca="false">(1 - 0.04 * Planètes!T14) * (1000000 * - (1 - 2^(T12-1)) - (1000000 * - (1 - 2^(U12-1))))</f>
        <v>0</v>
      </c>
      <c r="W12" s="153" t="n">
        <f aca="false">(1 - 0.04 * Planètes!T14) * (500000 * - (1 - 2^(T12-1)) - (500000 * - (1 - 2^(U12-1))))</f>
        <v>0</v>
      </c>
      <c r="X12" s="153" t="n">
        <f aca="false">(1 - 0.04 * Planètes!T14) * (100000 * - (1 - 2^(T12-1)) - (100000 * - (1 - 2^(U12-1))))</f>
        <v>0</v>
      </c>
      <c r="Y12" s="155" t="n">
        <f aca="false">(((V12+W12)/(2500*(1+T21)*(2^T23)))/24)/Production!B29</f>
        <v>0</v>
      </c>
      <c r="Z12" s="16" t="n">
        <f aca="false">ROUNDUP((SUM(V12:X12))/25000)</f>
        <v>0</v>
      </c>
    </row>
    <row r="13" customFormat="false" ht="8.2" hidden="false" customHeight="true" outlineLevel="0" collapsed="false">
      <c r="A13" s="152" t="s">
        <v>51</v>
      </c>
      <c r="B13" s="129" t="n">
        <v>1</v>
      </c>
      <c r="C13" s="153" t="n">
        <f aca="false">400*2^(B13-1)</f>
        <v>400</v>
      </c>
      <c r="D13" s="153" t="n">
        <f aca="false">200*2^(B13-1)</f>
        <v>200</v>
      </c>
      <c r="E13" s="153" t="n">
        <f aca="false">100*2^(B13-1)</f>
        <v>100</v>
      </c>
      <c r="F13" s="153" t="n">
        <v>0</v>
      </c>
      <c r="G13" s="16" t="n">
        <f aca="false">ROUNDUP((SUM(C13:E13))/25000)</f>
        <v>1</v>
      </c>
      <c r="H13" s="154" t="n">
        <f aca="false">SECOND((ROUNDDOWN(((($C13+$D13)/5000)*(2/(1+$T$21))*0.5^$T$23)*3600,0)/86400)/Production!$B$29)+100*MINUTE((ROUNDUP(((($C13+$D13)/5000)*(2/(1+$T$21))*0.5^$T$23)*3600,0)/86400)/Production!$B$29)+10000*HOUR((ROUNDUP(((($C13+$D13)/5000)*(2/(1+$T$21))*0.5^$T$23)*3600,0)/86400)/Production!$B$29)+1000000*ROUNDDOWN((ROUNDUP(((($C13+$D13)/5000)*(2/(1+$T$21))*0.5^$T$23)*3600,0)/86400)/Production!$B$29,0)</f>
        <v>13</v>
      </c>
      <c r="I13" s="111" t="n">
        <f aca="false">IF(750*(ROUNDUP((((((($C13+$D13)/(2500*(1+$T$21)*(2^$T$23)))/24)/Production!$B$29)*24)*60)/30))&lt;72000,750*(ROUNDUP((((((($C13+$D13)/(2500*(1+$T$21)*(2^$T$23)))/24)/Production!$B$29)*24)*60)/30)),72000)</f>
        <v>750</v>
      </c>
      <c r="J13" s="111" t="n">
        <f aca="false">$I13*2</f>
        <v>1500</v>
      </c>
      <c r="K13" s="152" t="s">
        <v>51</v>
      </c>
      <c r="L13" s="129" t="n">
        <v>0</v>
      </c>
      <c r="M13" s="129" t="n">
        <v>0</v>
      </c>
      <c r="N13" s="153" t="n">
        <f aca="false">(400*  - (1 - 2^$M13))-((400*  - (1 - 2^$L13)))</f>
        <v>0</v>
      </c>
      <c r="O13" s="153" t="n">
        <f aca="false">(200*  - (1 - 2^$M13))-(200*  - (1 - 2^$L13))</f>
        <v>0</v>
      </c>
      <c r="P13" s="153" t="n">
        <f aca="false">(100*  - (1 - 2^$M13))-(100*  - (1 - 2^$L13))</f>
        <v>0</v>
      </c>
      <c r="Q13" s="153" t="n">
        <f aca="false">(100*  - (1 - 2^$M13))-(100*  - (1 - 2^$L13))</f>
        <v>0</v>
      </c>
      <c r="R13" s="16" t="n">
        <f aca="false">ROUNDUP((SUM(N13:P13))/25000)</f>
        <v>0</v>
      </c>
      <c r="S13" s="152" t="s">
        <v>51</v>
      </c>
      <c r="T13" s="129" t="n">
        <v>1</v>
      </c>
      <c r="U13" s="129" t="n">
        <v>1</v>
      </c>
      <c r="V13" s="153" t="n">
        <f aca="false">(1 - 0.04 * Planètes!T14) * (400 * - (1 - 2^(T13-1)) - (400 * - (1 - 2^(U13-1))))</f>
        <v>0</v>
      </c>
      <c r="W13" s="153" t="n">
        <f aca="false">(1 - 0.04 * Planètes!T14) * (200 * - (1 - 2^(T13-1)) - (200 * - (1 - 2^(U13-1))))</f>
        <v>0</v>
      </c>
      <c r="X13" s="153" t="n">
        <f aca="false">(1 - 0.04 * Planètes!T14) * (100 * - (1 - 2^(T13-1)) - (100 * - (1 - 2^(U13-1))))</f>
        <v>0</v>
      </c>
      <c r="Y13" s="155" t="n">
        <f aca="false">(((V13+W13)/(2500*(1+T21)*(2^T23)))/24)/Production!B29</f>
        <v>0</v>
      </c>
      <c r="Z13" s="16" t="n">
        <f aca="false">ROUNDUP((SUM(V13:X13))/25000)</f>
        <v>0</v>
      </c>
    </row>
    <row r="14" customFormat="false" ht="8.2" hidden="false" customHeight="true" outlineLevel="0" collapsed="false">
      <c r="A14" s="152" t="s">
        <v>54</v>
      </c>
      <c r="B14" s="129" t="n">
        <v>1</v>
      </c>
      <c r="C14" s="153" t="n">
        <f aca="false">200*2^(B14-1)</f>
        <v>200</v>
      </c>
      <c r="D14" s="153" t="n">
        <f aca="false">400*2^(B14-1)</f>
        <v>400</v>
      </c>
      <c r="E14" s="153" t="n">
        <f aca="false">200*2^(B14-1)</f>
        <v>200</v>
      </c>
      <c r="F14" s="153" t="n">
        <v>0</v>
      </c>
      <c r="G14" s="16" t="n">
        <f aca="false">ROUNDUP((SUM(C14:E14))/25000)</f>
        <v>1</v>
      </c>
      <c r="H14" s="154" t="n">
        <f aca="false">SECOND((ROUNDDOWN(((($C14+$D14)/5000)*(2/(1+$T$21))*0.5^$T$23)*3600,0)/86400)/Production!$B$29)+100*MINUTE((ROUNDUP(((($C14+$D14)/5000)*(2/(1+$T$21))*0.5^$T$23)*3600,0)/86400)/Production!$B$29)+10000*HOUR((ROUNDUP(((($C14+$D14)/5000)*(2/(1+$T$21))*0.5^$T$23)*3600,0)/86400)/Production!$B$29)+1000000*ROUNDDOWN((ROUNDUP(((($C14+$D14)/5000)*(2/(1+$T$21))*0.5^$T$23)*3600,0)/86400)/Production!$B$29,0)</f>
        <v>13</v>
      </c>
      <c r="I14" s="111" t="n">
        <f aca="false">IF(750*(ROUNDUP((((((($C14+$D14)/(2500*(1+$T$21)*(2^$T$23)))/24)/Production!$B$29)*24)*60)/30))&lt;72000,750*(ROUNDUP((((((($C14+$D14)/(2500*(1+$T$21)*(2^$T$23)))/24)/Production!$B$29)*24)*60)/30)),72000)</f>
        <v>750</v>
      </c>
      <c r="J14" s="111" t="n">
        <f aca="false">$I14*2</f>
        <v>1500</v>
      </c>
      <c r="K14" s="152" t="s">
        <v>54</v>
      </c>
      <c r="L14" s="129" t="n">
        <v>0</v>
      </c>
      <c r="M14" s="129" t="n">
        <v>0</v>
      </c>
      <c r="N14" s="153" t="n">
        <f aca="false">(200*  - (1 - 2^$M14))-((200*  - (1 - 2^$L14)))</f>
        <v>0</v>
      </c>
      <c r="O14" s="153" t="n">
        <f aca="false">(400*  - (1 - 2^$M14))-(400*  - (1 - 2^$L14))</f>
        <v>0</v>
      </c>
      <c r="P14" s="153" t="n">
        <f aca="false">(200*  - (1 - 2^$M14))-(200*  - (1 - 2^$L14))</f>
        <v>0</v>
      </c>
      <c r="Q14" s="153" t="n">
        <f aca="false">(200*  - (1 - 2^$M14))-(200*  - (1 - 2^$L14))</f>
        <v>0</v>
      </c>
      <c r="R14" s="16" t="n">
        <f aca="false">ROUNDUP((SUM(N14:P14))/25000)</f>
        <v>0</v>
      </c>
      <c r="S14" s="152" t="s">
        <v>54</v>
      </c>
      <c r="T14" s="129" t="n">
        <v>1</v>
      </c>
      <c r="U14" s="129" t="n">
        <v>1</v>
      </c>
      <c r="V14" s="153" t="n">
        <f aca="false">(1 - 0.04 * Planètes!T14) * (200 * - (1 - 2^(T14-1)) - (200 * - (1 - 2^(U14-1))))</f>
        <v>0</v>
      </c>
      <c r="W14" s="153" t="n">
        <f aca="false">(1 - 0.04 * Planètes!T14) * (400 * - (1 - 2^(T14-1)) - (400 * - (1 - 2^(U14-1))))</f>
        <v>0</v>
      </c>
      <c r="X14" s="153" t="n">
        <f aca="false">(1 - 0.04 * Planètes!T14) * (200 * - (1 - 2^(T14-1)) - (200 * - (1 - 2^(U14-1))))</f>
        <v>0</v>
      </c>
      <c r="Y14" s="155" t="n">
        <f aca="false">(((V14+W14)/(2500*(1+T21)*(2^T23)))/24)/Production!B29</f>
        <v>0</v>
      </c>
      <c r="Z14" s="16" t="n">
        <f aca="false">ROUNDUP((SUM(V14:X14))/25000)</f>
        <v>0</v>
      </c>
    </row>
    <row r="15" customFormat="false" ht="8.2" hidden="false" customHeight="true" outlineLevel="0" collapsed="false">
      <c r="A15" s="152" t="s">
        <v>55</v>
      </c>
      <c r="B15" s="129" t="n">
        <v>1</v>
      </c>
      <c r="C15" s="153" t="n">
        <f aca="false">0*2^(B15-1)</f>
        <v>0</v>
      </c>
      <c r="D15" s="153" t="n">
        <f aca="false">50000*2^(B15-1)</f>
        <v>50000</v>
      </c>
      <c r="E15" s="153" t="n">
        <f aca="false">100000*2^(B15-1)</f>
        <v>100000</v>
      </c>
      <c r="F15" s="153" t="n">
        <f aca="false">1000*2^(B15-1)</f>
        <v>1000</v>
      </c>
      <c r="G15" s="16" t="n">
        <f aca="false">ROUNDUP((SUM(C15:E15))/25000)</f>
        <v>6</v>
      </c>
      <c r="H15" s="154" t="n">
        <f aca="false">SECOND((ROUNDDOWN(((($C15+$D15)/5000)*(2/(1+$T$21))*0.5^$T$23)*3600,0)/86400)/Production!$B$29)+100*MINUTE((ROUNDUP(((($C15+$D15)/5000)*(2/(1+$T$21))*0.5^$T$23)*3600,0)/86400)/Production!$B$29)+10000*HOUR((ROUNDUP(((($C15+$D15)/5000)*(2/(1+$T$21))*0.5^$T$23)*3600,0)/86400)/Production!$B$29)+1000000*ROUNDDOWN((ROUNDUP(((($C15+$D15)/5000)*(2/(1+$T$21))*0.5^$T$23)*3600,0)/86400)/Production!$B$29,0)</f>
        <v>1811</v>
      </c>
      <c r="I15" s="111" t="n">
        <f aca="false">IF(750*(ROUNDUP((((((($C15+$D15)/(2500*(1+$T$21)*(2^$T$23)))/24)/Production!$B$29)*24)*60)/30))&lt;72000,750*(ROUNDUP((((((($C15+$D15)/(2500*(1+$T$21)*(2^$T$23)))/24)/Production!$B$29)*24)*60)/30)),72000)</f>
        <v>750</v>
      </c>
      <c r="J15" s="111" t="n">
        <f aca="false">$I15*2</f>
        <v>1500</v>
      </c>
      <c r="K15" s="152" t="s">
        <v>55</v>
      </c>
      <c r="L15" s="129" t="n">
        <v>0</v>
      </c>
      <c r="M15" s="129" t="n">
        <v>0</v>
      </c>
      <c r="N15" s="153" t="n">
        <f aca="false">(0*  - (1 - 2^$M15))-((0*  - (1 - 2^$L15)))</f>
        <v>0</v>
      </c>
      <c r="O15" s="153" t="n">
        <f aca="false">(50000*  - (1 - 2^$M15))-(50000*  - (1 - 2^$L15))</f>
        <v>0</v>
      </c>
      <c r="P15" s="153" t="n">
        <f aca="false">(100000*  - (1 - 2^$M15))-(100000*  - (1 - 2^$L15))</f>
        <v>0</v>
      </c>
      <c r="Q15" s="153" t="n">
        <f aca="false">(1000*  - (1 - 2^$M15))-(1000*  - (1 - 2^$L15))</f>
        <v>0</v>
      </c>
      <c r="R15" s="16" t="n">
        <f aca="false">ROUNDUP((SUM(N15:P15))/25000)</f>
        <v>0</v>
      </c>
      <c r="S15" s="152" t="s">
        <v>55</v>
      </c>
      <c r="T15" s="129" t="n">
        <v>1</v>
      </c>
      <c r="U15" s="129" t="n">
        <v>1</v>
      </c>
      <c r="V15" s="153" t="n">
        <f aca="false">(1 - 0.04 * Planètes!T14) * (0 * - (1 - 2^(T15-1)) - (0 * - (1 - 2^(U15-1))))</f>
        <v>0</v>
      </c>
      <c r="W15" s="153" t="n">
        <f aca="false">(1 - 0.04 * Planètes!T14) * (50000 * - (1 - 2^(T15-1)) - (50000 * - (1 - 2^(U15-1))))</f>
        <v>0</v>
      </c>
      <c r="X15" s="153" t="n">
        <f aca="false">(1 - 0.04 * Planètes!T14) * (100000 * - (1 - 2^(T15-1)) - (100000 * - (1 - 2^(U15-1))))</f>
        <v>0</v>
      </c>
      <c r="Y15" s="155" t="n">
        <f aca="false">(((V15+W15)/(2500*(1+T21)*(2^T23)))/24)/Production!B29</f>
        <v>0</v>
      </c>
      <c r="Z15" s="16" t="n">
        <f aca="false">ROUNDUP((SUM(V15:X15))/25000)</f>
        <v>0</v>
      </c>
    </row>
    <row r="16" customFormat="false" ht="8.2" hidden="false" customHeight="true" outlineLevel="0" collapsed="false">
      <c r="A16" s="152" t="s">
        <v>57</v>
      </c>
      <c r="B16" s="129" t="n">
        <v>1</v>
      </c>
      <c r="C16" s="153" t="n">
        <f aca="false">20000*2^(B16-1)</f>
        <v>20000</v>
      </c>
      <c r="D16" s="153" t="n">
        <f aca="false">20000*2^(B16-1)</f>
        <v>20000</v>
      </c>
      <c r="E16" s="153" t="n">
        <f aca="false">1000*2^(B16-1)</f>
        <v>1000</v>
      </c>
      <c r="F16" s="153" t="n">
        <v>0</v>
      </c>
      <c r="G16" s="16" t="n">
        <f aca="false">ROUNDUP((SUM(C16:E16))/25000)</f>
        <v>2</v>
      </c>
      <c r="H16" s="154" t="n">
        <f aca="false">SECOND((ROUNDDOWN(((($C16+$D16)/5000)*(2/(1+$T$21))*0.5^$T$23)*3600,0)/86400)/Production!$B$29)+100*MINUTE((ROUNDUP(((($C16+$D16)/5000)*(2/(1+$T$21))*0.5^$T$23)*3600,0)/86400)/Production!$B$29)+10000*HOUR((ROUNDUP(((($C16+$D16)/5000)*(2/(1+$T$21))*0.5^$T$23)*3600,0)/86400)/Production!$B$29)+1000000*ROUNDDOWN((ROUNDUP(((($C16+$D16)/5000)*(2/(1+$T$21))*0.5^$T$23)*3600,0)/86400)/Production!$B$29,0)</f>
        <v>1433</v>
      </c>
      <c r="I16" s="111" t="n">
        <f aca="false">IF(750*(ROUNDUP((((((($C16+$D16)/(2500*(1+$T$21)*(2^$T$23)))/24)/Production!$B$29)*24)*60)/30))&lt;72000,750*(ROUNDUP((((((($C16+$D16)/(2500*(1+$T$21)*(2^$T$23)))/24)/Production!$B$29)*24)*60)/30)),72000)</f>
        <v>750</v>
      </c>
      <c r="J16" s="111" t="n">
        <f aca="false">$I16*2</f>
        <v>1500</v>
      </c>
      <c r="K16" s="152" t="s">
        <v>57</v>
      </c>
      <c r="L16" s="129" t="n">
        <v>0</v>
      </c>
      <c r="M16" s="129" t="n">
        <v>0</v>
      </c>
      <c r="N16" s="153" t="n">
        <f aca="false">(20000*  - (1 - 2^$M16))-((20000*  - (1 - 2^$L16)))</f>
        <v>0</v>
      </c>
      <c r="O16" s="153" t="n">
        <f aca="false">(20000*  - (1 - 2^$M16))-(20000*  - (1 - 2^$L16))</f>
        <v>0</v>
      </c>
      <c r="P16" s="153" t="n">
        <f aca="false">(1000*  - (1 - 2^$M16))-(1000*  - (1 - 2^$L16))</f>
        <v>0</v>
      </c>
      <c r="Q16" s="153" t="n">
        <f aca="false">(1000*  - (1 - 2^$M16))-(1000*  - (1 - 2^$L16))</f>
        <v>0</v>
      </c>
      <c r="R16" s="16" t="n">
        <f aca="false">ROUNDUP((SUM(N16:P16))/25000)</f>
        <v>0</v>
      </c>
      <c r="S16" s="152" t="s">
        <v>57</v>
      </c>
      <c r="T16" s="129" t="n">
        <v>1</v>
      </c>
      <c r="U16" s="129" t="n">
        <v>1</v>
      </c>
      <c r="V16" s="153" t="n">
        <f aca="false">(1 - 0.04 * Planètes!T14) * (20000 * - (1 - 2^(T16-1)) - (20000 * - (1 - 2^(U16-1))))</f>
        <v>0</v>
      </c>
      <c r="W16" s="153" t="n">
        <f aca="false">(1 - 0.04 * Planètes!T14) * (20000 * - (1 - 2^(T16-1)) - (20000 * - (1 - 2^(U16-1))))</f>
        <v>0</v>
      </c>
      <c r="X16" s="153" t="n">
        <f aca="false">(1 - 0.04 * Planètes!T14) * (1000 * - (1 - 2^(T16-1)) - (1000 * - (1 - 2^(U16-1))))</f>
        <v>0</v>
      </c>
      <c r="Y16" s="155" t="n">
        <f aca="false">(((V16+W16)/(2500*(1+T21)*(2^T23)))/24)/Production!B29</f>
        <v>0</v>
      </c>
      <c r="Z16" s="16" t="n">
        <f aca="false">ROUNDUP((SUM(V16:X16))/25000)</f>
        <v>0</v>
      </c>
    </row>
    <row r="17" customFormat="false" ht="8.2" hidden="false" customHeight="true" outlineLevel="0" collapsed="false">
      <c r="A17" s="152" t="s">
        <v>53</v>
      </c>
      <c r="B17" s="129" t="n">
        <v>1</v>
      </c>
      <c r="C17" s="153" t="n">
        <f aca="false">200*5^(B17-1)</f>
        <v>200</v>
      </c>
      <c r="D17" s="153" t="n">
        <f aca="false">0</f>
        <v>0</v>
      </c>
      <c r="E17" s="153" t="n">
        <f aca="false">50*5^(B17-1)</f>
        <v>50</v>
      </c>
      <c r="F17" s="153" t="n">
        <f aca="false">50*2.5^(B17-1)</f>
        <v>50</v>
      </c>
      <c r="G17" s="16" t="n">
        <f aca="false">ROUNDUP((SUM(C17:E17))/25000)</f>
        <v>1</v>
      </c>
      <c r="H17" s="154" t="n">
        <f aca="false">SECOND((ROUNDDOWN(((($C17+$D17)/5000)*(2/(1+$T$21))*0.5^$T$23)*3600,0)/86400)/Production!$B$29)+100*MINUTE((ROUNDUP(((($C17+$D17)/5000)*(2/(1+$T$21))*0.5^$T$23)*3600,0)/86400)/Production!$B$29)+10000*HOUR((ROUNDUP(((($C17+$D17)/5000)*(2/(1+$T$21))*0.5^$T$23)*3600,0)/86400)/Production!$B$29)+1000000*ROUNDDOWN((ROUNDUP(((($C17+$D17)/5000)*(2/(1+$T$21))*0.5^$T$23)*3600,0)/86400)/Production!$B$29,0)</f>
        <v>4</v>
      </c>
      <c r="I17" s="111" t="n">
        <f aca="false">IF(750*(ROUNDUP((((((($C17+$D17)/(2500*(1+$T$21)*(2^$T$23)))/24)/Production!$B$29)*24)*60)/30))&lt;72000,750*(ROUNDUP((((((($C17+$D17)/(2500*(1+$T$21)*(2^$T$23)))/24)/Production!$B$29)*24)*60)/30)),72000)</f>
        <v>750</v>
      </c>
      <c r="J17" s="111" t="n">
        <f aca="false">$I17*2</f>
        <v>1500</v>
      </c>
      <c r="K17" s="152" t="s">
        <v>53</v>
      </c>
      <c r="L17" s="129" t="n">
        <v>0</v>
      </c>
      <c r="M17" s="129" t="n">
        <v>0</v>
      </c>
      <c r="N17" s="153" t="n">
        <f aca="false">((200*5^(M17))/4)-((200*5^(L17))/4)</f>
        <v>0</v>
      </c>
      <c r="O17" s="153" t="n">
        <f aca="false">0</f>
        <v>0</v>
      </c>
      <c r="P17" s="153" t="n">
        <f aca="false">((50*5^(M17))/4)-((50*5^(L17))/4)</f>
        <v>0</v>
      </c>
      <c r="Q17" s="153"/>
      <c r="R17" s="16" t="n">
        <f aca="false">ROUNDUP((SUM(N17:P17))/25000)</f>
        <v>0</v>
      </c>
      <c r="S17" s="152" t="s">
        <v>5</v>
      </c>
      <c r="T17" s="152"/>
      <c r="U17" s="152"/>
      <c r="V17" s="153" t="n">
        <f aca="false">SUM(V3:V16)</f>
        <v>0</v>
      </c>
      <c r="W17" s="153" t="n">
        <f aca="false">SUM(W3:W16)</f>
        <v>0</v>
      </c>
      <c r="X17" s="153" t="n">
        <f aca="false">SUM(X3:X16)</f>
        <v>0</v>
      </c>
      <c r="Y17" s="155" t="n">
        <f aca="false">SUM(Y3:Y16)</f>
        <v>0</v>
      </c>
      <c r="Z17" s="16" t="n">
        <f aca="false">SUM(Z3:Z16)</f>
        <v>0</v>
      </c>
    </row>
    <row r="18" customFormat="false" ht="8.2" hidden="false" customHeight="true" outlineLevel="0" collapsed="false">
      <c r="A18" s="33" t="s">
        <v>224</v>
      </c>
      <c r="B18" s="33"/>
      <c r="C18" s="33"/>
      <c r="D18" s="33"/>
      <c r="E18" s="33"/>
      <c r="F18" s="33"/>
      <c r="G18" s="33"/>
      <c r="H18" s="33"/>
      <c r="I18" s="33" t="s">
        <v>214</v>
      </c>
      <c r="J18" s="33"/>
      <c r="K18" s="152" t="s">
        <v>5</v>
      </c>
      <c r="L18" s="152"/>
      <c r="M18" s="152"/>
      <c r="N18" s="153" t="n">
        <f aca="false">SUM(N3:N17)</f>
        <v>0</v>
      </c>
      <c r="O18" s="153" t="n">
        <f aca="false">SUM(O3:O17)</f>
        <v>0</v>
      </c>
      <c r="P18" s="153" t="n">
        <f aca="false">SUM(P3:P17)</f>
        <v>0</v>
      </c>
      <c r="Q18" s="153" t="n">
        <f aca="false">SUM(Q3:Q17)</f>
        <v>0</v>
      </c>
      <c r="R18" s="16" t="n">
        <f aca="false">ROUNDUP((SUM(N18:P18))/25000)</f>
        <v>0</v>
      </c>
    </row>
    <row r="19" customFormat="false" ht="8.2" hidden="false" customHeight="true" outlineLevel="0" collapsed="false">
      <c r="A19" s="51"/>
      <c r="B19" s="51" t="s">
        <v>108</v>
      </c>
      <c r="C19" s="51" t="s">
        <v>21</v>
      </c>
      <c r="D19" s="51" t="s">
        <v>23</v>
      </c>
      <c r="E19" s="51" t="s">
        <v>24</v>
      </c>
      <c r="F19" s="46" t="s">
        <v>68</v>
      </c>
      <c r="G19" s="46"/>
      <c r="H19" s="46" t="s">
        <v>217</v>
      </c>
      <c r="I19" s="151" t="n">
        <v>-0.5</v>
      </c>
      <c r="J19" s="46" t="s">
        <v>218</v>
      </c>
      <c r="K19" s="33" t="s">
        <v>225</v>
      </c>
      <c r="L19" s="33"/>
      <c r="M19" s="33"/>
      <c r="N19" s="33"/>
      <c r="O19" s="33"/>
      <c r="P19" s="33"/>
      <c r="Q19" s="33"/>
      <c r="R19" s="33"/>
    </row>
    <row r="20" customFormat="false" ht="8.2" hidden="false" customHeight="true" outlineLevel="0" collapsed="false">
      <c r="A20" s="152" t="s">
        <v>19</v>
      </c>
      <c r="B20" s="129" t="n">
        <v>1</v>
      </c>
      <c r="C20" s="153" t="n">
        <f aca="false">(0*2^($B20))-(0*2^($B20-1))</f>
        <v>0</v>
      </c>
      <c r="D20" s="153" t="n">
        <f aca="false">(800*2^($B20-1))</f>
        <v>800</v>
      </c>
      <c r="E20" s="153" t="n">
        <f aca="false">(400*2^($B20-1))</f>
        <v>400</v>
      </c>
      <c r="F20" s="16" t="n">
        <f aca="false">ROUNDUP((SUM(C20:E20))/25000)</f>
        <v>1</v>
      </c>
      <c r="G20" s="16"/>
      <c r="H20" s="154" t="n">
        <f aca="false">SECOND(IF($T$31=1,(0.75*(($C20+$D20)/(1000*(1+$T$29))/24)/Production!$B$29),(($C20+$D20)/(1000*(1+$T$29))/24)/Production!$B$29))+100*MINUTE(IF($T$31=1,(0.75*(($C20+$D20)/(1000*(1+$T$29))/24)/Production!$B$29),(($C20+$D20)/(1000*(1+$T$29))/24)/Production!$B$29))+10000*HOUR(IF($T$31=1,(0.75*(($C20+$D20)/(1000*(1+$T$29))/24)/Production!$B$29),(($C20+$D20)/(1000*(1+$T$29))/24)/Production!$B$29))+1000000*ROUNDDOWN((((IF($T$31=1,(0.75*(($C20+$D20)/(1000*(1+$T$29))/24)/Production!$B$29),(($C20+$D20)/(1000*(1+$T$29))/24)/Production!$B$29)))))</f>
        <v>127</v>
      </c>
      <c r="I20" s="111" t="n">
        <f aca="false">IF(750*(ROUNDUP((((IF($T$31=1,(0.75*(($C20+$D20)/(1000*(1+$T$29))/24)/Production!$B$29),(($C20+$D20)/(1000*(1+$T$29))/24)/Production!$B$29))*24)*60)/30))&lt;108000,750*(ROUNDUP((((IF($T$31=1,(0.75*(($C20+$D20)/(1000*(1+$T$29))/24)/Production!$B$29),(($C20+$D20)/(1000*(1+$T$29))/24)/Production!$B$29))*24)*60)/30)),108000)</f>
        <v>750</v>
      </c>
      <c r="J20" s="111" t="n">
        <f aca="false">I20*2</f>
        <v>1500</v>
      </c>
      <c r="K20" s="51"/>
      <c r="L20" s="51" t="s">
        <v>219</v>
      </c>
      <c r="M20" s="51" t="s">
        <v>226</v>
      </c>
      <c r="N20" s="51" t="s">
        <v>21</v>
      </c>
      <c r="O20" s="51" t="s">
        <v>23</v>
      </c>
      <c r="P20" s="51" t="s">
        <v>24</v>
      </c>
      <c r="Q20" s="46" t="s">
        <v>222</v>
      </c>
      <c r="R20" s="46" t="s">
        <v>68</v>
      </c>
    </row>
    <row r="21" customFormat="false" ht="8.2" hidden="false" customHeight="true" outlineLevel="0" collapsed="false">
      <c r="A21" s="152" t="s">
        <v>25</v>
      </c>
      <c r="B21" s="129" t="n">
        <v>1</v>
      </c>
      <c r="C21" s="153" t="n">
        <f aca="false">(1000*2^($B21-1))</f>
        <v>1000</v>
      </c>
      <c r="D21" s="153" t="n">
        <f aca="false">(300*2^($B21-1))</f>
        <v>300</v>
      </c>
      <c r="E21" s="153" t="n">
        <f aca="false">(100*2^($B21-1))</f>
        <v>100</v>
      </c>
      <c r="F21" s="16" t="n">
        <f aca="false">ROUNDUP((SUM(C21:E21))/25000)</f>
        <v>1</v>
      </c>
      <c r="G21" s="16"/>
      <c r="H21" s="154" t="n">
        <f aca="false">SECOND(IF($T$31=1,(0.75*(($C21+$D21)/(1000*(1+$T$29))/24)/Production!$B$29),(($C21+$D21)/(1000*(1+$T$29))/24)/Production!$B$29))+100*MINUTE(IF($T$31=1,(0.75*(($C21+$D21)/(1000*(1+$T$29))/24)/Production!$B$29),(($C21+$D21)/(1000*(1+$T$29))/24)/Production!$B$29))+10000*HOUR(IF($T$31=1,(0.75*(($C21+$D21)/(1000*(1+$T$29))/24)/Production!$B$29),(($C21+$D21)/(1000*(1+$T$29))/24)/Production!$B$29))+1000000*ROUNDDOWN((((IF($T$31=1,(0.75*(($C21+$D21)/(1000*(1+$T$29))/24)/Production!$B$29),(($C21+$D21)/(1000*(1+$T$29))/24)/Production!$B$29)))))</f>
        <v>222</v>
      </c>
      <c r="I21" s="111" t="n">
        <f aca="false">IF(750*(ROUNDUP((((IF($T$31=1,(0.75*(($C21+$D21)/(1000*(1+$T$29))/24)/Production!$B$29),(($C21+$D21)/(1000*(1+$T$29))/24)/Production!$B$29))*24)*60)/30))&lt;108000,750*(ROUNDUP((((IF($T$31=1,(0.75*(($C21+$D21)/(1000*(1+$T$29))/24)/Production!$B$29),(($C21+$D21)/(1000*(1+$T$29))/24)/Production!$B$29))*24)*60)/30)),108000)</f>
        <v>750</v>
      </c>
      <c r="J21" s="111" t="n">
        <f aca="false">I21*2</f>
        <v>1500</v>
      </c>
      <c r="K21" s="152" t="s">
        <v>19</v>
      </c>
      <c r="L21" s="129" t="n">
        <v>0</v>
      </c>
      <c r="M21" s="129" t="n">
        <v>0</v>
      </c>
      <c r="N21" s="153" t="n">
        <f aca="false">(0*2^($M21))-(0*2^($L21))</f>
        <v>0</v>
      </c>
      <c r="O21" s="153" t="n">
        <f aca="false">(800*2^($M21))-(800*2^($L21))</f>
        <v>0</v>
      </c>
      <c r="P21" s="153" t="n">
        <f aca="false">(400*2^($M21))-(400*2^($L21))</f>
        <v>0</v>
      </c>
      <c r="Q21" s="155" t="n">
        <f aca="false">IF(T31=1,(0.75*((N21+O21)/(1000*(1+T29))/24)/Production!B29),((N21+O21)/(1000*(1+T29))/24)/Production!B29)</f>
        <v>0</v>
      </c>
      <c r="R21" s="16" t="n">
        <f aca="false">ROUNDUP((SUM(N21:P21))/25000)</f>
        <v>0</v>
      </c>
      <c r="S21" s="156" t="s">
        <v>47</v>
      </c>
      <c r="T21" s="157" t="n">
        <v>10</v>
      </c>
    </row>
    <row r="22" customFormat="false" ht="8.2" hidden="false" customHeight="true" outlineLevel="0" collapsed="false">
      <c r="A22" s="152" t="s">
        <v>36</v>
      </c>
      <c r="B22" s="129" t="n">
        <v>1</v>
      </c>
      <c r="C22" s="153" t="n">
        <f aca="false">(0*2^($B22))-(0*2^($B22-1))</f>
        <v>0</v>
      </c>
      <c r="D22" s="153" t="n">
        <f aca="false">(400*2^($B22-1))</f>
        <v>400</v>
      </c>
      <c r="E22" s="153" t="n">
        <f aca="false">(600*2^($B22-1))</f>
        <v>600</v>
      </c>
      <c r="F22" s="16" t="n">
        <f aca="false">ROUNDUP((SUM(C22:E22))/25000)</f>
        <v>1</v>
      </c>
      <c r="G22" s="16"/>
      <c r="H22" s="154" t="n">
        <f aca="false">SECOND(IF($T$31=1,(0.75*(($C22+$D22)/(1000*(1+$T$29))/24)/Production!$B$29),(($C22+$D22)/(1000*(1+$T$29))/24)/Production!$B$29))+100*MINUTE(IF($T$31=1,(0.75*(($C22+$D22)/(1000*(1+$T$29))/24)/Production!$B$29),(($C22+$D22)/(1000*(1+$T$29))/24)/Production!$B$29))+10000*HOUR(IF($T$31=1,(0.75*(($C22+$D22)/(1000*(1+$T$29))/24)/Production!$B$29),(($C22+$D22)/(1000*(1+$T$29))/24)/Production!$B$29))+1000000*ROUNDDOWN((((IF($T$31=1,(0.75*(($C22+$D22)/(1000*(1+$T$29))/24)/Production!$B$29),(($C22+$D22)/(1000*(1+$T$29))/24)/Production!$B$29)))))</f>
        <v>44</v>
      </c>
      <c r="I22" s="111" t="n">
        <f aca="false">IF(750*(ROUNDUP((((IF($T$31=1,(0.75*(($C22+$D22)/(1000*(1+$T$29))/24)/Production!$B$29),(($C22+$D22)/(1000*(1+$T$29))/24)/Production!$B$29))*24)*60)/30))&lt;108000,750*(ROUNDUP((((IF($T$31=1,(0.75*(($C22+$D22)/(1000*(1+$T$29))/24)/Production!$B$29),(($C22+$D22)/(1000*(1+$T$29))/24)/Production!$B$29))*24)*60)/30)),108000)</f>
        <v>750</v>
      </c>
      <c r="J22" s="111" t="n">
        <f aca="false">I22*2</f>
        <v>1500</v>
      </c>
      <c r="K22" s="152" t="s">
        <v>25</v>
      </c>
      <c r="L22" s="129" t="n">
        <v>0</v>
      </c>
      <c r="M22" s="129" t="n">
        <v>0</v>
      </c>
      <c r="N22" s="153" t="n">
        <f aca="false">(1000*2^($M22))-(1000*2^($L22))</f>
        <v>0</v>
      </c>
      <c r="O22" s="153" t="n">
        <f aca="false">(300*2^($M22))-(300*2^($L22))</f>
        <v>0</v>
      </c>
      <c r="P22" s="153" t="n">
        <f aca="false">(100*2^($M22))-(100*2^($L22))</f>
        <v>0</v>
      </c>
      <c r="Q22" s="155" t="n">
        <f aca="false">IF(T31=1,(0.75*((N22+O22)/(1000*(1+T29))/24)/Production!B29),((N22+O22)/(1000*(1+T29))/24)/Production!B29)</f>
        <v>0</v>
      </c>
      <c r="R22" s="16" t="n">
        <f aca="false">ROUNDUP((SUM(N22:P22))/25000)</f>
        <v>0</v>
      </c>
      <c r="S22" s="156"/>
      <c r="T22" s="157"/>
    </row>
    <row r="23" customFormat="false" ht="8.2" hidden="false" customHeight="true" outlineLevel="0" collapsed="false">
      <c r="A23" s="152" t="s">
        <v>34</v>
      </c>
      <c r="B23" s="129" t="n">
        <v>1</v>
      </c>
      <c r="C23" s="153" t="n">
        <f aca="false">(200*2^($B23-1))</f>
        <v>200</v>
      </c>
      <c r="D23" s="153" t="n">
        <f aca="false">(1000*2^($B23-1))</f>
        <v>1000</v>
      </c>
      <c r="E23" s="153" t="n">
        <f aca="false">(200*2^($B23-1))</f>
        <v>200</v>
      </c>
      <c r="F23" s="16" t="n">
        <f aca="false">ROUNDUP((SUM(C23:E23))/25000)</f>
        <v>1</v>
      </c>
      <c r="G23" s="16"/>
      <c r="H23" s="154" t="n">
        <f aca="false">SECOND(IF($T$31=1,(0.75*(($C23+$D23)/(1000*(1+$T$29))/24)/Production!$B$29),(($C23+$D23)/(1000*(1+$T$29))/24)/Production!$B$29))+100*MINUTE(IF($T$31=1,(0.75*(($C23+$D23)/(1000*(1+$T$29))/24)/Production!$B$29),(($C23+$D23)/(1000*(1+$T$29))/24)/Production!$B$29))+10000*HOUR(IF($T$31=1,(0.75*(($C23+$D23)/(1000*(1+$T$29))/24)/Production!$B$29),(($C23+$D23)/(1000*(1+$T$29))/24)/Production!$B$29))+1000000*ROUNDDOWN((((IF($T$31=1,(0.75*(($C23+$D23)/(1000*(1+$T$29))/24)/Production!$B$29),(($C23+$D23)/(1000*(1+$T$29))/24)/Production!$B$29)))))</f>
        <v>211</v>
      </c>
      <c r="I23" s="111" t="n">
        <f aca="false">IF(750*(ROUNDUP((((IF($T$31=1,(0.75*(($C23+$D23)/(1000*(1+$T$29))/24)/Production!$B$29),(($C23+$D23)/(1000*(1+$T$29))/24)/Production!$B$29))*24)*60)/30))&lt;108000,750*(ROUNDUP((((IF($T$31=1,(0.75*(($C23+$D23)/(1000*(1+$T$29))/24)/Production!$B$29),(($C23+$D23)/(1000*(1+$T$29))/24)/Production!$B$29))*24)*60)/30)),108000)</f>
        <v>750</v>
      </c>
      <c r="J23" s="111" t="n">
        <f aca="false">I23*2</f>
        <v>1500</v>
      </c>
      <c r="K23" s="152" t="s">
        <v>36</v>
      </c>
      <c r="L23" s="129" t="n">
        <v>0</v>
      </c>
      <c r="M23" s="129" t="n">
        <v>0</v>
      </c>
      <c r="N23" s="153" t="n">
        <f aca="false">(0*2^($M23))-(0*2^($L23))</f>
        <v>0</v>
      </c>
      <c r="O23" s="153" t="n">
        <f aca="false">(400*2^($M23))-(400*2^($L23))</f>
        <v>0</v>
      </c>
      <c r="P23" s="153" t="n">
        <f aca="false">(600*2^($M23))-(600*2^($L23))</f>
        <v>0</v>
      </c>
      <c r="Q23" s="155" t="n">
        <f aca="false">IF(T31=1,(0.75*((N23+O23)/(1000*(1+T29))/24)/Production!B29),((N23+O23)/(1000*(1+T29))/24)/Production!B29)</f>
        <v>0</v>
      </c>
      <c r="R23" s="16" t="n">
        <f aca="false">ROUNDUP((SUM(N23:P23))/25000)</f>
        <v>0</v>
      </c>
      <c r="S23" s="156" t="s">
        <v>49</v>
      </c>
      <c r="T23" s="157" t="n">
        <v>1</v>
      </c>
    </row>
    <row r="24" customFormat="false" ht="8.2" hidden="false" customHeight="true" outlineLevel="0" collapsed="false">
      <c r="A24" s="152" t="s">
        <v>29</v>
      </c>
      <c r="B24" s="129" t="n">
        <v>1</v>
      </c>
      <c r="C24" s="153" t="n">
        <f aca="false">(800*2^($B24-1))</f>
        <v>800</v>
      </c>
      <c r="D24" s="153" t="n">
        <f aca="false">(200*2^($B24-1))</f>
        <v>200</v>
      </c>
      <c r="E24" s="153" t="n">
        <f aca="false">(0*2^($B24))-(0*2^($B24-1))</f>
        <v>0</v>
      </c>
      <c r="F24" s="16" t="n">
        <f aca="false">ROUNDUP((SUM(C24:E24))/25000)</f>
        <v>1</v>
      </c>
      <c r="G24" s="16"/>
      <c r="H24" s="154" t="n">
        <f aca="false">SECOND(IF($T$31=1,(0.75*(($C24+$D24)/(1000*(1+$T$29))/24)/Production!$B$29),(($C24+$D24)/(1000*(1+$T$29))/24)/Production!$B$29))+100*MINUTE(IF($T$31=1,(0.75*(($C24+$D24)/(1000*(1+$T$29))/24)/Production!$B$29),(($C24+$D24)/(1000*(1+$T$29))/24)/Production!$B$29))+10000*HOUR(IF($T$31=1,(0.75*(($C24+$D24)/(1000*(1+$T$29))/24)/Production!$B$29),(($C24+$D24)/(1000*(1+$T$29))/24)/Production!$B$29))+1000000*ROUNDDOWN((((IF($T$31=1,(0.75*(($C24+$D24)/(1000*(1+$T$29))/24)/Production!$B$29),(($C24+$D24)/(1000*(1+$T$29))/24)/Production!$B$29)))))</f>
        <v>149</v>
      </c>
      <c r="I24" s="111" t="n">
        <f aca="false">IF(750*(ROUNDUP((((IF($T$31=1,(0.75*(($C24+$D24)/(1000*(1+$T$29))/24)/Production!$B$29),(($C24+$D24)/(1000*(1+$T$29))/24)/Production!$B$29))*24)*60)/30))&lt;108000,750*(ROUNDUP((((IF($T$31=1,(0.75*(($C24+$D24)/(1000*(1+$T$29))/24)/Production!$B$29),(($C24+$D24)/(1000*(1+$T$29))/24)/Production!$B$29))*24)*60)/30)),108000)</f>
        <v>750</v>
      </c>
      <c r="J24" s="111" t="n">
        <f aca="false">I24*2</f>
        <v>1500</v>
      </c>
      <c r="K24" s="152" t="s">
        <v>34</v>
      </c>
      <c r="L24" s="129" t="n">
        <v>0</v>
      </c>
      <c r="M24" s="129" t="n">
        <v>0</v>
      </c>
      <c r="N24" s="153" t="n">
        <f aca="false">(200*2^($M24))-(200*2^($L24))</f>
        <v>0</v>
      </c>
      <c r="O24" s="153" t="n">
        <f aca="false">(1000*2^($M24))-(1000*2^($L24))</f>
        <v>0</v>
      </c>
      <c r="P24" s="153" t="n">
        <f aca="false">(200*2^($M24))-(200*2^($L24))</f>
        <v>0</v>
      </c>
      <c r="Q24" s="155" t="n">
        <f aca="false">IF(T31=1,(0.75*((N24+O24)/(1000*(1+T29))/24)/Production!B29),((N24+O24)/(1000*(1+T29))/24)/Production!B29)</f>
        <v>0</v>
      </c>
      <c r="R24" s="16" t="n">
        <f aca="false">ROUNDUP((SUM(N24:P24))/25000)</f>
        <v>0</v>
      </c>
      <c r="S24" s="156"/>
      <c r="T24" s="157"/>
    </row>
    <row r="25" customFormat="false" ht="8.2" hidden="false" customHeight="true" outlineLevel="0" collapsed="false">
      <c r="A25" s="152" t="s">
        <v>30</v>
      </c>
      <c r="B25" s="129" t="n">
        <v>1</v>
      </c>
      <c r="C25" s="153" t="n">
        <f aca="false">(200*2^($B25-1))</f>
        <v>200</v>
      </c>
      <c r="D25" s="153" t="n">
        <f aca="false">(600*2^($B25-1))</f>
        <v>600</v>
      </c>
      <c r="E25" s="153" t="n">
        <f aca="false">(0*2^($B25))-(0*2^($B25-1))</f>
        <v>0</v>
      </c>
      <c r="F25" s="16" t="n">
        <f aca="false">ROUNDUP((SUM(C25:E25))/25000)</f>
        <v>1</v>
      </c>
      <c r="G25" s="16"/>
      <c r="H25" s="154" t="n">
        <f aca="false">SECOND(IF($T$31=1,(0.75*(($C25+$D25)/(1000*(1+$T$29))/24)/Production!$B$29),(($C25+$D25)/(1000*(1+$T$29))/24)/Production!$B$29))+100*MINUTE(IF($T$31=1,(0.75*(($C25+$D25)/(1000*(1+$T$29))/24)/Production!$B$29),(($C25+$D25)/(1000*(1+$T$29))/24)/Production!$B$29))+10000*HOUR(IF($T$31=1,(0.75*(($C25+$D25)/(1000*(1+$T$29))/24)/Production!$B$29),(($C25+$D25)/(1000*(1+$T$29))/24)/Production!$B$29))+1000000*ROUNDDOWN((((IF($T$31=1,(0.75*(($C25+$D25)/(1000*(1+$T$29))/24)/Production!$B$29),(($C25+$D25)/(1000*(1+$T$29))/24)/Production!$B$29)))))</f>
        <v>127</v>
      </c>
      <c r="I25" s="111" t="n">
        <f aca="false">IF(750*(ROUNDUP((((IF($T$31=1,(0.75*(($C25+$D25)/(1000*(1+$T$29))/24)/Production!$B$29),(($C25+$D25)/(1000*(1+$T$29))/24)/Production!$B$29))*24)*60)/30))&lt;108000,750*(ROUNDUP((((IF($T$31=1,(0.75*(($C25+$D25)/(1000*(1+$T$29))/24)/Production!$B$29),(($C25+$D25)/(1000*(1+$T$29))/24)/Production!$B$29))*24)*60)/30)),108000)</f>
        <v>750</v>
      </c>
      <c r="J25" s="111" t="n">
        <f aca="false">I25*2</f>
        <v>1500</v>
      </c>
      <c r="K25" s="152" t="s">
        <v>29</v>
      </c>
      <c r="L25" s="129" t="n">
        <v>0</v>
      </c>
      <c r="M25" s="129" t="n">
        <v>0</v>
      </c>
      <c r="N25" s="153" t="n">
        <f aca="false">(800*2^($M25))-(800*2^($L25))</f>
        <v>0</v>
      </c>
      <c r="O25" s="153" t="n">
        <f aca="false">(200*2^($M25))-(200*2^($L25))</f>
        <v>0</v>
      </c>
      <c r="P25" s="153" t="n">
        <f aca="false">(0*2^($M25))-(0*2^($L25))</f>
        <v>0</v>
      </c>
      <c r="Q25" s="155" t="n">
        <f aca="false">IF(T31=1,(0.75*((N25+O25)/(1000*(1+T29))/24)/Production!B29),((N25+O25)/(1000*(1+T29))/24)/Production!B29)</f>
        <v>0</v>
      </c>
      <c r="R25" s="16" t="n">
        <f aca="false">ROUNDUP((SUM(N25:P25))/25000)</f>
        <v>0</v>
      </c>
      <c r="S25" s="156" t="s">
        <v>51</v>
      </c>
      <c r="T25" s="157" t="n">
        <v>8</v>
      </c>
    </row>
    <row r="26" customFormat="false" ht="8.2" hidden="false" customHeight="true" outlineLevel="0" collapsed="false">
      <c r="A26" s="152" t="s">
        <v>32</v>
      </c>
      <c r="B26" s="129" t="n">
        <v>1</v>
      </c>
      <c r="C26" s="153" t="n">
        <f aca="false">(1000*2^($B26-1))</f>
        <v>1000</v>
      </c>
      <c r="D26" s="153" t="n">
        <f aca="false">(0*2^($B26))-(0*2^($B26-1))</f>
        <v>0</v>
      </c>
      <c r="E26" s="153" t="n">
        <f aca="false">(0*2^($B26))-(0*2^($B26-1))</f>
        <v>0</v>
      </c>
      <c r="F26" s="16" t="n">
        <f aca="false">ROUNDUP((SUM(C26:E26))/25000)</f>
        <v>1</v>
      </c>
      <c r="G26" s="16"/>
      <c r="H26" s="154" t="n">
        <f aca="false">SECOND(IF($T$31=1,(0.75*(($C26+$D26)/(1000*(1+$T$29))/24)/Production!$B$29),(($C26+$D26)/(1000*(1+$T$29))/24)/Production!$B$29))+100*MINUTE(IF($T$31=1,(0.75*(($C26+$D26)/(1000*(1+$T$29))/24)/Production!$B$29),(($C26+$D26)/(1000*(1+$T$29))/24)/Production!$B$29))+10000*HOUR(IF($T$31=1,(0.75*(($C26+$D26)/(1000*(1+$T$29))/24)/Production!$B$29),(($C26+$D26)/(1000*(1+$T$29))/24)/Production!$B$29))+1000000*ROUNDDOWN((((IF($T$31=1,(0.75*(($C26+$D26)/(1000*(1+$T$29))/24)/Production!$B$29),(($C26+$D26)/(1000*(1+$T$29))/24)/Production!$B$29)))))</f>
        <v>149</v>
      </c>
      <c r="I26" s="111" t="n">
        <f aca="false">IF(750*(ROUNDUP((((IF($T$31=1,(0.75*(($C26+$D26)/(1000*(1+$T$29))/24)/Production!$B$29),(($C26+$D26)/(1000*(1+$T$29))/24)/Production!$B$29))*24)*60)/30))&lt;108000,750*(ROUNDUP((((IF($T$31=1,(0.75*(($C26+$D26)/(1000*(1+$T$29))/24)/Production!$B$29),(($C26+$D26)/(1000*(1+$T$29))/24)/Production!$B$29))*24)*60)/30)),108000)</f>
        <v>750</v>
      </c>
      <c r="J26" s="111" t="n">
        <f aca="false">I26*2</f>
        <v>1500</v>
      </c>
      <c r="K26" s="152" t="s">
        <v>30</v>
      </c>
      <c r="L26" s="129" t="n">
        <v>0</v>
      </c>
      <c r="M26" s="129" t="n">
        <v>0</v>
      </c>
      <c r="N26" s="153" t="n">
        <f aca="false">(200*2^($M26))-(200*2^($L26))</f>
        <v>0</v>
      </c>
      <c r="O26" s="153" t="n">
        <f aca="false">(600*2^($M26))-(600*2^($L26))</f>
        <v>0</v>
      </c>
      <c r="P26" s="153" t="n">
        <f aca="false">(0*2^($M26))-(0*2^($L26))</f>
        <v>0</v>
      </c>
      <c r="Q26" s="155" t="n">
        <f aca="false">IF(T31=1,(0.75*((N26+O26)/(1000*(1+T29))/24)/Production!B29),((N26+O26)/(1000*(1+T29))/24)/Production!B29)</f>
        <v>0</v>
      </c>
      <c r="R26" s="16" t="n">
        <f aca="false">ROUNDUP((SUM(N26:P26))/25000)</f>
        <v>0</v>
      </c>
      <c r="S26" s="156"/>
      <c r="T26" s="157"/>
    </row>
    <row r="27" customFormat="false" ht="8.2" hidden="false" customHeight="true" outlineLevel="0" collapsed="false">
      <c r="A27" s="152" t="s">
        <v>52</v>
      </c>
      <c r="B27" s="129" t="n">
        <v>1</v>
      </c>
      <c r="C27" s="153" t="n">
        <f aca="false">(200*2^($B27-1))</f>
        <v>200</v>
      </c>
      <c r="D27" s="153" t="n">
        <f aca="false">(100*2^($B27-1))</f>
        <v>100</v>
      </c>
      <c r="E27" s="153" t="n">
        <f aca="false">(0*2^($B27))-(0*2^($B27-1))</f>
        <v>0</v>
      </c>
      <c r="F27" s="16" t="n">
        <f aca="false">ROUNDUP((SUM(C27:E27))/25000)</f>
        <v>1</v>
      </c>
      <c r="G27" s="16"/>
      <c r="H27" s="154" t="n">
        <f aca="false">SECOND(IF($T$31=1,(0.75*(($C27+$D27)/(1000*(1+$T$29))/24)/Production!$B$29),(($C27+$D27)/(1000*(1+$T$29))/24)/Production!$B$29))+100*MINUTE(IF($T$31=1,(0.75*(($C27+$D27)/(1000*(1+$T$29))/24)/Production!$B$29),(($C27+$D27)/(1000*(1+$T$29))/24)/Production!$B$29))+10000*HOUR(IF($T$31=1,(0.75*(($C27+$D27)/(1000*(1+$T$29))/24)/Production!$B$29),(($C27+$D27)/(1000*(1+$T$29))/24)/Production!$B$29))+1000000*ROUNDDOWN((((IF($T$31=1,(0.75*(($C27+$D27)/(1000*(1+$T$29))/24)/Production!$B$29),(($C27+$D27)/(1000*(1+$T$29))/24)/Production!$B$29)))))</f>
        <v>33</v>
      </c>
      <c r="I27" s="111" t="n">
        <f aca="false">IF(750*(ROUNDUP((((IF($T$31=1,(0.75*(($C27+$D27)/(1000*(1+$T$29))/24)/Production!$B$29),(($C27+$D27)/(1000*(1+$T$29))/24)/Production!$B$29))*24)*60)/30))&lt;108000,750*(ROUNDUP((((IF($T$31=1,(0.75*(($C27+$D27)/(1000*(1+$T$29))/24)/Production!$B$29),(($C27+$D27)/(1000*(1+$T$29))/24)/Production!$B$29))*24)*60)/30)),108000)</f>
        <v>750</v>
      </c>
      <c r="J27" s="111" t="n">
        <f aca="false">I27*2</f>
        <v>1500</v>
      </c>
      <c r="K27" s="152" t="s">
        <v>32</v>
      </c>
      <c r="L27" s="129" t="n">
        <v>0</v>
      </c>
      <c r="M27" s="129" t="n">
        <v>0</v>
      </c>
      <c r="N27" s="153" t="n">
        <f aca="false">(1000*2^($M27))-(1000*2^($L27))</f>
        <v>0</v>
      </c>
      <c r="O27" s="153" t="n">
        <f aca="false">(0*2^($M27))-(0*2^($L27))</f>
        <v>0</v>
      </c>
      <c r="P27" s="153" t="n">
        <f aca="false">(0*2^($M27))-(0*2^($L27))</f>
        <v>0</v>
      </c>
      <c r="Q27" s="155" t="n">
        <f aca="false">IF(T31=1,(0.75*((N27+O27)/(1000*(1+T29))/24)/Production!B29),((N27+O27)/(1000*(1+T29))/24)/Production!B29)</f>
        <v>0</v>
      </c>
      <c r="R27" s="16" t="n">
        <f aca="false">ROUNDUP((SUM(N27:P27))/25000)</f>
        <v>0</v>
      </c>
      <c r="S27" s="158" t="s">
        <v>227</v>
      </c>
      <c r="T27" s="157" t="n">
        <v>0</v>
      </c>
    </row>
    <row r="28" customFormat="false" ht="8.2" hidden="false" customHeight="true" outlineLevel="0" collapsed="false">
      <c r="A28" s="152" t="s">
        <v>38</v>
      </c>
      <c r="B28" s="129" t="n">
        <v>10</v>
      </c>
      <c r="C28" s="153" t="n">
        <f aca="false">ROUND(4000*1.75^(B28-1),-2)</f>
        <v>615700</v>
      </c>
      <c r="D28" s="153" t="n">
        <f aca="false">ROUND(8000*1.75^(B28-1),-2)</f>
        <v>1231500</v>
      </c>
      <c r="E28" s="153" t="n">
        <f aca="false">ROUND(4000*1.75^(B28-1),-2)</f>
        <v>615700</v>
      </c>
      <c r="F28" s="16" t="n">
        <f aca="false">ROUNDUP((SUM(C28:E28))/25000)</f>
        <v>99</v>
      </c>
      <c r="G28" s="16"/>
      <c r="H28" s="154" t="n">
        <f aca="false">SECOND(IF($T$31=1,(0.75*(($C28+$D28)/(1000*(1+$T$29))/24)/Production!$B$29),(($C28+$D28)/(1000*(1+$T$29))/24)/Production!$B$29))+100*MINUTE(IF($T$31=1,(0.75*(($C28+$D28)/(1000*(1+$T$29))/24)/Production!$B$29),(($C28+$D28)/(1000*(1+$T$29))/24)/Production!$B$29))+10000*HOUR(IF($T$31=1,(0.75*(($C28+$D28)/(1000*(1+$T$29))/24)/Production!$B$29),(($C28+$D28)/(1000*(1+$T$29))/24)/Production!$B$29))+1000000*ROUNDDOWN((((IF($T$31=1,(0.75*(($C28+$D28)/(1000*(1+$T$29))/24)/Production!$B$29),(($C28+$D28)/(1000*(1+$T$29))/24)/Production!$B$29)))))</f>
        <v>2075833</v>
      </c>
      <c r="I28" s="111" t="n">
        <f aca="false">IF(750*(ROUNDUP((((IF($T$31=1,(0.75*(($C28+$D28)/(1000*(1+$T$29))/24)/Production!$B$29),(($C28+$D28)/(1000*(1+$T$29))/24)/Production!$B$29))*24)*60)/30))&lt;108000,750*(ROUNDUP((((IF($T$31=1,(0.75*(($C28+$D28)/(1000*(1+$T$29))/24)/Production!$B$29),(($C28+$D28)/(1000*(1+$T$29))/24)/Production!$B$29))*24)*60)/30)),108000)</f>
        <v>84000</v>
      </c>
      <c r="J28" s="111" t="n">
        <f aca="false">I28*2</f>
        <v>168000</v>
      </c>
      <c r="K28" s="152" t="s">
        <v>52</v>
      </c>
      <c r="L28" s="129" t="n">
        <v>0</v>
      </c>
      <c r="M28" s="129" t="n">
        <v>0</v>
      </c>
      <c r="N28" s="153" t="n">
        <f aca="false">(200*2^($M28))-(200*2^($L28))</f>
        <v>0</v>
      </c>
      <c r="O28" s="153" t="n">
        <f aca="false">(100*2^($M28))-(100*2^($L28))</f>
        <v>0</v>
      </c>
      <c r="P28" s="153" t="n">
        <f aca="false">(0*2^($M28))-(0*2^($L28))</f>
        <v>0</v>
      </c>
      <c r="Q28" s="155" t="n">
        <f aca="false">IF(T31=1,(0.75*((N28+O28)/(1000*(1+T29))/24)/Production!B29),((N28+O28)/(1000*(1+T29))/24)/Production!B29)</f>
        <v>0</v>
      </c>
      <c r="R28" s="16" t="n">
        <f aca="false">ROUNDUP((SUM(N28:P28))/25000)</f>
        <v>0</v>
      </c>
      <c r="S28" s="158"/>
      <c r="T28" s="157"/>
    </row>
    <row r="29" customFormat="false" ht="8.2" hidden="false" customHeight="true" outlineLevel="0" collapsed="false">
      <c r="A29" s="152" t="s">
        <v>27</v>
      </c>
      <c r="B29" s="129" t="n">
        <v>8</v>
      </c>
      <c r="C29" s="153" t="n">
        <f aca="false">(2000*2^($B29-1))</f>
        <v>256000</v>
      </c>
      <c r="D29" s="153" t="n">
        <f aca="false">(4000*2^($B29-1))</f>
        <v>512000</v>
      </c>
      <c r="E29" s="153" t="n">
        <f aca="false">(1000*2^($B29-1))</f>
        <v>128000</v>
      </c>
      <c r="F29" s="16" t="n">
        <f aca="false">ROUNDUP((SUM(C29:E29))/25000)</f>
        <v>36</v>
      </c>
      <c r="G29" s="16"/>
      <c r="H29" s="154" t="n">
        <f aca="false">SECOND(IF($T$31=1,(0.75*(($C29+$D29)/(1000*(1+$T$29))/24)/Production!$B$29),(($C29+$D29)/(1000*(1+$T$29))/24)/Production!$B$29))+100*MINUTE(IF($T$31=1,(0.75*(($C29+$D29)/(1000*(1+$T$29))/24)/Production!$B$29),(($C29+$D29)/(1000*(1+$T$29))/24)/Production!$B$29))+10000*HOUR(IF($T$31=1,(0.75*(($C29+$D29)/(1000*(1+$T$29))/24)/Production!$B$29),(($C29+$D29)/(1000*(1+$T$29))/24)/Production!$B$29))+1000000*ROUNDDOWN((((IF($T$31=1,(0.75*(($C29+$D29)/(1000*(1+$T$29))/24)/Production!$B$29),(($C29+$D29)/(1000*(1+$T$29))/24)/Production!$B$29)))))</f>
        <v>231622</v>
      </c>
      <c r="I29" s="111" t="n">
        <f aca="false">IF(750*(ROUNDUP((((IF($T$31=1,(0.75*(($C29+$D29)/(1000*(1+$T$29))/24)/Production!$B$29),(($C29+$D29)/(1000*(1+$T$29))/24)/Production!$B$29))*24)*60)/30))&lt;108000,750*(ROUNDUP((((IF($T$31=1,(0.75*(($C29+$D29)/(1000*(1+$T$29))/24)/Production!$B$29),(($C29+$D29)/(1000*(1+$T$29))/24)/Production!$B$29))*24)*60)/30)),108000)</f>
        <v>35250</v>
      </c>
      <c r="J29" s="111" t="n">
        <f aca="false">I29*2</f>
        <v>70500</v>
      </c>
      <c r="K29" s="152" t="s">
        <v>38</v>
      </c>
      <c r="L29" s="129" t="n">
        <v>0</v>
      </c>
      <c r="M29" s="129" t="n">
        <v>0</v>
      </c>
      <c r="N29" s="153" t="n">
        <f aca="false">ROUND(((4000*1.75^($M29))-(4000*1.75^($L29)))*(4/3),-2)</f>
        <v>0</v>
      </c>
      <c r="O29" s="153" t="n">
        <f aca="false">ROUNDUP(((8000*1.75^($M29))-(8000*1.75^($L29)))*(4/3),-2)</f>
        <v>0</v>
      </c>
      <c r="P29" s="153" t="n">
        <f aca="false">ROUNDUP(((4000*1.75^($M29))-(4000*1.75^($L29)))*(4/3),-2)</f>
        <v>0</v>
      </c>
      <c r="Q29" s="155" t="n">
        <f aca="false">IF(T31=1,(0.75*((N29+O29)/(1000*(1+T29))/24)/Production!B29),((N29+O29)/(1000*(1+T29))/24)/Production!B29)</f>
        <v>0</v>
      </c>
      <c r="R29" s="16" t="n">
        <f aca="false">ROUNDUP((SUM(N29:P29))/25000)</f>
        <v>0</v>
      </c>
      <c r="S29" s="159" t="s">
        <v>228</v>
      </c>
      <c r="T29" s="157" t="n">
        <v>10</v>
      </c>
    </row>
    <row r="30" customFormat="false" ht="8.2" hidden="false" customHeight="true" outlineLevel="0" collapsed="false">
      <c r="A30" s="152" t="s">
        <v>229</v>
      </c>
      <c r="B30" s="129" t="n">
        <v>1</v>
      </c>
      <c r="C30" s="153" t="n">
        <f aca="false">(0*2^($B30))-(0*2^($B30-1))</f>
        <v>0</v>
      </c>
      <c r="D30" s="153" t="n">
        <f aca="false">(4000*2^($B30-1))</f>
        <v>4000</v>
      </c>
      <c r="E30" s="153" t="n">
        <f aca="false">(2000*2^($B30-1))</f>
        <v>2000</v>
      </c>
      <c r="F30" s="16" t="n">
        <f aca="false">ROUNDUP((SUM(C30:E30))/25000)</f>
        <v>1</v>
      </c>
      <c r="G30" s="16"/>
      <c r="H30" s="154" t="n">
        <f aca="false">SECOND(IF($T$31=1,(0.75*(($C30+$D30)/(1000*(1+$T$29))/24)/Production!$B$29),(($C30+$D30)/(1000*(1+$T$29))/24)/Production!$B$29))+100*MINUTE(IF($T$31=1,(0.75*(($C30+$D30)/(1000*(1+$T$29))/24)/Production!$B$29),(($C30+$D30)/(1000*(1+$T$29))/24)/Production!$B$29))+10000*HOUR(IF($T$31=1,(0.75*(($C30+$D30)/(1000*(1+$T$29))/24)/Production!$B$29),(($C30+$D30)/(1000*(1+$T$29))/24)/Production!$B$29))+1000000*ROUNDDOWN((((IF($T$31=1,(0.75*(($C30+$D30)/(1000*(1+$T$29))/24)/Production!$B$29),(($C30+$D30)/(1000*(1+$T$29))/24)/Production!$B$29)))))</f>
        <v>716</v>
      </c>
      <c r="I30" s="111" t="n">
        <f aca="false">IF(750*(ROUNDUP((((IF($T$31=1,(0.75*(($C30+$D30)/(1000*(1+$T$29))/24)/Production!$B$29),(($C30+$D30)/(1000*(1+$T$29))/24)/Production!$B$29))*24)*60)/30))&lt;108000,750*(ROUNDUP((((IF($T$31=1,(0.75*(($C30+$D30)/(1000*(1+$T$29))/24)/Production!$B$29),(($C30+$D30)/(1000*(1+$T$29))/24)/Production!$B$29))*24)*60)/30)),108000)</f>
        <v>750</v>
      </c>
      <c r="J30" s="111" t="n">
        <f aca="false">I30*2</f>
        <v>1500</v>
      </c>
      <c r="K30" s="152" t="s">
        <v>27</v>
      </c>
      <c r="L30" s="129" t="n">
        <v>0</v>
      </c>
      <c r="M30" s="129" t="n">
        <v>0</v>
      </c>
      <c r="N30" s="153" t="n">
        <f aca="false">(2000*2^($M30))-(2000*2^($L30))</f>
        <v>0</v>
      </c>
      <c r="O30" s="153" t="n">
        <f aca="false">(4000*2^($M30))-(4000*2^($L30))</f>
        <v>0</v>
      </c>
      <c r="P30" s="153" t="n">
        <f aca="false">(1000*2^($M30))-(1000*2^($L30))</f>
        <v>0</v>
      </c>
      <c r="Q30" s="155" t="n">
        <f aca="false">IF(T31=1,(0.75*((N30+O30)/(1000*(1+T29))/24)/Production!B29),((N30+O30)/(1000*(1+T29))/24)/Production!B29)</f>
        <v>0</v>
      </c>
      <c r="R30" s="16" t="n">
        <f aca="false">ROUNDUP((SUM(N30:P30))/25000)</f>
        <v>0</v>
      </c>
      <c r="S30" s="159"/>
      <c r="T30" s="157"/>
    </row>
    <row r="31" customFormat="false" ht="8.2" hidden="false" customHeight="true" outlineLevel="0" collapsed="false">
      <c r="A31" s="152" t="s">
        <v>40</v>
      </c>
      <c r="B31" s="129" t="n">
        <v>1</v>
      </c>
      <c r="C31" s="153" t="n">
        <f aca="false">(240000*2^($B31-1))</f>
        <v>240000</v>
      </c>
      <c r="D31" s="153" t="n">
        <f aca="false">(400000*2^($B31-1))</f>
        <v>400000</v>
      </c>
      <c r="E31" s="153" t="n">
        <f aca="false">(160000*2^($B31-1))</f>
        <v>160000</v>
      </c>
      <c r="F31" s="16" t="n">
        <f aca="false">ROUNDUP((SUM(C31:E31))/25000)</f>
        <v>32</v>
      </c>
      <c r="G31" s="16"/>
      <c r="H31" s="154" t="n">
        <f aca="false">SECOND(IF($T$31=1,(0.75*(($C31+$D31)/(1000*(1+$T$29))/24)/Production!$B$29),(($C31+$D31)/(1000*(1+$T$29))/24)/Production!$B$29))+100*MINUTE(IF($T$31=1,(0.75*(($C31+$D31)/(1000*(1+$T$29))/24)/Production!$B$29),(($C31+$D31)/(1000*(1+$T$29))/24)/Production!$B$29))+10000*HOUR(IF($T$31=1,(0.75*(($C31+$D31)/(1000*(1+$T$29))/24)/Production!$B$29),(($C31+$D31)/(1000*(1+$T$29))/24)/Production!$B$29))+1000000*ROUNDDOWN((((IF($T$31=1,(0.75*(($C31+$D31)/(1000*(1+$T$29))/24)/Production!$B$29),(($C31+$D31)/(1000*(1+$T$29))/24)/Production!$B$29)))))</f>
        <v>192338</v>
      </c>
      <c r="I31" s="111" t="n">
        <f aca="false">IF(750*(ROUNDUP((((IF($T$31=1,(0.75*(($C31+$D31)/(1000*(1+$T$29))/24)/Production!$B$29),(($C31+$D31)/(1000*(1+$T$29))/24)/Production!$B$29))*24)*60)/30))&lt;108000,750*(ROUNDUP((((IF($T$31=1,(0.75*(($C31+$D31)/(1000*(1+$T$29))/24)/Production!$B$29),(($C31+$D31)/(1000*(1+$T$29))/24)/Production!$B$29))*24)*60)/30)),108000)</f>
        <v>29250</v>
      </c>
      <c r="J31" s="111" t="n">
        <f aca="false">I31*2</f>
        <v>58500</v>
      </c>
      <c r="K31" s="152" t="s">
        <v>229</v>
      </c>
      <c r="L31" s="129" t="n">
        <v>0</v>
      </c>
      <c r="M31" s="129" t="n">
        <v>0</v>
      </c>
      <c r="N31" s="153" t="n">
        <f aca="false">(0*2^($M31))-(0*2^($L31))</f>
        <v>0</v>
      </c>
      <c r="O31" s="153" t="n">
        <f aca="false">(4000*2^($M31))-(4000*2^($L31))</f>
        <v>0</v>
      </c>
      <c r="P31" s="153" t="n">
        <f aca="false">(1000*2^($M31))-(1000*2^($L31))</f>
        <v>0</v>
      </c>
      <c r="Q31" s="155" t="n">
        <f aca="false">IF(T31=1,(0.75*((N31+O31)/(1000*(1+T29))/24)/Production!B29),((N31+O31)/(1000*(1+T29))/24)/Production!B29)</f>
        <v>0</v>
      </c>
      <c r="R31" s="16" t="n">
        <f aca="false">ROUNDUP((SUM(N31:P31))/25000)</f>
        <v>0</v>
      </c>
      <c r="S31" s="66" t="s">
        <v>230</v>
      </c>
      <c r="T31" s="157" t="n">
        <v>0</v>
      </c>
    </row>
    <row r="32" customFormat="false" ht="8.2" hidden="false" customHeight="true" outlineLevel="0" collapsed="false">
      <c r="A32" s="152" t="s">
        <v>44</v>
      </c>
      <c r="B32" s="129" t="n">
        <v>1</v>
      </c>
      <c r="C32" s="153" t="n">
        <f aca="false">(400*2^($B32-1))</f>
        <v>400</v>
      </c>
      <c r="D32" s="153" t="n">
        <f aca="false">(0*2^($B32))-(0*2^($B32-1))</f>
        <v>0</v>
      </c>
      <c r="E32" s="153" t="n">
        <f aca="false">(600*2^($B32-1))</f>
        <v>600</v>
      </c>
      <c r="F32" s="16" t="n">
        <f aca="false">ROUNDUP((SUM(C32:E32))/25000)</f>
        <v>1</v>
      </c>
      <c r="G32" s="16"/>
      <c r="H32" s="154" t="n">
        <f aca="false">SECOND(IF($T$31=1,(0.75*(($C32+$D32)/(1000*(1+$T$29))/24)/Production!$B$29),(($C32+$D32)/(1000*(1+$T$29))/24)/Production!$B$29))+100*MINUTE(IF($T$31=1,(0.75*(($C32+$D32)/(1000*(1+$T$29))/24)/Production!$B$29),(($C32+$D32)/(1000*(1+$T$29))/24)/Production!$B$29))+10000*HOUR(IF($T$31=1,(0.75*(($C32+$D32)/(1000*(1+$T$29))/24)/Production!$B$29),(($C32+$D32)/(1000*(1+$T$29))/24)/Production!$B$29))+1000000*ROUNDDOWN((((IF($T$31=1,(0.75*(($C32+$D32)/(1000*(1+$T$29))/24)/Production!$B$29),(($C32+$D32)/(1000*(1+$T$29))/24)/Production!$B$29)))))</f>
        <v>44</v>
      </c>
      <c r="I32" s="111" t="n">
        <f aca="false">IF(750*(ROUNDUP((((IF($T$31=1,(0.75*(($C32+$D32)/(1000*(1+$T$29))/24)/Production!$B$29),(($C32+$D32)/(1000*(1+$T$29))/24)/Production!$B$29))*24)*60)/30))&lt;108000,750*(ROUNDUP((((IF($T$31=1,(0.75*(($C32+$D32)/(1000*(1+$T$29))/24)/Production!$B$29),(($C32+$D32)/(1000*(1+$T$29))/24)/Production!$B$29))*24)*60)/30)),108000)</f>
        <v>750</v>
      </c>
      <c r="J32" s="111" t="n">
        <f aca="false">I32*2</f>
        <v>1500</v>
      </c>
      <c r="K32" s="152" t="s">
        <v>40</v>
      </c>
      <c r="L32" s="129" t="n">
        <v>0</v>
      </c>
      <c r="M32" s="129" t="n">
        <v>0</v>
      </c>
      <c r="N32" s="153" t="n">
        <f aca="false">(240000*2^($M32))-(240000*2^($L32))</f>
        <v>0</v>
      </c>
      <c r="O32" s="153" t="n">
        <f aca="false">(400000*2^($M32))-(400000*2^($L32))</f>
        <v>0</v>
      </c>
      <c r="P32" s="153" t="n">
        <f aca="false">(160000*2^($M32))-(160000*2^($L32))</f>
        <v>0</v>
      </c>
      <c r="Q32" s="155" t="n">
        <f aca="false">IF(T31=1,(0.75*((N32+O32)/(1000*(1+T29))/24)/Production!B29),((N32+O32)/(1000*(1+T29))/24)/Production!B29)</f>
        <v>0</v>
      </c>
      <c r="R32" s="16" t="n">
        <f aca="false">ROUNDUP((SUM(N32:P32))/25000)</f>
        <v>0</v>
      </c>
      <c r="S32" s="66"/>
      <c r="T32" s="157"/>
    </row>
    <row r="33" customFormat="false" ht="8.2" hidden="false" customHeight="true" outlineLevel="0" collapsed="false">
      <c r="A33" s="152" t="s">
        <v>46</v>
      </c>
      <c r="B33" s="129" t="n">
        <v>1</v>
      </c>
      <c r="C33" s="153" t="n">
        <f aca="false">(2000*2^($B33-1))</f>
        <v>2000</v>
      </c>
      <c r="D33" s="153" t="n">
        <f aca="false">(4000*2^($B33-1))</f>
        <v>4000</v>
      </c>
      <c r="E33" s="153" t="n">
        <f aca="false">(1000*2^($B33-1))</f>
        <v>1000</v>
      </c>
      <c r="F33" s="16" t="n">
        <f aca="false">ROUNDUP((SUM(C33:E33))/25000)</f>
        <v>1</v>
      </c>
      <c r="G33" s="16"/>
      <c r="H33" s="154" t="n">
        <f aca="false">SECOND(IF($T$31=1,(0.75*(($C33+$D33)/(1000*(1+$T$29))/24)/Production!$B$29),(($C33+$D33)/(1000*(1+$T$29))/24)/Production!$B$29))+100*MINUTE(IF($T$31=1,(0.75*(($C33+$D33)/(1000*(1+$T$29))/24)/Production!$B$29),(($C33+$D33)/(1000*(1+$T$29))/24)/Production!$B$29))+10000*HOUR(IF($T$31=1,(0.75*(($C33+$D33)/(1000*(1+$T$29))/24)/Production!$B$29),(($C33+$D33)/(1000*(1+$T$29))/24)/Production!$B$29))+1000000*ROUNDDOWN((((IF($T$31=1,(0.75*(($C33+$D33)/(1000*(1+$T$29))/24)/Production!$B$29),(($C33+$D33)/(1000*(1+$T$29))/24)/Production!$B$29)))))</f>
        <v>1055</v>
      </c>
      <c r="I33" s="111" t="n">
        <f aca="false">IF(750*(ROUNDUP((((IF($T$31=1,(0.75*(($C33+$D33)/(1000*(1+$T$29))/24)/Production!$B$29),(($C33+$D33)/(1000*(1+$T$29))/24)/Production!$B$29))*24)*60)/30))&lt;108000,750*(ROUNDUP((((IF($T$31=1,(0.75*(($C33+$D33)/(1000*(1+$T$29))/24)/Production!$B$29),(($C33+$D33)/(1000*(1+$T$29))/24)/Production!$B$29))*24)*60)/30)),108000)</f>
        <v>750</v>
      </c>
      <c r="J33" s="111" t="n">
        <f aca="false">I33*2</f>
        <v>1500</v>
      </c>
      <c r="K33" s="152" t="s">
        <v>44</v>
      </c>
      <c r="L33" s="129" t="n">
        <v>0</v>
      </c>
      <c r="M33" s="129" t="n">
        <v>0</v>
      </c>
      <c r="N33" s="153" t="n">
        <f aca="false">(400*2^($M33))-(400*2^($L33))</f>
        <v>0</v>
      </c>
      <c r="O33" s="153" t="n">
        <f aca="false">(0*2^($M33))-(0*2^($L33))</f>
        <v>0</v>
      </c>
      <c r="P33" s="153" t="n">
        <f aca="false">(600*2^($M33))-(600*2^($L33))</f>
        <v>0</v>
      </c>
      <c r="Q33" s="155" t="n">
        <f aca="false">IF(T31=1,(0.75*((N33+O33)/(1000*(1+T29))/24)/Production!B29),((N33+O33)/(1000*(1+T29))/24)/Production!B29)</f>
        <v>0</v>
      </c>
      <c r="R33" s="16" t="n">
        <f aca="false">ROUNDUP((SUM(N33:P33))/25000)</f>
        <v>0</v>
      </c>
    </row>
    <row r="34" customFormat="false" ht="8.2" hidden="false" customHeight="true" outlineLevel="0" collapsed="false">
      <c r="A34" s="152" t="s">
        <v>48</v>
      </c>
      <c r="B34" s="129" t="n">
        <v>1</v>
      </c>
      <c r="C34" s="153" t="n">
        <f aca="false">(10000*2^($B34-1))</f>
        <v>10000</v>
      </c>
      <c r="D34" s="153" t="n">
        <f aca="false">(20000*2^($B34-1))</f>
        <v>20000</v>
      </c>
      <c r="E34" s="153" t="n">
        <f aca="false">(6000*2^($B34-1))</f>
        <v>6000</v>
      </c>
      <c r="F34" s="16" t="n">
        <f aca="false">ROUNDUP((SUM(C34:E34))/25000)</f>
        <v>2</v>
      </c>
      <c r="G34" s="16"/>
      <c r="H34" s="154" t="n">
        <f aca="false">SECOND(IF($T$31=1,(0.75*(($C34+$D34)/(1000*(1+$T$29))/24)/Production!$B$29),(($C34+$D34)/(1000*(1+$T$29))/24)/Production!$B$29))+100*MINUTE(IF($T$31=1,(0.75*(($C34+$D34)/(1000*(1+$T$29))/24)/Production!$B$29),(($C34+$D34)/(1000*(1+$T$29))/24)/Production!$B$29))+10000*HOUR(IF($T$31=1,(0.75*(($C34+$D34)/(1000*(1+$T$29))/24)/Production!$B$29),(($C34+$D34)/(1000*(1+$T$29))/24)/Production!$B$29))+1000000*ROUNDDOWN((((IF($T$31=1,(0.75*(($C34+$D34)/(1000*(1+$T$29))/24)/Production!$B$29),(($C34+$D34)/(1000*(1+$T$29))/24)/Production!$B$29)))))</f>
        <v>5433</v>
      </c>
      <c r="I34" s="111" t="n">
        <f aca="false">IF(750*(ROUNDUP((((IF($T$31=1,(0.75*(($C34+$D34)/(1000*(1+$T$29))/24)/Production!$B$29),(($C34+$D34)/(1000*(1+$T$29))/24)/Production!$B$29))*24)*60)/30))&lt;108000,750*(ROUNDUP((((IF($T$31=1,(0.75*(($C34+$D34)/(1000*(1+$T$29))/24)/Production!$B$29),(($C34+$D34)/(1000*(1+$T$29))/24)/Production!$B$29))*24)*60)/30)),108000)</f>
        <v>1500</v>
      </c>
      <c r="J34" s="111" t="n">
        <f aca="false">I34*2</f>
        <v>3000</v>
      </c>
      <c r="K34" s="152" t="s">
        <v>46</v>
      </c>
      <c r="L34" s="129" t="n">
        <v>0</v>
      </c>
      <c r="M34" s="129" t="n">
        <v>0</v>
      </c>
      <c r="N34" s="153" t="n">
        <f aca="false">(2000*2^($M34))-(2000*2^($L34))</f>
        <v>0</v>
      </c>
      <c r="O34" s="153" t="n">
        <f aca="false">(4000*2^($M34))-(4000*2^($L34))</f>
        <v>0</v>
      </c>
      <c r="P34" s="153" t="n">
        <f aca="false">(600*2^($M34))-(600*2^($L34))</f>
        <v>0</v>
      </c>
      <c r="Q34" s="155" t="n">
        <f aca="false">IF(T31=1,(0.75*((N34+O34)/(1000*(1+T29))/24)/Production!B29),((N34+O34)/(1000*(1+T29))/24)/Production!B29)</f>
        <v>0</v>
      </c>
      <c r="R34" s="16" t="n">
        <f aca="false">ROUNDUP((SUM(N34:P34))/25000)</f>
        <v>0</v>
      </c>
    </row>
    <row r="35" customFormat="false" ht="8.2" hidden="false" customHeight="true" outlineLevel="0" collapsed="false">
      <c r="A35" s="33" t="s">
        <v>231</v>
      </c>
      <c r="B35" s="33"/>
      <c r="C35" s="33"/>
      <c r="D35" s="33"/>
      <c r="E35" s="33"/>
      <c r="F35" s="33"/>
      <c r="G35" s="33"/>
      <c r="H35" s="33"/>
      <c r="I35" s="33" t="s">
        <v>214</v>
      </c>
      <c r="J35" s="33"/>
      <c r="K35" s="152" t="s">
        <v>48</v>
      </c>
      <c r="L35" s="129" t="n">
        <v>0</v>
      </c>
      <c r="M35" s="129" t="n">
        <v>0</v>
      </c>
      <c r="N35" s="153" t="n">
        <f aca="false">(10000*2^($M35))-(10000*2^($L35))</f>
        <v>0</v>
      </c>
      <c r="O35" s="153" t="n">
        <f aca="false">(20000*2^($M35))-(20000*2^($L35))</f>
        <v>0</v>
      </c>
      <c r="P35" s="153" t="n">
        <f aca="false">(6000*2^($M35))-(6000*2^($L35))</f>
        <v>0</v>
      </c>
      <c r="Q35" s="155" t="n">
        <f aca="false">IF(T31=1,(0.75*((N35+O35)/(1000*(1+T29))/24)/Production!B29),((N35+O35)/(1000*(1+T29))/24)/Production!B29)</f>
        <v>0</v>
      </c>
      <c r="R35" s="16" t="n">
        <f aca="false">ROUNDUP((SUM(N35:P35))/25000)</f>
        <v>0</v>
      </c>
    </row>
    <row r="36" customFormat="false" ht="8.2" hidden="false" customHeight="true" outlineLevel="0" collapsed="false">
      <c r="A36" s="51"/>
      <c r="B36" s="51" t="s">
        <v>232</v>
      </c>
      <c r="C36" s="51" t="s">
        <v>21</v>
      </c>
      <c r="D36" s="51" t="s">
        <v>23</v>
      </c>
      <c r="E36" s="51" t="s">
        <v>24</v>
      </c>
      <c r="F36" s="46" t="s">
        <v>233</v>
      </c>
      <c r="G36" s="46" t="s">
        <v>68</v>
      </c>
      <c r="H36" s="46" t="s">
        <v>217</v>
      </c>
      <c r="I36" s="151" t="n">
        <v>-0.5</v>
      </c>
      <c r="J36" s="46" t="s">
        <v>218</v>
      </c>
      <c r="K36" s="152" t="s">
        <v>5</v>
      </c>
      <c r="L36" s="152"/>
      <c r="M36" s="152"/>
      <c r="N36" s="153" t="n">
        <f aca="false">SUM(N21:N35)</f>
        <v>0</v>
      </c>
      <c r="O36" s="153" t="n">
        <f aca="false">SUM(O21:O35)</f>
        <v>0</v>
      </c>
      <c r="P36" s="153" t="n">
        <f aca="false">SUM(P21:P35)</f>
        <v>0</v>
      </c>
      <c r="Q36" s="155" t="n">
        <f aca="false">SUM(Q21:Q35)</f>
        <v>0</v>
      </c>
      <c r="R36" s="16" t="n">
        <f aca="false">SUM(R21:R35)</f>
        <v>0</v>
      </c>
    </row>
    <row r="37" customFormat="false" ht="8.2" hidden="false" customHeight="true" outlineLevel="0" collapsed="false">
      <c r="A37" s="152" t="s">
        <v>191</v>
      </c>
      <c r="B37" s="129" t="n">
        <v>1</v>
      </c>
      <c r="C37" s="153" t="n">
        <f aca="false">2000*B37</f>
        <v>2000</v>
      </c>
      <c r="D37" s="153" t="n">
        <f aca="false">2000*B37</f>
        <v>2000</v>
      </c>
      <c r="E37" s="153" t="n">
        <f aca="false">0*B37</f>
        <v>0</v>
      </c>
      <c r="F37" s="25" t="n">
        <f aca="false">IF(Planètes!T25&gt;=5,10000*(1+2*(Planètes!T25)/10),5000*(1+(Planètes!T24)/10))</f>
        <v>5000</v>
      </c>
      <c r="G37" s="16" t="n">
        <f aca="false">ROUNDUP((SUM(C37:E37))/25000)</f>
        <v>1</v>
      </c>
      <c r="H37" s="154" t="n">
        <f aca="false">SECOND((ROUNDDOWN(((($C37+$D37)/5000)*(2/(1+$T$25))*0.5^$T$23)*3600,0)/86400)/Production!$B$29)+100*MINUTE((ROUNDUP(((($C37+$D37)/5000)*(2/(1+$T$25))*0.5^$T$23)*3600,0)/86400)/Production!$B$29)+10000*HOUR((ROUNDUP(((($C37+$D37)/5000)*(2/(1+$T$25))*0.5^$T$23)*3600,0)/86400)/Production!$B$29)+1000000*ROUNDDOWN((ROUNDDOWN(((($C37+$D37)/5000)*(2/(1+$T$25))*0.5^$T$23)*3600,0)/86400)/Production!$B$29,0)</f>
        <v>147</v>
      </c>
      <c r="I37" s="111" t="n">
        <f aca="false">IF(750*(ROUNDUP((((((($C37+$D37) / 5000 ) * ( 2 / (1 +$T$25))) * 0.5^$T$23)/Production!$B$29)*60)/30))&lt;72000,750*(ROUNDUP((((((($C37+$D37) / 5000 ) * ( 2 / (1 +$T$25))) * 0.5^$T$23)/Production!$B$29)*60)/30)),72000)</f>
        <v>750</v>
      </c>
      <c r="J37" s="111" t="n">
        <f aca="false">I37*2</f>
        <v>1500</v>
      </c>
      <c r="K37" s="33" t="s">
        <v>234</v>
      </c>
      <c r="L37" s="33"/>
      <c r="M37" s="33"/>
      <c r="N37" s="33"/>
      <c r="O37" s="33"/>
      <c r="P37" s="33"/>
      <c r="Q37" s="33"/>
      <c r="R37" s="33" t="s">
        <v>214</v>
      </c>
      <c r="S37" s="33"/>
    </row>
    <row r="38" customFormat="false" ht="8.2" hidden="false" customHeight="true" outlineLevel="0" collapsed="false">
      <c r="A38" s="152" t="s">
        <v>192</v>
      </c>
      <c r="B38" s="129" t="n">
        <v>1</v>
      </c>
      <c r="C38" s="153" t="n">
        <f aca="false">6000*B38</f>
        <v>6000</v>
      </c>
      <c r="D38" s="153" t="n">
        <f aca="false">6000*B38</f>
        <v>6000</v>
      </c>
      <c r="E38" s="153" t="n">
        <f aca="false">0*B38</f>
        <v>0</v>
      </c>
      <c r="F38" s="25" t="n">
        <f aca="false">(7500*(1+Planètes!T24/10))</f>
        <v>7500</v>
      </c>
      <c r="G38" s="16" t="n">
        <f aca="false">ROUNDUP((SUM(C38:E38))/25000)</f>
        <v>1</v>
      </c>
      <c r="H38" s="154" t="n">
        <f aca="false">SECOND((ROUNDDOWN(((($C38+$D38)/5000)*(2/(1+$T$25))*0.5^$T$23)*3600,0)/86400)/Production!$B$29)+100*MINUTE((ROUNDUP(((($C38+$D38)/5000)*(2/(1+$T$25))*0.5^$T$23)*3600,0)/86400)/Production!$B$29)+10000*HOUR((ROUNDUP(((($C38+$D38)/5000)*(2/(1+$T$25))*0.5^$T$23)*3600,0)/86400)/Production!$B$29)+1000000*ROUNDDOWN((ROUNDDOWN(((($C38+$D38)/5000)*(2/(1+$T$25))*0.5^$T$23)*3600,0)/86400)/Production!$B$29,0)</f>
        <v>520</v>
      </c>
      <c r="I38" s="111" t="n">
        <f aca="false">IF(750*(ROUNDUP((((((($C38+$D38) / 5000 ) * ( 2 / (1 +$T$25))) * 0.5^$T$23)/Production!$B$29)*60)/30))&lt;72000,750*(ROUNDUP((((((($C38+$D38) / 5000 ) * ( 2 / (1 +$T$25))) * 0.5^$T$23)/Production!$B$29)*60)/30)),72000)</f>
        <v>750</v>
      </c>
      <c r="J38" s="111" t="n">
        <f aca="false">I38*2</f>
        <v>1500</v>
      </c>
      <c r="K38" s="51"/>
      <c r="L38" s="51" t="s">
        <v>108</v>
      </c>
      <c r="M38" s="51" t="s">
        <v>21</v>
      </c>
      <c r="N38" s="51" t="s">
        <v>23</v>
      </c>
      <c r="O38" s="51" t="s">
        <v>24</v>
      </c>
      <c r="P38" s="46" t="s">
        <v>217</v>
      </c>
      <c r="Q38" s="46" t="s">
        <v>68</v>
      </c>
      <c r="R38" s="151" t="n">
        <v>-0.5</v>
      </c>
      <c r="S38" s="46" t="s">
        <v>218</v>
      </c>
    </row>
    <row r="39" customFormat="false" ht="8.2" hidden="false" customHeight="true" outlineLevel="0" collapsed="false">
      <c r="A39" s="152" t="s">
        <v>69</v>
      </c>
      <c r="B39" s="129" t="n">
        <v>1</v>
      </c>
      <c r="C39" s="153" t="n">
        <f aca="false">3000*B39</f>
        <v>3000</v>
      </c>
      <c r="D39" s="153" t="n">
        <f aca="false">1000*B39</f>
        <v>1000</v>
      </c>
      <c r="E39" s="153" t="n">
        <f aca="false">0*B39</f>
        <v>0</v>
      </c>
      <c r="F39" s="25" t="n">
        <f aca="false">(12500*(1+Planètes!T24/10))</f>
        <v>12500</v>
      </c>
      <c r="G39" s="16" t="n">
        <f aca="false">ROUNDUP((SUM(C39:E39))/25000)</f>
        <v>1</v>
      </c>
      <c r="H39" s="154" t="n">
        <f aca="false">SECOND((ROUNDDOWN(((($C39+$D39)/5000)*(2/(1+$T$25))*0.5^$T$23)*3600,0)/86400)/Production!$B$29)+100*MINUTE((ROUNDUP(((($C39+$D39)/5000)*(2/(1+$T$25))*0.5^$T$23)*3600,0)/86400)/Production!$B$29)+10000*HOUR((ROUNDUP(((($C39+$D39)/5000)*(2/(1+$T$25))*0.5^$T$23)*3600,0)/86400)/Production!$B$29)+1000000*ROUNDDOWN((ROUNDDOWN(((($C39+$D39)/5000)*(2/(1+$T$25))*0.5^$T$23)*3600,0)/86400)/Production!$B$29,0)</f>
        <v>147</v>
      </c>
      <c r="I39" s="111" t="n">
        <f aca="false">IF(750*(ROUNDUP((((((($C39+$D39) / 5000 ) * ( 2 / (1 +$T$25))) * 0.5^$T$23)/Production!$B$29)*60)/30))&lt;72000,750*(ROUNDUP((((((($C39+$D39) / 5000 ) * ( 2 / (1 +$T$25))) * 0.5^$T$23)/Production!$B$29)*60)/30)),72000)</f>
        <v>750</v>
      </c>
      <c r="J39" s="111" t="n">
        <f aca="false">I39*2</f>
        <v>1500</v>
      </c>
      <c r="K39" s="160" t="s">
        <v>41</v>
      </c>
      <c r="L39" s="129" t="n">
        <v>1</v>
      </c>
      <c r="M39" s="153" t="n">
        <f aca="false">1000*2^(L39-1)</f>
        <v>1000</v>
      </c>
      <c r="N39" s="153" t="n">
        <f aca="false">0*2^(L39-1)</f>
        <v>0</v>
      </c>
      <c r="O39" s="153" t="n">
        <v>0</v>
      </c>
      <c r="P39" s="154" t="n">
        <f aca="false">SECOND((ROUNDDOWN((((($M39+$N39)/(2500*(1+$T$27)))*3600)),0)/86400)/Production!$B$29)+100*MINUTE((ROUNDUP(((((($M39+$N39)/(2500*(1+$T$27))))*3600)),0)/86400)/Production!$B$29)+10000*HOUR((ROUNDUP(((((($M39+$N39)/(2500*(1+$T$27))))*3600)),0)/86400)/Production!$B$29)+1000000*ROUNDDOWN((ROUNDUP(((((($M39+$N39)/(2500*(1+$T$27))))*3600)),0)/86400)/Production!$B$29,0)</f>
        <v>800</v>
      </c>
      <c r="Q39" s="16" t="n">
        <v>1</v>
      </c>
      <c r="R39" s="111" t="n">
        <f aca="false">IF(750*(ROUNDUP((((((($M39+$N39)/(2500*(1+$T$27)))/24)/Production!$B$29)*24)*60)/30))&lt;72000,750*(ROUNDUP((((((($M39+$N39)/(2500*(1+$T$27))/24)/Production!$B$29)*24)*60)/30))),72000)</f>
        <v>750</v>
      </c>
      <c r="S39" s="111" t="n">
        <f aca="false">R39*2</f>
        <v>1500</v>
      </c>
    </row>
    <row r="40" customFormat="false" ht="8.2" hidden="false" customHeight="true" outlineLevel="0" collapsed="false">
      <c r="A40" s="152" t="s">
        <v>71</v>
      </c>
      <c r="B40" s="129" t="n">
        <v>1</v>
      </c>
      <c r="C40" s="153" t="n">
        <f aca="false">6000*B40</f>
        <v>6000</v>
      </c>
      <c r="D40" s="153" t="n">
        <f aca="false">4000*B40</f>
        <v>4000</v>
      </c>
      <c r="E40" s="153" t="n">
        <f aca="false">0*B40</f>
        <v>0</v>
      </c>
      <c r="F40" s="25" t="n">
        <f aca="false">10000*(1+2*Planètes!T25/10)</f>
        <v>10000</v>
      </c>
      <c r="G40" s="16" t="n">
        <f aca="false">ROUNDUP((SUM(C40:E40))/25000)</f>
        <v>1</v>
      </c>
      <c r="H40" s="154" t="n">
        <f aca="false">SECOND((ROUNDDOWN(((($C40+$D40)/5000)*(2/(1+$T$25))*0.5^$T$23)*3600,0)/86400)/Production!$B$29)+100*MINUTE((ROUNDUP(((($C40+$D40)/5000)*(2/(1+$T$25))*0.5^$T$23)*3600,0)/86400)/Production!$B$29)+10000*HOUR((ROUNDUP(((($C40+$D40)/5000)*(2/(1+$T$25))*0.5^$T$23)*3600,0)/86400)/Production!$B$29)+1000000*ROUNDDOWN((ROUNDDOWN(((($C40+$D40)/5000)*(2/(1+$T$25))*0.5^$T$23)*3600,0)/86400)/Production!$B$29,0)</f>
        <v>427</v>
      </c>
      <c r="I40" s="111" t="n">
        <f aca="false">IF(750*(ROUNDUP((((((($C40+$D40) / 5000 ) * ( 2 / (1 +$T$25))) * 0.5^$T$23)/Production!$B$29)*60)/30))&lt;72000,750*(ROUNDUP((((((($C40+$D40) / 5000 ) * ( 2 / (1 +$T$25))) * 0.5^$T$23)/Production!$B$29)*60)/30)),72000)</f>
        <v>750</v>
      </c>
      <c r="J40" s="111" t="n">
        <f aca="false">I40*2</f>
        <v>1500</v>
      </c>
      <c r="K40" s="160" t="s">
        <v>43</v>
      </c>
      <c r="L40" s="129" t="n">
        <v>1</v>
      </c>
      <c r="M40" s="153" t="n">
        <f aca="false">1000*2^(L40-1)</f>
        <v>1000</v>
      </c>
      <c r="N40" s="153" t="n">
        <f aca="false">500*2^(L40-1)</f>
        <v>500</v>
      </c>
      <c r="O40" s="153" t="n">
        <v>0</v>
      </c>
      <c r="P40" s="154" t="n">
        <f aca="false">SECOND((ROUNDDOWN((((($M40+$N40)/(2500*(1+$T$27)))*3600)),0)/86400)/Production!$B$29)+100*MINUTE((ROUNDUP(((((($M40+$N40)/(2500*(1+$T$27))))*3600)),0)/86400)/Production!$B$29)+10000*HOUR((ROUNDUP(((((($M40+$N40)/(2500*(1+$T$27))))*3600)),0)/86400)/Production!$B$29)+1000000*ROUNDDOWN((ROUNDUP(((((($M40+$N40)/(2500*(1+$T$27))))*3600)),0)/86400)/Production!$B$29,0)</f>
        <v>1200</v>
      </c>
      <c r="Q40" s="16" t="n">
        <v>1</v>
      </c>
      <c r="R40" s="111" t="n">
        <f aca="false">IF(750*(ROUNDUP((((((($M40+$N40)/(2500*(1+$T$27)))/24)/Production!$B$29)*24)*60)/30))&lt;72000,750*(ROUNDUP((((((($M40+$N40)/(2500*(1+$T$27))/24)/Production!$B$29)*24)*60)/30))),72000)</f>
        <v>750</v>
      </c>
      <c r="S40" s="111" t="n">
        <f aca="false">R40*2</f>
        <v>1500</v>
      </c>
    </row>
    <row r="41" customFormat="false" ht="8.2" hidden="false" customHeight="true" outlineLevel="0" collapsed="false">
      <c r="A41" s="152" t="s">
        <v>212</v>
      </c>
      <c r="B41" s="129" t="n">
        <v>1</v>
      </c>
      <c r="C41" s="153" t="n">
        <f aca="false">20000*B41</f>
        <v>20000</v>
      </c>
      <c r="D41" s="153" t="n">
        <f aca="false">7000*B41</f>
        <v>7000</v>
      </c>
      <c r="E41" s="153" t="n">
        <f aca="false">2000*B41</f>
        <v>2000</v>
      </c>
      <c r="F41" s="25" t="n">
        <f aca="false">15000*(1+2*Planètes!T25/10)</f>
        <v>15000</v>
      </c>
      <c r="G41" s="16" t="n">
        <f aca="false">ROUNDUP((SUM(C41:E41))/25000)</f>
        <v>2</v>
      </c>
      <c r="H41" s="154" t="n">
        <f aca="false">SECOND((ROUNDDOWN(((($C41+$D41)/5000)*(2/(1+$T$25))*0.5^$T$23)*3600,0)/86400)/Production!$B$29)+100*MINUTE((ROUNDUP(((($C41+$D41)/5000)*(2/(1+$T$25))*0.5^$T$23)*3600,0)/86400)/Production!$B$29)+10000*HOUR((ROUNDUP(((($C41+$D41)/5000)*(2/(1+$T$25))*0.5^$T$23)*3600,0)/86400)/Production!$B$29)+1000000*ROUNDDOWN((ROUNDDOWN(((($C41+$D41)/5000)*(2/(1+$T$25))*0.5^$T$23)*3600,0)/86400)/Production!$B$29,0)</f>
        <v>1200</v>
      </c>
      <c r="I41" s="111" t="n">
        <f aca="false">IF(750*(ROUNDUP((((((($C41+$D41) / 5000 ) * ( 2 / (1 +$T$25))) * 0.5^$T$23)/Production!$B$29)*60)/30))&lt;72000,750*(ROUNDUP((((((($C41+$D41) / 5000 ) * ( 2 / (1 +$T$25))) * 0.5^$T$23)/Production!$B$29)*60)/30)),72000)</f>
        <v>750</v>
      </c>
      <c r="J41" s="111" t="n">
        <f aca="false">I41*2</f>
        <v>1500</v>
      </c>
      <c r="K41" s="160" t="s">
        <v>45</v>
      </c>
      <c r="L41" s="129" t="n">
        <v>1</v>
      </c>
      <c r="M41" s="153" t="n">
        <f aca="false">1000*2^(L41-1)</f>
        <v>1000</v>
      </c>
      <c r="N41" s="153" t="n">
        <f aca="false">1000*2^(L41-1)</f>
        <v>1000</v>
      </c>
      <c r="O41" s="153" t="n">
        <v>0</v>
      </c>
      <c r="P41" s="154" t="n">
        <f aca="false">SECOND((ROUNDDOWN((((($M41+$N41)/(2500*(1+$T$27)))*3600)),0)/86400)/Production!$B$29)+100*MINUTE((ROUNDUP(((((($M41+$N41)/(2500*(1+$T$27))))*3600)),0)/86400)/Production!$B$29)+10000*HOUR((ROUNDUP(((((($M41+$N41)/(2500*(1+$T$27))))*3600)),0)/86400)/Production!$B$29)+1000000*ROUNDDOWN((ROUNDUP(((((($M41+$N41)/(2500*(1+$T$27))))*3600)),0)/86400)/Production!$B$29,0)</f>
        <v>1600</v>
      </c>
      <c r="Q41" s="16" t="n">
        <v>1</v>
      </c>
      <c r="R41" s="111" t="n">
        <f aca="false">IF(750*(ROUNDUP((((((($M41+$N41)/(2500*(1+$T$27)))/24)/Production!$B$29)*24)*60)/30))&lt;72000,750*(ROUNDUP((((((($M41+$N41)/(2500*(1+$T$27))/24)/Production!$B$29)*24)*60)/30))),72000)</f>
        <v>750</v>
      </c>
      <c r="S41" s="111" t="n">
        <f aca="false">R41*2</f>
        <v>1500</v>
      </c>
    </row>
    <row r="42" customFormat="false" ht="8.2" hidden="false" customHeight="true" outlineLevel="0" collapsed="false">
      <c r="A42" s="152" t="s">
        <v>194</v>
      </c>
      <c r="B42" s="129" t="n">
        <v>1</v>
      </c>
      <c r="C42" s="153" t="n">
        <f aca="false">45000*B42</f>
        <v>45000</v>
      </c>
      <c r="D42" s="153" t="n">
        <f aca="false">15000*B42</f>
        <v>15000</v>
      </c>
      <c r="E42" s="153" t="n">
        <f aca="false">0*B42</f>
        <v>0</v>
      </c>
      <c r="F42" s="25" t="n">
        <f aca="false">10000*(1+3*Planètes!T26/10)</f>
        <v>10000</v>
      </c>
      <c r="G42" s="16" t="n">
        <f aca="false">ROUNDUP((SUM(C42:E42))/25000)</f>
        <v>3</v>
      </c>
      <c r="H42" s="154" t="n">
        <f aca="false">SECOND((ROUNDDOWN(((($C42+$D42)/5000)*(2/(1+$T$25))*0.5^$T$23)*3600,0)/86400)/Production!$B$29)+100*MINUTE((ROUNDUP(((($C42+$D42)/5000)*(2/(1+$T$25))*0.5^$T$23)*3600,0)/86400)/Production!$B$29)+10000*HOUR((ROUNDUP(((($C42+$D42)/5000)*(2/(1+$T$25))*0.5^$T$23)*3600,0)/86400)/Production!$B$29)+1000000*ROUNDDOWN((ROUNDDOWN(((($C42+$D42)/5000)*(2/(1+$T$25))*0.5^$T$23)*3600,0)/86400)/Production!$B$29,0)</f>
        <v>2640</v>
      </c>
      <c r="I42" s="111" t="n">
        <f aca="false">IF(750*(ROUNDUP((((((($C42+$D42) / 5000 ) * ( 2 / (1 +$T$25))) * 0.5^$T$23)/Production!$B$29)*60)/30))&lt;72000,750*(ROUNDUP((((((($C42+$D42) / 5000 ) * ( 2 / (1 +$T$25))) * 0.5^$T$23)/Production!$B$29)*60)/30)),72000)</f>
        <v>750</v>
      </c>
      <c r="J42" s="111" t="n">
        <f aca="false">I42*2</f>
        <v>1500</v>
      </c>
      <c r="K42" s="160" t="s">
        <v>51</v>
      </c>
      <c r="L42" s="129" t="n">
        <v>1</v>
      </c>
      <c r="M42" s="153" t="n">
        <f aca="false">400*2^(L42-1)</f>
        <v>400</v>
      </c>
      <c r="N42" s="153" t="n">
        <f aca="false">200*2^(L42-1)</f>
        <v>200</v>
      </c>
      <c r="O42" s="153" t="n">
        <f aca="false">100*2^(L42-1)</f>
        <v>100</v>
      </c>
      <c r="P42" s="154" t="n">
        <f aca="false">SECOND((ROUNDDOWN((((($M42+$N42)/(2500*(1+$T$27)))*3600)),0)/86400)/Production!$B$29)+100*MINUTE((ROUNDUP(((((($M42+$N42)/(2500*(1+$T$27))))*3600)),0)/86400)/Production!$B$29)+10000*HOUR((ROUNDUP(((((($M42+$N42)/(2500*(1+$T$27))))*3600)),0)/86400)/Production!$B$29)+1000000*ROUNDDOWN((ROUNDUP(((((($M42+$N42)/(2500*(1+$T$27))))*3600)),0)/86400)/Production!$B$29,0)</f>
        <v>448</v>
      </c>
      <c r="Q42" s="16" t="n">
        <v>1</v>
      </c>
      <c r="R42" s="111" t="n">
        <f aca="false">IF(750*(ROUNDUP((((((($M42+$N42)/(2500*(1+$T$27)))/24)/Production!$B$29)*24)*60)/30))&lt;72000,750*(ROUNDUP((((((($M42+$N42)/(2500*(1+$T$27))/24)/Production!$B$29)*24)*60)/30))),72000)</f>
        <v>750</v>
      </c>
      <c r="S42" s="111" t="n">
        <f aca="false">R42*2</f>
        <v>1500</v>
      </c>
    </row>
    <row r="43" customFormat="false" ht="8.2" hidden="false" customHeight="true" outlineLevel="0" collapsed="false">
      <c r="A43" s="152" t="s">
        <v>198</v>
      </c>
      <c r="B43" s="129" t="n">
        <v>1</v>
      </c>
      <c r="C43" s="153" t="n">
        <f aca="false">10000*B43</f>
        <v>10000</v>
      </c>
      <c r="D43" s="153" t="n">
        <f aca="false">6000*B43</f>
        <v>6000</v>
      </c>
      <c r="E43" s="153" t="n">
        <f aca="false">1000*B43</f>
        <v>1000</v>
      </c>
      <c r="F43" s="25" t="n">
        <f aca="false">IF(Planètes!T26&gt;=15,(6000*(1+3*Planètes!T26/10)),(2000*(1+Planètes!T24/10)))</f>
        <v>2000</v>
      </c>
      <c r="G43" s="16" t="n">
        <f aca="false">ROUNDUP((SUM(C43:E43))/25000)</f>
        <v>1</v>
      </c>
      <c r="H43" s="154" t="n">
        <f aca="false">SECOND((ROUNDDOWN(((($C43+$D43)/5000)*(2/(1+$T$25))*0.5^$T$23)*3600,0)/86400)/Production!$B$29)+100*MINUTE((ROUNDUP(((($C43+$D43)/5000)*(2/(1+$T$25))*0.5^$T$23)*3600,0)/86400)/Production!$B$29)+10000*HOUR((ROUNDUP(((($C43+$D43)/5000)*(2/(1+$T$25))*0.5^$T$23)*3600,0)/86400)/Production!$B$29)+1000000*ROUNDDOWN((ROUNDDOWN(((($C43+$D43)/5000)*(2/(1+$T$25))*0.5^$T$23)*3600,0)/86400)/Production!$B$29,0)</f>
        <v>707</v>
      </c>
      <c r="I43" s="111" t="n">
        <f aca="false">IF(750*(ROUNDUP((((((($C43+$D43) / 5000 ) * ( 2 / (1 +$T$25))) * 0.5^$T$23)/Production!$B$29)*60)/30))&lt;72000,750*(ROUNDUP((((((($C43+$D43) / 5000 ) * ( 2 / (1 +$T$25))) * 0.5^$T$23)/Production!$B$29)*60)/30)),72000)</f>
        <v>750</v>
      </c>
      <c r="J43" s="111" t="n">
        <f aca="false">I43*2</f>
        <v>1500</v>
      </c>
      <c r="K43" s="160" t="s">
        <v>227</v>
      </c>
      <c r="L43" s="129" t="n">
        <v>1</v>
      </c>
      <c r="M43" s="153" t="n">
        <f aca="false">400*2^(L43-1)</f>
        <v>400</v>
      </c>
      <c r="N43" s="153" t="n">
        <f aca="false">120*2^(L43-1)</f>
        <v>120</v>
      </c>
      <c r="O43" s="153" t="n">
        <f aca="false">200*2^(L43-1)</f>
        <v>200</v>
      </c>
      <c r="P43" s="154" t="n">
        <f aca="false">SECOND((ROUNDDOWN((((($M43+$N43)/(2500*(1+$T$27)))*3600)),0)/86400)/Production!$B$29)+100*MINUTE((ROUNDUP(((((($M43+$N43)/(2500*(1+$T$27))))*3600)),0)/86400)/Production!$B$29)+10000*HOUR((ROUNDUP(((((($M43+$N43)/(2500*(1+$T$27))))*3600)),0)/86400)/Production!$B$29)+1000000*ROUNDDOWN((ROUNDUP(((((($M43+$N43)/(2500*(1+$T$27))))*3600)),0)/86400)/Production!$B$29,0)</f>
        <v>409</v>
      </c>
      <c r="Q43" s="16" t="n">
        <f aca="false">ROUNDUP((SUM(M43:O43))/25000)</f>
        <v>1</v>
      </c>
      <c r="R43" s="111" t="n">
        <f aca="false">IF(750*(ROUNDUP((((((($M43+$N43)/(2500*(1+$T$27)))/24)/Production!$B$29)*24)*60)/30))&lt;72000,750*(ROUNDUP((((((($M43+$N43)/(2500*(1+$T$27))/24)/Production!$B$29)*24)*60)/30))),72000)</f>
        <v>750</v>
      </c>
      <c r="S43" s="111" t="n">
        <f aca="false">R43*2</f>
        <v>1500</v>
      </c>
    </row>
    <row r="44" customFormat="false" ht="8.2" hidden="false" customHeight="true" outlineLevel="0" collapsed="false">
      <c r="A44" s="152" t="s">
        <v>82</v>
      </c>
      <c r="B44" s="129" t="n">
        <v>1</v>
      </c>
      <c r="C44" s="153" t="n">
        <f aca="false">60000*B44</f>
        <v>60000</v>
      </c>
      <c r="D44" s="153" t="n">
        <f aca="false">50000*B44</f>
        <v>50000</v>
      </c>
      <c r="E44" s="153" t="n">
        <f aca="false">15000*B44</f>
        <v>15000</v>
      </c>
      <c r="F44" s="25" t="n">
        <f aca="false">5000*(1+3*Planètes!T26/10)</f>
        <v>5000</v>
      </c>
      <c r="G44" s="16" t="n">
        <f aca="false">ROUNDUP((SUM(C44:E44))/25000)</f>
        <v>5</v>
      </c>
      <c r="H44" s="154" t="n">
        <f aca="false">SECOND((ROUNDDOWN(((($C44+$D44)/5000)*(2/(1+$T$25))*0.5^$T$23)*3600,0)/86400)/Production!$B$29)+100*MINUTE((ROUNDUP(((($C44+$D44)/5000)*(2/(1+$T$25))*0.5^$T$23)*3600,0)/86400)/Production!$B$29)+10000*HOUR((ROUNDUP(((($C44+$D44)/5000)*(2/(1+$T$25))*0.5^$T$23)*3600,0)/86400)/Production!$B$29)+1000000*ROUNDDOWN((ROUNDDOWN(((($C44+$D44)/5000)*(2/(1+$T$25))*0.5^$T$23)*3600,0)/86400)/Production!$B$29,0)</f>
        <v>4853</v>
      </c>
      <c r="I44" s="111" t="n">
        <f aca="false">IF(750*(ROUNDUP((((((($C44+$D44) / 5000 ) * ( 2 / (1 +$T$25))) * 0.5^$T$23)/Production!$B$29)*60)/30))&lt;72000,750*(ROUNDUP((((((($C44+$D44) / 5000 ) * ( 2 / (1 +$T$25))) * 0.5^$T$23)/Production!$B$29)*60)/30)),72000)</f>
        <v>1500</v>
      </c>
      <c r="J44" s="111" t="n">
        <f aca="false">I44*2</f>
        <v>3000</v>
      </c>
      <c r="K44" s="160" t="s">
        <v>98</v>
      </c>
      <c r="L44" s="129" t="n">
        <v>1</v>
      </c>
      <c r="M44" s="153" t="n">
        <f aca="false">20000*2^(L44-1)</f>
        <v>20000</v>
      </c>
      <c r="N44" s="153" t="n">
        <f aca="false">40000*2^(L44-1)</f>
        <v>40000</v>
      </c>
      <c r="O44" s="153" t="n">
        <f aca="false">20000*2^(L44-1)</f>
        <v>20000</v>
      </c>
      <c r="P44" s="154" t="n">
        <f aca="false">SECOND((ROUNDDOWN((((($M44+$N44)/(2500*(1+$T$27)))*3600)),0)/86400)/Production!$B$29)+100*MINUTE((ROUNDUP(((((($M44+$N44)/(2500*(1+$T$27))))*3600)),0)/86400)/Production!$B$29)+10000*HOUR((ROUNDUP(((((($M44+$N44)/(2500*(1+$T$27))))*3600)),0)/86400)/Production!$B$29)+1000000*ROUNDDOWN((ROUNDUP(((((($M44+$N44)/(2500*(1+$T$27))))*3600)),0)/86400)/Production!$B$29,0)</f>
        <v>80000</v>
      </c>
      <c r="Q44" s="16" t="n">
        <f aca="false">ROUNDUP((SUM(M44:O44))/25000)</f>
        <v>4</v>
      </c>
      <c r="R44" s="111" t="n">
        <f aca="false">IF(750*(ROUNDUP((((((($M44+$N44)/(2500*(1+$T$27)))/24)/Production!$B$29)*24)*60)/30))&lt;72000,750*(ROUNDUP((((((($M44+$N44)/(2500*(1+$T$27))/24)/Production!$B$29)*24)*60)/30))),72000)</f>
        <v>12000</v>
      </c>
      <c r="S44" s="111" t="n">
        <f aca="false">R44*2</f>
        <v>24000</v>
      </c>
    </row>
    <row r="45" customFormat="false" ht="8.2" hidden="false" customHeight="true" outlineLevel="0" collapsed="false">
      <c r="A45" s="152" t="s">
        <v>84</v>
      </c>
      <c r="B45" s="129" t="n">
        <v>1</v>
      </c>
      <c r="C45" s="153" t="n">
        <f aca="false">30000*B45</f>
        <v>30000</v>
      </c>
      <c r="D45" s="153" t="n">
        <f aca="false">40000*B45</f>
        <v>40000</v>
      </c>
      <c r="E45" s="153" t="n">
        <f aca="false">15000*B45</f>
        <v>15000</v>
      </c>
      <c r="F45" s="25" t="n">
        <f aca="false">10000*(1+3*Planètes!T26/10)</f>
        <v>10000</v>
      </c>
      <c r="G45" s="16" t="n">
        <f aca="false">ROUNDUP((SUM(C45:E45))/25000)</f>
        <v>4</v>
      </c>
      <c r="H45" s="154" t="n">
        <f aca="false">SECOND((ROUNDDOWN(((($C45+$D45)/5000)*(2/(1+$T$25))*0.5^$T$23)*3600,0)/86400)/Production!$B$29)+100*MINUTE((ROUNDUP(((($C45+$D45)/5000)*(2/(1+$T$25))*0.5^$T$23)*3600,0)/86400)/Production!$B$29)+10000*HOUR((ROUNDUP(((($C45+$D45)/5000)*(2/(1+$T$25))*0.5^$T$23)*3600,0)/86400)/Production!$B$29)+1000000*ROUNDDOWN((ROUNDDOWN(((($C45+$D45)/5000)*(2/(1+$T$25))*0.5^$T$23)*3600,0)/86400)/Production!$B$29,0)</f>
        <v>3107</v>
      </c>
      <c r="I45" s="111" t="n">
        <f aca="false">IF(750*(ROUNDUP((((((($C45+$D45) / 5000 ) * ( 2 / (1 +$T$25))) * 0.5^$T$23)/Production!$B$29)*60)/30))&lt;72000,750*(ROUNDUP((((((($C45+$D45) / 5000 ) * ( 2 / (1 +$T$25))) * 0.5^$T$23)/Production!$B$29)*60)/30)),72000)</f>
        <v>1500</v>
      </c>
      <c r="J45" s="111" t="n">
        <f aca="false">I45*2</f>
        <v>3000</v>
      </c>
      <c r="K45" s="160" t="s">
        <v>99</v>
      </c>
      <c r="L45" s="129" t="n">
        <v>1</v>
      </c>
      <c r="M45" s="153" t="n">
        <f aca="false">20000*2^(L45-1)</f>
        <v>20000</v>
      </c>
      <c r="N45" s="153" t="n">
        <f aca="false">40000*2^(L45-1)</f>
        <v>40000</v>
      </c>
      <c r="O45" s="153" t="n">
        <f aca="false">20000*2^(L45-1)</f>
        <v>20000</v>
      </c>
      <c r="P45" s="154" t="n">
        <f aca="false">SECOND((ROUNDDOWN((((($M45+$N45)/(2500*(1+$T$27)))*3600)),0)/86400)/Production!$B$29)+100*MINUTE((ROUNDUP(((((($M45+$N45)/(2500*(1+$T$27))))*3600)),0)/86400)/Production!$B$29)+10000*HOUR((ROUNDUP(((((($M45+$N45)/(2500*(1+$T$27))))*3600)),0)/86400)/Production!$B$29)+1000000*ROUNDDOWN((ROUNDUP(((((($M45+$N45)/(2500*(1+$T$27))))*3600)),0)/86400)/Production!$B$29,0)</f>
        <v>80000</v>
      </c>
      <c r="Q45" s="16" t="n">
        <f aca="false">ROUNDUP((SUM(M45:O45))/25000)</f>
        <v>4</v>
      </c>
      <c r="R45" s="111" t="n">
        <f aca="false">IF(750*(ROUNDUP((((((($M45+$N45)/(2500*(1+$T$27)))/24)/Production!$B$29)*24)*60)/30))&lt;72000,750*(ROUNDUP((((((($M45+$N45)/(2500*(1+$T$27))/24)/Production!$B$29)*24)*60)/30))),72000)</f>
        <v>12000</v>
      </c>
      <c r="S45" s="111" t="n">
        <f aca="false">R45*2</f>
        <v>24000</v>
      </c>
    </row>
    <row r="46" customFormat="false" ht="8.2" hidden="false" customHeight="true" outlineLevel="0" collapsed="false">
      <c r="A46" s="152" t="s">
        <v>83</v>
      </c>
      <c r="B46" s="129" t="n">
        <v>1</v>
      </c>
      <c r="C46" s="153" t="n">
        <f aca="false">5000000*B46</f>
        <v>5000000</v>
      </c>
      <c r="D46" s="153" t="n">
        <f aca="false">4000000*B46</f>
        <v>4000000</v>
      </c>
      <c r="E46" s="153" t="n">
        <f aca="false">1000000*B46</f>
        <v>1000000</v>
      </c>
      <c r="F46" s="25" t="n">
        <f aca="false">100*(1+3*Planètes!T26/10)</f>
        <v>100</v>
      </c>
      <c r="G46" s="16" t="n">
        <f aca="false">ROUNDUP((SUM(C46:E46))/25000)</f>
        <v>400</v>
      </c>
      <c r="H46" s="154" t="n">
        <f aca="false">SECOND((ROUNDDOWN(((($C46+$D46)/5000)*(2/(1+$T$25))*0.5^$T$23)*3600,0)/86400)/Production!$B$29)+100*MINUTE((ROUNDUP(((($C46+$D46)/5000)*(2/(1+$T$25))*0.5^$T$23)*3600,0)/86400)/Production!$B$29)+10000*HOUR((ROUNDUP(((($C46+$D46)/5000)*(2/(1+$T$25))*0.5^$T$23)*3600,0)/86400)/Production!$B$29)+1000000*ROUNDDOWN((ROUNDDOWN(((($C46+$D46)/5000)*(2/(1+$T$25))*0.5^$T$23)*3600,0)/86400)/Production!$B$29,0)</f>
        <v>2184000</v>
      </c>
      <c r="I46" s="111" t="n">
        <f aca="false">IF(750*(ROUNDUP((((((($C46+$D46) / 5000 ) * ( 2 / (1 +$T$25))) * 0.5^$T$23)/Production!$B$29)*60)/30))&lt;72000,750*(ROUNDUP((((((($C46+$D46) / 5000 ) * ( 2 / (1 +$T$25))) * 0.5^$T$23)/Production!$B$29)*60)/30)),72000)</f>
        <v>72000</v>
      </c>
      <c r="J46" s="111" t="n">
        <f aca="false">I46*2</f>
        <v>144000</v>
      </c>
      <c r="K46" s="160" t="s">
        <v>100</v>
      </c>
      <c r="L46" s="129" t="n">
        <v>1</v>
      </c>
      <c r="M46" s="153" t="n">
        <f aca="false">2000000*2^(L46-1)</f>
        <v>2000000</v>
      </c>
      <c r="N46" s="153" t="n">
        <f aca="false">4000000*2^(L46-1)</f>
        <v>4000000</v>
      </c>
      <c r="O46" s="153" t="n">
        <f aca="false">2000000*2^(L46-1)</f>
        <v>2000000</v>
      </c>
      <c r="P46" s="154" t="n">
        <f aca="false">SECOND((ROUNDDOWN((((($M46+$N46)/(2500*(1+$T$27)))*3600)),0)/86400)/Production!$B$29)+100*MINUTE((ROUNDUP(((((($M46+$N46)/(2500*(1+$T$27))))*3600)),0)/86400)/Production!$B$29)+10000*HOUR((ROUNDUP(((((($M46+$N46)/(2500*(1+$T$27))))*3600)),0)/86400)/Production!$B$29)+1000000*ROUNDDOWN((ROUNDUP(((((($M46+$N46)/(2500*(1+$T$27))))*3600)),0)/86400)/Production!$B$29,0)</f>
        <v>33080000</v>
      </c>
      <c r="Q46" s="16" t="n">
        <f aca="false">ROUNDUP((SUM(M46:O46))/25000)</f>
        <v>320</v>
      </c>
      <c r="R46" s="111" t="n">
        <f aca="false">IF(750*(ROUNDUP((((((($M46+$N46)/(2500*(1+$T$27)))/24)/Production!$B$29)*24)*60)/30))&lt;72000,750*(ROUNDUP((((((($M46+$N46)/(2500*(1+$T$27))/24)/Production!$B$29)*24)*60)/30))),72000)</f>
        <v>72000</v>
      </c>
      <c r="S46" s="111" t="n">
        <f aca="false">R46*2</f>
        <v>144000</v>
      </c>
    </row>
    <row r="47" customFormat="false" ht="8.2" hidden="false" customHeight="true" outlineLevel="0" collapsed="false">
      <c r="A47" s="152" t="s">
        <v>80</v>
      </c>
      <c r="B47" s="129" t="n">
        <v>1</v>
      </c>
      <c r="C47" s="153" t="n">
        <f aca="false">50000*B47</f>
        <v>50000</v>
      </c>
      <c r="D47" s="153" t="n">
        <f aca="false">25000*B47</f>
        <v>25000</v>
      </c>
      <c r="E47" s="153" t="n">
        <f aca="false">15000*B47</f>
        <v>15000</v>
      </c>
      <c r="F47" s="25" t="n">
        <f aca="false">IF(Planètes!T26&gt;=8,(5000*(1+3*Planètes!T26/10)),(4000*(1+Planètes!T24/10)))</f>
        <v>4000</v>
      </c>
      <c r="G47" s="16" t="n">
        <f aca="false">ROUNDUP((SUM(C47:E47))/25000)</f>
        <v>4</v>
      </c>
      <c r="H47" s="154" t="n">
        <f aca="false">SECOND((ROUNDDOWN(((($C47+$D47)/5000)*(2/(1+$T$25))*0.5^$T$23)*3600,0)/86400)/Production!$B$29)+100*MINUTE((ROUNDUP(((($C47+$D47)/5000)*(2/(1+$T$25))*0.5^$T$23)*3600,0)/86400)/Production!$B$29)+10000*HOUR((ROUNDUP(((($C47+$D47)/5000)*(2/(1+$T$25))*0.5^$T$23)*3600,0)/86400)/Production!$B$29)+1000000*ROUNDDOWN((ROUNDDOWN(((($C47+$D47)/5000)*(2/(1+$T$25))*0.5^$T$23)*3600,0)/86400)/Production!$B$29,0)</f>
        <v>3320</v>
      </c>
      <c r="I47" s="111" t="n">
        <f aca="false">IF(750*(ROUNDUP((((((($C47+$D47) / 5000 ) * ( 2 / (1 +$T$25))) * 0.5^$T$23)/Production!$B$29)*60)/30))&lt;72000,750*(ROUNDUP((((((($C47+$D47) / 5000 ) * ( 2 / (1 +$T$25))) * 0.5^$T$23)/Production!$B$29)*60)/30)),72000)</f>
        <v>1500</v>
      </c>
      <c r="J47" s="111" t="n">
        <f aca="false">I47*2</f>
        <v>3000</v>
      </c>
      <c r="K47" s="33" t="s">
        <v>235</v>
      </c>
      <c r="L47" s="33"/>
      <c r="M47" s="33"/>
      <c r="N47" s="33"/>
      <c r="O47" s="33"/>
      <c r="P47" s="33"/>
      <c r="Q47" s="0"/>
      <c r="R47" s="0"/>
    </row>
    <row r="48" customFormat="false" ht="8.2" hidden="false" customHeight="true" outlineLevel="0" collapsed="false">
      <c r="A48" s="152" t="s">
        <v>236</v>
      </c>
      <c r="B48" s="129" t="n">
        <v>1</v>
      </c>
      <c r="C48" s="153" t="n">
        <v>0</v>
      </c>
      <c r="D48" s="153" t="n">
        <f aca="false">2000*B48</f>
        <v>2000</v>
      </c>
      <c r="E48" s="153" t="n">
        <f aca="false">500*B48</f>
        <v>500</v>
      </c>
      <c r="F48" s="25" t="n">
        <f aca="false">0</f>
        <v>0</v>
      </c>
      <c r="G48" s="16" t="n">
        <f aca="false">ROUNDUP((SUM(C48:E48))/25000)</f>
        <v>1</v>
      </c>
      <c r="H48" s="154" t="n">
        <f aca="false">SECOND((ROUNDDOWN(((($C48+$D48)/5000)*(2/(1+$T$25))*0.5^$T$23)*3600,0)/86400)/Production!$B$29)+100*MINUTE((ROUNDUP(((($C48+$D48)/5000)*(2/(1+$T$25))*0.5^$T$23)*3600,0)/86400)/Production!$B$29)+10000*HOUR((ROUNDUP(((($C48+$D48)/5000)*(2/(1+$T$25))*0.5^$T$23)*3600,0)/86400)/Production!$B$29)+1000000*ROUNDDOWN((ROUNDDOWN(((($C48+$D48)/5000)*(2/(1+$T$25))*0.5^$T$23)*3600,0)/86400)/Production!$B$29,0)</f>
        <v>53</v>
      </c>
      <c r="I48" s="111" t="n">
        <f aca="false">IF(750*(ROUNDUP((((((($C48+$D48) / 5000 ) * ( 2 / (1 +$T$25))) * 0.5^$T$23)/Production!$B$29)*60)/30))&lt;72000,750*(ROUNDUP((((((($C48+$D48) / 5000 ) * ( 2 / (1 +$T$25))) * 0.5^$T$23)/Production!$B$29)*60)/30)),72000)</f>
        <v>750</v>
      </c>
      <c r="J48" s="111" t="n">
        <f aca="false">I48*2</f>
        <v>1500</v>
      </c>
      <c r="K48" s="51"/>
      <c r="L48" s="51" t="s">
        <v>108</v>
      </c>
      <c r="M48" s="51" t="s">
        <v>226</v>
      </c>
      <c r="N48" s="51" t="s">
        <v>21</v>
      </c>
      <c r="O48" s="51" t="s">
        <v>23</v>
      </c>
      <c r="P48" s="51" t="s">
        <v>24</v>
      </c>
      <c r="Q48" s="46" t="s">
        <v>68</v>
      </c>
      <c r="R48" s="0"/>
    </row>
    <row r="49" customFormat="false" ht="8.2" hidden="false" customHeight="true" outlineLevel="0" collapsed="false">
      <c r="A49" s="152" t="s">
        <v>195</v>
      </c>
      <c r="B49" s="129" t="n">
        <v>1</v>
      </c>
      <c r="C49" s="153" t="n">
        <f aca="false">10000*B49</f>
        <v>10000</v>
      </c>
      <c r="D49" s="153" t="n">
        <f aca="false">20000*B49</f>
        <v>20000</v>
      </c>
      <c r="E49" s="153" t="n">
        <f aca="false">10000*B49</f>
        <v>10000</v>
      </c>
      <c r="F49" s="25" t="n">
        <f aca="false">2500*(1+2*Planètes!T25/10)</f>
        <v>2500</v>
      </c>
      <c r="G49" s="16" t="n">
        <f aca="false">ROUNDUP((SUM(C49:E49))/25000)</f>
        <v>2</v>
      </c>
      <c r="H49" s="154" t="n">
        <f aca="false">SECOND((ROUNDDOWN(((($C49+$D49)/5000)*(2/(1+$T$25))*0.5^$T$23)*3600,0)/86400)/Production!$B$29)+100*MINUTE((ROUNDUP(((($C49+$D49)/5000)*(2/(1+$T$25))*0.5^$T$23)*3600,0)/86400)/Production!$B$29)+10000*HOUR((ROUNDUP(((($C49+$D49)/5000)*(2/(1+$T$25))*0.5^$T$23)*3600,0)/86400)/Production!$B$29)+1000000*ROUNDDOWN((ROUNDDOWN(((($C49+$D49)/5000)*(2/(1+$T$25))*0.5^$T$23)*3600,0)/86400)/Production!$B$29,0)</f>
        <v>1320</v>
      </c>
      <c r="I49" s="111" t="n">
        <f aca="false">IF(750*(ROUNDUP((((((($C49+$D49) / 5000 ) * ( 2 / (1 +$T$25))) * 0.5^$T$23)/Production!$B$29)*60)/30))&lt;72000,750*(ROUNDUP((((((($C49+$D49) / 5000 ) * ( 2 / (1 +$T$25))) * 0.5^$T$23)/Production!$B$29)*60)/30)),72000)</f>
        <v>750</v>
      </c>
      <c r="J49" s="111" t="n">
        <f aca="false">I49*2</f>
        <v>1500</v>
      </c>
      <c r="K49" s="160" t="s">
        <v>41</v>
      </c>
      <c r="L49" s="129" t="n">
        <v>0</v>
      </c>
      <c r="M49" s="129" t="n">
        <v>1</v>
      </c>
      <c r="N49" s="153" t="n">
        <f aca="false">(1000*  - (1 - 2^$M49))-((1000*  - (1 - 2^$L49)))</f>
        <v>1000</v>
      </c>
      <c r="O49" s="153" t="n">
        <f aca="false">(0*  - (1 - 2^$M49))-(0*  - (1 - 2^$L49))</f>
        <v>0</v>
      </c>
      <c r="P49" s="153" t="n">
        <f aca="false">(0*  - (1 - 2^$M49))-(0*  - (1 - 2^$L49))</f>
        <v>0</v>
      </c>
      <c r="Q49" s="16" t="n">
        <f aca="false">ROUNDUP((SUM(N49:P49))/25000)</f>
        <v>1</v>
      </c>
      <c r="R49" s="0"/>
    </row>
    <row r="50" customFormat="false" ht="8.2" hidden="false" customHeight="true" outlineLevel="0" collapsed="false">
      <c r="A50" s="152" t="s">
        <v>196</v>
      </c>
      <c r="B50" s="129" t="n">
        <v>1</v>
      </c>
      <c r="C50" s="153" t="n">
        <v>0</v>
      </c>
      <c r="D50" s="153" t="n">
        <f aca="false">1000*B50</f>
        <v>1000</v>
      </c>
      <c r="E50" s="153" t="n">
        <v>0</v>
      </c>
      <c r="F50" s="25" t="n">
        <f aca="false">(100000000*(1+Planètes!T24/10))</f>
        <v>100000000</v>
      </c>
      <c r="G50" s="16" t="n">
        <f aca="false">ROUNDUP((SUM(C50:E50))/25000)</f>
        <v>1</v>
      </c>
      <c r="H50" s="154" t="n">
        <f aca="false">SECOND((ROUNDDOWN(((($C50+$D50)/5000)*(2/(1+$T$25))*0.5^$T$23)*3600,0)/86400)/Production!$B$29)+100*MINUTE((ROUNDUP(((($C50+$D50)/5000)*(2/(1+$T$25))*0.5^$T$23)*3600,0)/86400)/Production!$B$29)+10000*HOUR((ROUNDUP(((($C50+$D50)/5000)*(2/(1+$T$25))*0.5^$T$23)*3600,0)/86400)/Production!$B$29)+1000000*ROUNDDOWN((ROUNDDOWN(((($C50+$D50)/5000)*(2/(1+$T$25))*0.5^$T$23)*3600,0)/86400)/Production!$B$29,0)</f>
        <v>27</v>
      </c>
      <c r="I50" s="111" t="n">
        <f aca="false">IF(750*(ROUNDUP((((((($C50+$D50) / 5000 ) * ( 2 / (1 +$T$25))) * 0.5^$T$23)/Production!$B$29)*60)/30))&lt;72000,750*(ROUNDUP((((((($C50+$D50) / 5000 ) * ( 2 / (1 +$T$25))) * 0.5^$T$23)/Production!$B$29)*60)/30)),72000)</f>
        <v>750</v>
      </c>
      <c r="J50" s="111" t="n">
        <f aca="false">I50*2</f>
        <v>1500</v>
      </c>
      <c r="K50" s="160" t="s">
        <v>43</v>
      </c>
      <c r="L50" s="129" t="n">
        <v>0</v>
      </c>
      <c r="M50" s="129" t="n">
        <v>1</v>
      </c>
      <c r="N50" s="153" t="n">
        <f aca="false">(1000*  - (1 - 2^$M50))-((1000*  - (1 - 2^$L50)))</f>
        <v>1000</v>
      </c>
      <c r="O50" s="153" t="n">
        <f aca="false">(500*  - (1 - 2^$M50))-(500*  - (1 - 2^$L50))</f>
        <v>500</v>
      </c>
      <c r="P50" s="153" t="n">
        <f aca="false">(0*  - (1 - 2^$M50))-(0*  - (1 - 2^$L50))</f>
        <v>0</v>
      </c>
      <c r="Q50" s="16" t="n">
        <f aca="false">ROUNDUP((SUM(N50:P50))/25000)</f>
        <v>1</v>
      </c>
      <c r="R50" s="0"/>
    </row>
    <row r="51" customFormat="false" ht="8.2" hidden="false" customHeight="true" outlineLevel="0" collapsed="false">
      <c r="A51" s="33" t="s">
        <v>237</v>
      </c>
      <c r="B51" s="33"/>
      <c r="C51" s="33"/>
      <c r="D51" s="33"/>
      <c r="E51" s="33"/>
      <c r="F51" s="33"/>
      <c r="G51" s="33"/>
      <c r="H51" s="33"/>
      <c r="I51" s="33" t="s">
        <v>214</v>
      </c>
      <c r="J51" s="33"/>
      <c r="K51" s="160" t="s">
        <v>45</v>
      </c>
      <c r="L51" s="129" t="n">
        <v>0</v>
      </c>
      <c r="M51" s="129" t="n">
        <v>1</v>
      </c>
      <c r="N51" s="153" t="n">
        <f aca="false">(1000*  - (1 - 2^$M51))-((1000*  - (1 - 2^$L51)))</f>
        <v>1000</v>
      </c>
      <c r="O51" s="153" t="n">
        <f aca="false">(1000*  - (1 - 2^$M51))-(1000*  - (1 - 2^$L51))</f>
        <v>1000</v>
      </c>
      <c r="P51" s="153" t="n">
        <f aca="false">(0*  - (1 - 2^$M51))-(0*  - (1 - 2^$L51))</f>
        <v>0</v>
      </c>
      <c r="Q51" s="16" t="n">
        <f aca="false">ROUNDUP((SUM(N51:P51))/25000)</f>
        <v>1</v>
      </c>
      <c r="R51" s="0"/>
    </row>
    <row r="52" customFormat="false" ht="8.2" hidden="false" customHeight="true" outlineLevel="0" collapsed="false">
      <c r="A52" s="51"/>
      <c r="B52" s="51" t="s">
        <v>232</v>
      </c>
      <c r="C52" s="51" t="s">
        <v>21</v>
      </c>
      <c r="D52" s="51" t="s">
        <v>23</v>
      </c>
      <c r="E52" s="51" t="s">
        <v>24</v>
      </c>
      <c r="F52" s="46" t="s">
        <v>68</v>
      </c>
      <c r="G52" s="46"/>
      <c r="H52" s="46" t="s">
        <v>217</v>
      </c>
      <c r="I52" s="151" t="n">
        <v>-0.5</v>
      </c>
      <c r="J52" s="46" t="s">
        <v>218</v>
      </c>
      <c r="K52" s="160" t="s">
        <v>51</v>
      </c>
      <c r="L52" s="129" t="n">
        <v>0</v>
      </c>
      <c r="M52" s="129" t="n">
        <v>1</v>
      </c>
      <c r="N52" s="153" t="n">
        <f aca="false">(400*  - (1 - 2^$M52))-((400*  - (1 - 2^$L52)))</f>
        <v>400</v>
      </c>
      <c r="O52" s="153" t="n">
        <f aca="false">(200*  - (1 - 2^$M52))-(200*  - (1 - 2^$L52))</f>
        <v>200</v>
      </c>
      <c r="P52" s="153" t="n">
        <f aca="false">(100*  - (1 - 2^$M52))-(100*  - (1 - 2^$L52))</f>
        <v>100</v>
      </c>
      <c r="Q52" s="16" t="n">
        <f aca="false">ROUNDUP((SUM(N52:P52))/25000)</f>
        <v>1</v>
      </c>
      <c r="R52" s="0"/>
    </row>
    <row r="53" customFormat="false" ht="8.2" hidden="false" customHeight="true" outlineLevel="0" collapsed="false">
      <c r="A53" s="152" t="s">
        <v>85</v>
      </c>
      <c r="B53" s="129" t="n">
        <v>1</v>
      </c>
      <c r="C53" s="153" t="n">
        <f aca="false">2000*B53</f>
        <v>2000</v>
      </c>
      <c r="D53" s="153" t="n">
        <f aca="false">0*B53</f>
        <v>0</v>
      </c>
      <c r="E53" s="153" t="n">
        <f aca="false">0*B53</f>
        <v>0</v>
      </c>
      <c r="F53" s="16" t="n">
        <f aca="false">ROUNDUP((SUM(C53:E53))/25000)</f>
        <v>1</v>
      </c>
      <c r="G53" s="16"/>
      <c r="H53" s="154" t="n">
        <f aca="false">SECOND((ROUNDDOWN(((($C53+$D53)/5000)*(2/(1+$T$25))*0.5^$T$23)*3600,0)/86400)/Production!$B$29)+100*MINUTE((ROUNDUP(((($C53+$D53)/5000)*(2/(1+$T$25))*0.5^$T$23)*3600,0)/86400)/Production!$B$29)+10000*HOUR((ROUNDUP(((($C53+$D53)/5000)*(2/(1+$T$25))*0.5^$T$23)*3600,0)/86400)/Production!$B$29)+1000000*ROUNDDOWN((ROUNDDOWN(((($C53+$D53)/5000)*(2/(1+$T$25))*0.5^$T$23)*3600,0)/86400)/Production!$B$29,0)</f>
        <v>53</v>
      </c>
      <c r="I53" s="111" t="n">
        <f aca="false">IF(750*(ROUNDUP((((((($C53+$D53) / 5000 ) * ( 2 / (1 +$T$25))) * 0.5^$T$23)/Production!$B$29)*60)/30))&lt;72000,750*(ROUNDUP((((((($C53+$D53) / 5000 ) * ( 2 / (1 +$T$25))) * 0.5^$T$23)/Production!$B$29)*60)/30)),72000)</f>
        <v>750</v>
      </c>
      <c r="J53" s="111" t="n">
        <f aca="false">I53*2</f>
        <v>1500</v>
      </c>
      <c r="K53" s="160" t="s">
        <v>227</v>
      </c>
      <c r="L53" s="129" t="n">
        <v>0</v>
      </c>
      <c r="M53" s="129" t="n">
        <v>1</v>
      </c>
      <c r="N53" s="153" t="n">
        <f aca="false">(200*  - (1 - 2^$M53))-((200*  - (1 - 2^$L53)))</f>
        <v>200</v>
      </c>
      <c r="O53" s="153" t="n">
        <f aca="false">(120*  - (1 - 2^$M53))-(120*  - (1 - 2^$L53))</f>
        <v>120</v>
      </c>
      <c r="P53" s="153" t="n">
        <f aca="false">(200*  - (1 - 2^$M53))-(200*  - (1 - 2^$L53))</f>
        <v>200</v>
      </c>
      <c r="Q53" s="16" t="n">
        <f aca="false">ROUNDUP((SUM(N53:P53))/25000)</f>
        <v>1</v>
      </c>
      <c r="R53" s="0"/>
    </row>
    <row r="54" customFormat="false" ht="8.2" hidden="false" customHeight="true" outlineLevel="0" collapsed="false">
      <c r="A54" s="152" t="s">
        <v>199</v>
      </c>
      <c r="B54" s="129" t="n">
        <v>1</v>
      </c>
      <c r="C54" s="153" t="n">
        <f aca="false">1500*B54</f>
        <v>1500</v>
      </c>
      <c r="D54" s="153" t="n">
        <f aca="false">500*B54</f>
        <v>500</v>
      </c>
      <c r="E54" s="153" t="n">
        <f aca="false">0*B54</f>
        <v>0</v>
      </c>
      <c r="F54" s="16" t="n">
        <f aca="false">ROUNDUP((SUM(C54:E54))/25000)</f>
        <v>1</v>
      </c>
      <c r="G54" s="16"/>
      <c r="H54" s="154" t="n">
        <f aca="false">SECOND((ROUNDDOWN(((($C54+$D54)/5000)*(2/(1+$T$25))*0.5^$T$23)*3600,0)/86400)/Production!$B$29)+100*MINUTE((ROUNDUP(((($C54+$D54)/5000)*(2/(1+$T$25))*0.5^$T$23)*3600,0)/86400)/Production!$B$29)+10000*HOUR((ROUNDUP(((($C54+$D54)/5000)*(2/(1+$T$25))*0.5^$T$23)*3600,0)/86400)/Production!$B$29)+1000000*ROUNDDOWN((ROUNDDOWN(((($C54+$D54)/5000)*(2/(1+$T$25))*0.5^$T$23)*3600,0)/86400)/Production!$B$29,0)</f>
        <v>53</v>
      </c>
      <c r="I54" s="111" t="n">
        <f aca="false">IF(750*(ROUNDUP((((((($C54+$D54) / 5000 ) * ( 2 / (1 +$T$25))) * 0.5^$T$23)/Production!$B$29)*60)/30))&lt;72000,750*(ROUNDUP((((((($C54+$D54) / 5000 ) * ( 2 / (1 +$T$25))) * 0.5^$T$23)/Production!$B$29)*60)/30)),72000)</f>
        <v>750</v>
      </c>
      <c r="J54" s="111" t="n">
        <f aca="false">I54*2</f>
        <v>1500</v>
      </c>
      <c r="K54" s="160" t="s">
        <v>98</v>
      </c>
      <c r="L54" s="129" t="n">
        <v>0</v>
      </c>
      <c r="M54" s="129" t="n">
        <v>1</v>
      </c>
      <c r="N54" s="153" t="n">
        <f aca="false">(20000*  - (1 - 2^$M54))-((20000*  - (1 - 2^$L54)))</f>
        <v>20000</v>
      </c>
      <c r="O54" s="153" t="n">
        <f aca="false">(40000*  - (1 - 2^$M54))-(40000*  - (1 - 2^$L54))</f>
        <v>40000</v>
      </c>
      <c r="P54" s="153" t="n">
        <f aca="false">(20000*  - (1 - 2^$M54))-(20000*  - (1 - 2^$L54))</f>
        <v>20000</v>
      </c>
      <c r="Q54" s="16" t="n">
        <f aca="false">ROUNDUP((SUM(N54:P54))/25000)</f>
        <v>4</v>
      </c>
      <c r="R54" s="0"/>
    </row>
    <row r="55" customFormat="false" ht="8.2" hidden="false" customHeight="true" outlineLevel="0" collapsed="false">
      <c r="A55" s="152" t="s">
        <v>200</v>
      </c>
      <c r="B55" s="129" t="n">
        <v>1</v>
      </c>
      <c r="C55" s="153" t="n">
        <f aca="false">6000*B55</f>
        <v>6000</v>
      </c>
      <c r="D55" s="153" t="n">
        <f aca="false">2000*B55</f>
        <v>2000</v>
      </c>
      <c r="E55" s="153" t="n">
        <f aca="false">0*B55</f>
        <v>0</v>
      </c>
      <c r="F55" s="16" t="n">
        <f aca="false">ROUNDUP((SUM(C55:E55))/25000)</f>
        <v>1</v>
      </c>
      <c r="G55" s="16"/>
      <c r="H55" s="154" t="n">
        <f aca="false">SECOND((ROUNDDOWN(((($C55+$D55)/5000)*(2/(1+$T$25))*0.5^$T$23)*3600,0)/86400)/Production!$B$29)+100*MINUTE((ROUNDUP(((($C55+$D55)/5000)*(2/(1+$T$25))*0.5^$T$23)*3600,0)/86400)/Production!$B$29)+10000*HOUR((ROUNDUP(((($C55+$D55)/5000)*(2/(1+$T$25))*0.5^$T$23)*3600,0)/86400)/Production!$B$29)+1000000*ROUNDDOWN((ROUNDDOWN(((($C55+$D55)/5000)*(2/(1+$T$25))*0.5^$T$23)*3600,0)/86400)/Production!$B$29,0)</f>
        <v>333</v>
      </c>
      <c r="I55" s="111" t="n">
        <f aca="false">IF(750*(ROUNDUP((((((($C55+$D55) / 5000 ) * ( 2 / (1 +$T$25))) * 0.5^$T$23)/Production!$B$29)*60)/30))&lt;72000,750*(ROUNDUP((((((($C55+$D55) / 5000 ) * ( 2 / (1 +$T$25))) * 0.5^$T$23)/Production!$B$29)*60)/30)),72000)</f>
        <v>750</v>
      </c>
      <c r="J55" s="111" t="n">
        <f aca="false">I55*2</f>
        <v>1500</v>
      </c>
      <c r="K55" s="160" t="s">
        <v>99</v>
      </c>
      <c r="L55" s="129" t="n">
        <v>0</v>
      </c>
      <c r="M55" s="129" t="n">
        <v>1</v>
      </c>
      <c r="N55" s="153" t="n">
        <f aca="false">(20000*  - (1 - 2^$M55))-((20000*  - (1 - 2^$L55)))</f>
        <v>20000</v>
      </c>
      <c r="O55" s="153" t="n">
        <f aca="false">(40000*  - (1 - 2^$M55))-(40000*  - (1 - 2^$L55))</f>
        <v>40000</v>
      </c>
      <c r="P55" s="153" t="n">
        <f aca="false">(20000*  - (1 - 2^$M55))-(20000*  - (1 - 2^$L55))</f>
        <v>20000</v>
      </c>
      <c r="Q55" s="16" t="n">
        <f aca="false">ROUNDUP((SUM(N55:P55))/25000)</f>
        <v>4</v>
      </c>
      <c r="R55" s="0"/>
    </row>
    <row r="56" customFormat="false" ht="8.2" hidden="false" customHeight="true" outlineLevel="0" collapsed="false">
      <c r="A56" s="152" t="s">
        <v>201</v>
      </c>
      <c r="B56" s="129" t="n">
        <v>1</v>
      </c>
      <c r="C56" s="153" t="n">
        <f aca="false">20000*B56</f>
        <v>20000</v>
      </c>
      <c r="D56" s="153" t="n">
        <f aca="false">15000*B56</f>
        <v>15000</v>
      </c>
      <c r="E56" s="153" t="n">
        <f aca="false">2000*B56</f>
        <v>2000</v>
      </c>
      <c r="F56" s="16" t="n">
        <f aca="false">ROUNDUP((SUM(C56:E56))/25000)</f>
        <v>2</v>
      </c>
      <c r="G56" s="16"/>
      <c r="H56" s="154" t="n">
        <f aca="false">SECOND((ROUNDDOWN(((($C56+$D56)/5000)*(2/(1+$T$25))*0.5^$T$23)*3600,0)/86400)/Production!$B$29)+100*MINUTE((ROUNDUP(((($C56+$D56)/5000)*(2/(1+$T$25))*0.5^$T$23)*3600,0)/86400)/Production!$B$29)+10000*HOUR((ROUNDUP(((($C56+$D56)/5000)*(2/(1+$T$25))*0.5^$T$23)*3600,0)/86400)/Production!$B$29)+1000000*ROUNDDOWN((ROUNDDOWN(((($C56+$D56)/5000)*(2/(1+$T$25))*0.5^$T$23)*3600,0)/86400)/Production!$B$29,0)</f>
        <v>1533</v>
      </c>
      <c r="I56" s="111" t="n">
        <f aca="false">IF(750*(ROUNDUP((((((($C56+$D56) / 5000 ) * ( 2 / (1 +$T$25))) * 0.5^$T$23)/Production!$B$29)*60)/30))&lt;72000,750*(ROUNDUP((((((($C56+$D56) / 5000 ) * ( 2 / (1 +$T$25))) * 0.5^$T$23)/Production!$B$29)*60)/30)),72000)</f>
        <v>750</v>
      </c>
      <c r="J56" s="111" t="n">
        <f aca="false">I56*2</f>
        <v>1500</v>
      </c>
      <c r="K56" s="160" t="s">
        <v>100</v>
      </c>
      <c r="L56" s="129" t="n">
        <v>0</v>
      </c>
      <c r="M56" s="129" t="n">
        <v>1</v>
      </c>
      <c r="N56" s="153" t="n">
        <f aca="false">(2000000*  - (1 - 2^$M56))-((2000000*  - (1 - 2^$L56)))</f>
        <v>2000000</v>
      </c>
      <c r="O56" s="153" t="n">
        <f aca="false">(4000000*  - (1 - 2^$M56))-(4000000*  - (1 - 2^$L56))</f>
        <v>4000000</v>
      </c>
      <c r="P56" s="153" t="n">
        <f aca="false">(2000000*  - (1 - 2^$M56))-(2000000*  - (1 - 2^$L56))</f>
        <v>2000000</v>
      </c>
      <c r="Q56" s="16" t="n">
        <f aca="false">ROUNDUP((SUM(N56:P56))/25000)</f>
        <v>320</v>
      </c>
      <c r="R56" s="0"/>
    </row>
    <row r="57" customFormat="false" ht="8.2" hidden="false" customHeight="true" outlineLevel="0" collapsed="false">
      <c r="A57" s="152" t="s">
        <v>25</v>
      </c>
      <c r="B57" s="129" t="n">
        <v>1</v>
      </c>
      <c r="C57" s="153" t="n">
        <f aca="false">2000*B57</f>
        <v>2000</v>
      </c>
      <c r="D57" s="153" t="n">
        <f aca="false">6000*B57</f>
        <v>6000</v>
      </c>
      <c r="E57" s="153" t="n">
        <f aca="false">0*B57</f>
        <v>0</v>
      </c>
      <c r="F57" s="16" t="n">
        <f aca="false">ROUNDUP((SUM(C57:E57))/25000)</f>
        <v>1</v>
      </c>
      <c r="G57" s="16"/>
      <c r="H57" s="154" t="n">
        <f aca="false">SECOND((ROUNDDOWN(((($C57+$D57)/5000)*(2/(1+$T$25))*0.5^$T$23)*3600,0)/86400)/Production!$B$29)+100*MINUTE((ROUNDUP(((($C57+$D57)/5000)*(2/(1+$T$25))*0.5^$T$23)*3600,0)/86400)/Production!$B$29)+10000*HOUR((ROUNDUP(((($C57+$D57)/5000)*(2/(1+$T$25))*0.5^$T$23)*3600,0)/86400)/Production!$B$29)+1000000*ROUNDDOWN((ROUNDDOWN(((($C57+$D57)/5000)*(2/(1+$T$25))*0.5^$T$23)*3600,0)/86400)/Production!$B$29,0)</f>
        <v>333</v>
      </c>
      <c r="I57" s="111" t="n">
        <f aca="false">IF(750*(ROUNDUP((((((($C57+$D57) / 5000 ) * ( 2 / (1 +$T$25))) * 0.5^$T$23)/Production!$B$29)*60)/30))&lt;72000,750*(ROUNDUP((((((($C57+$D57) / 5000 ) * ( 2 / (1 +$T$25))) * 0.5^$T$23)/Production!$B$29)*60)/30)),72000)</f>
        <v>750</v>
      </c>
      <c r="J57" s="111" t="n">
        <f aca="false">I57*2</f>
        <v>1500</v>
      </c>
      <c r="Q57" s="0"/>
      <c r="R57" s="0"/>
    </row>
    <row r="58" customFormat="false" ht="8.2" hidden="false" customHeight="true" outlineLevel="0" collapsed="false">
      <c r="A58" s="152" t="s">
        <v>27</v>
      </c>
      <c r="B58" s="129" t="n">
        <v>1</v>
      </c>
      <c r="C58" s="153" t="n">
        <f aca="false">50000*B58</f>
        <v>50000</v>
      </c>
      <c r="D58" s="153" t="n">
        <f aca="false">50000*B58</f>
        <v>50000</v>
      </c>
      <c r="E58" s="153" t="n">
        <f aca="false">30000*B58</f>
        <v>30000</v>
      </c>
      <c r="F58" s="16" t="n">
        <f aca="false">ROUNDUP((SUM(C58:E58))/25000)</f>
        <v>6</v>
      </c>
      <c r="G58" s="16"/>
      <c r="H58" s="154" t="n">
        <f aca="false">SECOND((ROUNDDOWN(((($C58+$D58)/5000)*(2/(1+$T$25))*0.5^$T$23)*3600,0)/86400)/Production!$B$29)+100*MINUTE((ROUNDUP(((($C58+$D58)/5000)*(2/(1+$T$25))*0.5^$T$23)*3600,0)/86400)/Production!$B$29)+10000*HOUR((ROUNDUP(((($C58+$D58)/5000)*(2/(1+$T$25))*0.5^$T$23)*3600,0)/86400)/Production!$B$29)+1000000*ROUNDDOWN((ROUNDDOWN(((($C58+$D58)/5000)*(2/(1+$T$25))*0.5^$T$23)*3600,0)/86400)/Production!$B$29,0)</f>
        <v>4427</v>
      </c>
      <c r="I58" s="111" t="n">
        <f aca="false">IF(750*(ROUNDUP((((((($C58+$D58) / 5000 ) * ( 2 / (1 +$T$25))) * 0.5^$T$23)/Production!$B$29)*60)/30))&lt;72000,750*(ROUNDUP((((((($C58+$D58) / 5000 ) * ( 2 / (1 +$T$25))) * 0.5^$T$23)/Production!$B$29)*60)/30)),72000)</f>
        <v>1500</v>
      </c>
      <c r="J58" s="111" t="n">
        <f aca="false">I58*2</f>
        <v>3000</v>
      </c>
      <c r="Q58" s="0"/>
      <c r="R58" s="0"/>
    </row>
    <row r="59" customFormat="false" ht="8.2" hidden="false" customHeight="true" outlineLevel="0" collapsed="false">
      <c r="A59" s="152" t="s">
        <v>89</v>
      </c>
      <c r="B59" s="129" t="n">
        <v>1</v>
      </c>
      <c r="C59" s="153" t="n">
        <f aca="false">10000*B59</f>
        <v>10000</v>
      </c>
      <c r="D59" s="153" t="n">
        <f aca="false">10000*B59</f>
        <v>10000</v>
      </c>
      <c r="E59" s="153" t="n">
        <f aca="false">0*B59</f>
        <v>0</v>
      </c>
      <c r="F59" s="16" t="n">
        <f aca="false">ROUNDUP((SUM(C59:E59))/25000)</f>
        <v>1</v>
      </c>
      <c r="G59" s="16"/>
      <c r="H59" s="154" t="n">
        <f aca="false">SECOND((ROUNDDOWN(((($C59+$D59)/5000)*(2/(1+$T$25))*0.5^$T$23)*3600,0)/86400)/Production!$B$29)+100*MINUTE((ROUNDUP(((($C59+$D59)/5000)*(2/(1+$T$25))*0.5^$T$23)*3600,0)/86400)/Production!$B$29)+10000*HOUR((ROUNDUP(((($C59+$D59)/5000)*(2/(1+$T$25))*0.5^$T$23)*3600,0)/86400)/Production!$B$29)+1000000*ROUNDDOWN((ROUNDDOWN(((($C59+$D59)/5000)*(2/(1+$T$25))*0.5^$T$23)*3600,0)/86400)/Production!$B$29,0)</f>
        <v>853</v>
      </c>
      <c r="I59" s="111" t="n">
        <f aca="false">IF(750*(ROUNDUP((((((($C59+$D59) / 5000 ) * ( 2 / (1 +$T$25))) * 0.5^$T$23)/Production!$B$29)*60)/30))&lt;72000,750*(ROUNDUP((((((($C59+$D59) / 5000 ) * ( 2 / (1 +$T$25))) * 0.5^$T$23)/Production!$B$29)*60)/30)),72000)</f>
        <v>750</v>
      </c>
      <c r="J59" s="111" t="n">
        <f aca="false">I59*2</f>
        <v>1500</v>
      </c>
    </row>
    <row r="60" customFormat="false" ht="8.2" hidden="false" customHeight="true" outlineLevel="0" collapsed="false">
      <c r="A60" s="152" t="s">
        <v>90</v>
      </c>
      <c r="B60" s="129" t="n">
        <v>1</v>
      </c>
      <c r="C60" s="153" t="n">
        <f aca="false">50000*B60</f>
        <v>50000</v>
      </c>
      <c r="D60" s="153" t="n">
        <f aca="false">50000*B60</f>
        <v>50000</v>
      </c>
      <c r="E60" s="153" t="n">
        <f aca="false">0*B60</f>
        <v>0</v>
      </c>
      <c r="F60" s="16" t="n">
        <f aca="false">ROUNDUP((SUM(C60:E60))/25000)</f>
        <v>4</v>
      </c>
      <c r="G60" s="16"/>
      <c r="H60" s="154" t="n">
        <f aca="false">SECOND((ROUNDDOWN(((($C60+$D60)/5000)*(2/(1+$T$25))*0.5^$T$23)*3600,0)/86400)/Production!$B$29)+100*MINUTE((ROUNDUP(((($C60+$D60)/5000)*(2/(1+$T$25))*0.5^$T$23)*3600,0)/86400)/Production!$B$29)+10000*HOUR((ROUNDUP(((($C60+$D60)/5000)*(2/(1+$T$25))*0.5^$T$23)*3600,0)/86400)/Production!$B$29)+1000000*ROUNDDOWN((ROUNDDOWN(((($C60+$D60)/5000)*(2/(1+$T$25))*0.5^$T$23)*3600,0)/86400)/Production!$B$29,0)</f>
        <v>4427</v>
      </c>
      <c r="I60" s="111" t="n">
        <f aca="false">IF(750*(ROUNDUP((((((($C60+$D60) / 5000 ) * ( 2 / (1 +$T$25))) * 0.5^$T$23)/Production!$B$29)*60)/30))&lt;72000,750*(ROUNDUP((((((($C60+$D60) / 5000 ) * ( 2 / (1 +$T$25))) * 0.5^$T$23)/Production!$B$29)*60)/30)),72000)</f>
        <v>1500</v>
      </c>
      <c r="J60" s="111" t="n">
        <f aca="false">I60*2</f>
        <v>3000</v>
      </c>
    </row>
    <row r="61" customFormat="false" ht="8.2" hidden="false" customHeight="true" outlineLevel="0" collapsed="false">
      <c r="A61" s="152" t="s">
        <v>91</v>
      </c>
      <c r="B61" s="129" t="n">
        <v>1</v>
      </c>
      <c r="C61" s="153" t="n">
        <f aca="false">8000*B61</f>
        <v>8000</v>
      </c>
      <c r="D61" s="153" t="n">
        <f aca="false">0*B61</f>
        <v>0</v>
      </c>
      <c r="E61" s="153" t="n">
        <f aca="false">2000*B61</f>
        <v>2000</v>
      </c>
      <c r="F61" s="16" t="n">
        <f aca="false">ROUNDUP((SUM(C61:E61))/25000)</f>
        <v>1</v>
      </c>
      <c r="G61" s="16"/>
      <c r="H61" s="154" t="n">
        <f aca="false">SECOND((ROUNDDOWN(((($C61+$D61)/5000)*(2/(1+$T$25))*0.5^$T$23)*3600,0)/86400)/Production!$B$29)+100*MINUTE((ROUNDUP(((($C61+$D61)/5000)*(2/(1+$T$25))*0.5^$T$23)*3600,0)/86400)/Production!$B$29)+10000*HOUR((ROUNDUP(((($C61+$D61)/5000)*(2/(1+$T$25))*0.5^$T$23)*3600,0)/86400)/Production!$B$29)+1000000*ROUNDDOWN((ROUNDDOWN(((($C61+$D61)/5000)*(2/(1+$T$25))*0.5^$T$23)*3600,0)/86400)/Production!$B$29,0)</f>
        <v>333</v>
      </c>
      <c r="I61" s="111" t="n">
        <f aca="false">IF(750*(ROUNDUP((((((($C61+$D61) / 5000 ) * ( 2 / (1 +$T$25))) * 0.5^$T$23)/Production!$B$29)*60)/30))&lt;72000,750*(ROUNDUP((((((($C61+$D61) / 5000 ) * ( 2 / (1 +$T$25))) * 0.5^$T$23)/Production!$B$29)*60)/30)),72000)</f>
        <v>750</v>
      </c>
      <c r="J61" s="111" t="n">
        <f aca="false">I61*2</f>
        <v>1500</v>
      </c>
    </row>
    <row r="62" customFormat="false" ht="8.2" hidden="false" customHeight="true" outlineLevel="0" collapsed="false">
      <c r="A62" s="152" t="s">
        <v>92</v>
      </c>
      <c r="B62" s="129" t="n">
        <v>1</v>
      </c>
      <c r="C62" s="153" t="n">
        <f aca="false">12500*B62</f>
        <v>12500</v>
      </c>
      <c r="D62" s="153" t="n">
        <f aca="false">2500*B62</f>
        <v>2500</v>
      </c>
      <c r="E62" s="153" t="n">
        <f aca="false">10000*B62</f>
        <v>10000</v>
      </c>
      <c r="F62" s="16" t="n">
        <f aca="false">ROUNDUP((SUM(C62:E62))/25000)</f>
        <v>1</v>
      </c>
      <c r="G62" s="16"/>
      <c r="H62" s="154" t="n">
        <f aca="false">SECOND((ROUNDDOWN(((($C62+$D62)/5000)*(2/(1+$T$25))*0.5^$T$23)*3600,0)/86400)/Production!$B$29)+100*MINUTE((ROUNDUP(((($C62+$D62)/5000)*(2/(1+$T$25))*0.5^$T$23)*3600,0)/86400)/Production!$B$29)+10000*HOUR((ROUNDUP(((($C62+$D62)/5000)*(2/(1+$T$25))*0.5^$T$23)*3600,0)/86400)/Production!$B$29)+1000000*ROUNDDOWN((ROUNDDOWN(((($C62+$D62)/5000)*(2/(1+$T$25))*0.5^$T$23)*3600,0)/86400)/Production!$B$29,0)</f>
        <v>640</v>
      </c>
      <c r="I62" s="111" t="n">
        <f aca="false">IF(750*(ROUNDUP((((((($C62+$D62) / 5000 ) * ( 2 / (1 +$T$25))) * 0.5^$T$23)/Production!$B$29)*60)/30))&lt;72000,750*(ROUNDUP((((((($C62+$D62) / 5000 ) * ( 2 / (1 +$T$25))) * 0.5^$T$23)/Production!$B$29)*60)/30)),72000)</f>
        <v>750</v>
      </c>
      <c r="J62" s="111" t="n">
        <f aca="false">I62*2</f>
        <v>1500</v>
      </c>
    </row>
  </sheetData>
  <mergeCells count="56">
    <mergeCell ref="A1:H1"/>
    <mergeCell ref="I1:J1"/>
    <mergeCell ref="K1:R1"/>
    <mergeCell ref="S1:Z1"/>
    <mergeCell ref="S17:U17"/>
    <mergeCell ref="A18:H18"/>
    <mergeCell ref="I18:J18"/>
    <mergeCell ref="K18:M18"/>
    <mergeCell ref="F19:G19"/>
    <mergeCell ref="K19:R19"/>
    <mergeCell ref="F20:G20"/>
    <mergeCell ref="F21:G21"/>
    <mergeCell ref="S21:S22"/>
    <mergeCell ref="T21:T22"/>
    <mergeCell ref="F22:G22"/>
    <mergeCell ref="F23:G23"/>
    <mergeCell ref="S23:S24"/>
    <mergeCell ref="T23:T24"/>
    <mergeCell ref="F24:G24"/>
    <mergeCell ref="F25:G25"/>
    <mergeCell ref="S25:S26"/>
    <mergeCell ref="T25:T26"/>
    <mergeCell ref="F26:G26"/>
    <mergeCell ref="F27:G27"/>
    <mergeCell ref="S27:S28"/>
    <mergeCell ref="T27:T28"/>
    <mergeCell ref="F28:G28"/>
    <mergeCell ref="F29:G29"/>
    <mergeCell ref="S29:S30"/>
    <mergeCell ref="T29:T30"/>
    <mergeCell ref="F30:G30"/>
    <mergeCell ref="F31:G31"/>
    <mergeCell ref="S31:S32"/>
    <mergeCell ref="T31:T32"/>
    <mergeCell ref="F32:G32"/>
    <mergeCell ref="F33:G33"/>
    <mergeCell ref="F34:G34"/>
    <mergeCell ref="A35:H35"/>
    <mergeCell ref="I35:J35"/>
    <mergeCell ref="K36:M36"/>
    <mergeCell ref="K37:Q37"/>
    <mergeCell ref="R37:S37"/>
    <mergeCell ref="K47:P47"/>
    <mergeCell ref="A51:H51"/>
    <mergeCell ref="I51:J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1.35"/>
  <cols>
    <col collapsed="false" hidden="false" max="1" min="1" style="161" width="6.93877551020408"/>
    <col collapsed="false" hidden="false" max="2" min="2" style="161" width="6.11224489795918"/>
    <col collapsed="false" hidden="false" max="3" min="3" style="161" width="2.49489795918367"/>
    <col collapsed="false" hidden="false" max="4" min="4" style="161" width="8.75"/>
    <col collapsed="false" hidden="false" max="5" min="5" style="161" width="10.2755102040816"/>
    <col collapsed="false" hidden="false" max="6" min="6" style="161" width="9.58673469387755"/>
    <col collapsed="false" hidden="false" max="7" min="7" style="161" width="6.38775510204082"/>
    <col collapsed="false" hidden="false" max="8" min="8" style="161" width="2.5"/>
    <col collapsed="false" hidden="false" max="9" min="9" style="161" width="8.75"/>
    <col collapsed="false" hidden="false" max="10" min="10" style="161" width="10.4132653061225"/>
    <col collapsed="false" hidden="false" max="11" min="11" style="161" width="9.86224489795918"/>
    <col collapsed="false" hidden="false" max="12" min="12" style="161" width="6.11224489795918"/>
    <col collapsed="false" hidden="false" max="13" min="13" style="161" width="2.5"/>
    <col collapsed="false" hidden="false" max="14" min="14" style="161" width="9.02551020408163"/>
    <col collapsed="false" hidden="false" max="15" min="15" style="161" width="10.2755102040816"/>
    <col collapsed="false" hidden="false" max="16" min="16" style="161" width="9.58673469387755"/>
    <col collapsed="false" hidden="false" max="17" min="17" style="161" width="6.66836734693878"/>
    <col collapsed="false" hidden="false" max="18" min="18" style="161" width="2.5"/>
    <col collapsed="false" hidden="false" max="19" min="19" style="161" width="9.58673469387755"/>
    <col collapsed="false" hidden="false" max="20" min="20" style="161" width="9.02551020408163"/>
    <col collapsed="false" hidden="false" max="21" min="21" style="161" width="8.46938775510204"/>
    <col collapsed="false" hidden="false" max="22" min="22" style="161" width="4.16836734693878"/>
    <col collapsed="false" hidden="false" max="23" min="23" style="161" width="6.52551020408163"/>
    <col collapsed="false" hidden="false" max="24" min="24" style="161" width="9.71938775510204"/>
    <col collapsed="false" hidden="false" max="1022" min="25" style="161" width="11.5204081632653"/>
    <col collapsed="false" hidden="false" max="1025" min="1023" style="0" width="11.5204081632653"/>
  </cols>
  <sheetData>
    <row r="1" customFormat="false" ht="11.35" hidden="false" customHeight="true" outlineLevel="0" collapsed="false">
      <c r="A1" s="162" t="s">
        <v>238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0"/>
      <c r="Z1" s="0"/>
    </row>
    <row r="2" customFormat="false" ht="11.35" hidden="false" customHeight="true" outlineLevel="0" collapsed="false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0"/>
      <c r="Z2" s="0"/>
    </row>
    <row r="3" customFormat="false" ht="11.35" hidden="false" customHeight="true" outlineLevel="0" collapsed="false">
      <c r="A3" s="163"/>
      <c r="B3" s="164" t="s">
        <v>104</v>
      </c>
      <c r="C3" s="164"/>
      <c r="D3" s="164"/>
      <c r="E3" s="165" t="s">
        <v>239</v>
      </c>
      <c r="F3" s="165"/>
      <c r="G3" s="166" t="s">
        <v>105</v>
      </c>
      <c r="H3" s="166"/>
      <c r="I3" s="166"/>
      <c r="J3" s="165" t="s">
        <v>239</v>
      </c>
      <c r="K3" s="165"/>
      <c r="L3" s="167" t="s">
        <v>106</v>
      </c>
      <c r="M3" s="167"/>
      <c r="N3" s="167" t="s">
        <v>24</v>
      </c>
      <c r="O3" s="165" t="s">
        <v>239</v>
      </c>
      <c r="P3" s="165"/>
      <c r="Q3" s="168" t="s">
        <v>240</v>
      </c>
      <c r="R3" s="168"/>
      <c r="S3" s="168"/>
      <c r="T3" s="165" t="s">
        <v>239</v>
      </c>
      <c r="U3" s="165"/>
      <c r="V3" s="165" t="s">
        <v>241</v>
      </c>
      <c r="W3" s="165"/>
      <c r="X3" s="165"/>
      <c r="Y3" s="0"/>
      <c r="Z3" s="0"/>
    </row>
    <row r="4" customFormat="false" ht="11.35" hidden="false" customHeight="true" outlineLevel="0" collapsed="false">
      <c r="A4" s="163"/>
      <c r="B4" s="164" t="s">
        <v>242</v>
      </c>
      <c r="C4" s="163"/>
      <c r="D4" s="169" t="s">
        <v>243</v>
      </c>
      <c r="E4" s="165" t="s">
        <v>21</v>
      </c>
      <c r="F4" s="165" t="s">
        <v>23</v>
      </c>
      <c r="G4" s="166" t="s">
        <v>242</v>
      </c>
      <c r="H4" s="163"/>
      <c r="I4" s="170" t="s">
        <v>243</v>
      </c>
      <c r="J4" s="165" t="s">
        <v>21</v>
      </c>
      <c r="K4" s="165" t="s">
        <v>23</v>
      </c>
      <c r="L4" s="167" t="s">
        <v>242</v>
      </c>
      <c r="M4" s="163"/>
      <c r="N4" s="171" t="s">
        <v>243</v>
      </c>
      <c r="O4" s="165" t="s">
        <v>21</v>
      </c>
      <c r="P4" s="165" t="s">
        <v>23</v>
      </c>
      <c r="Q4" s="168" t="s">
        <v>242</v>
      </c>
      <c r="R4" s="163"/>
      <c r="S4" s="172" t="s">
        <v>243</v>
      </c>
      <c r="T4" s="165" t="s">
        <v>21</v>
      </c>
      <c r="U4" s="165" t="s">
        <v>23</v>
      </c>
      <c r="V4" s="165" t="s">
        <v>21</v>
      </c>
      <c r="W4" s="165"/>
      <c r="X4" s="165" t="s">
        <v>23</v>
      </c>
      <c r="Y4" s="0"/>
      <c r="Z4" s="0"/>
    </row>
    <row r="5" customFormat="false" ht="11.35" hidden="false" customHeight="true" outlineLevel="0" collapsed="false">
      <c r="A5" s="173" t="s">
        <v>244</v>
      </c>
      <c r="B5" s="174"/>
      <c r="C5" s="163"/>
      <c r="D5" s="175"/>
      <c r="E5" s="176" t="n">
        <f aca="false">(60 * (1 - 1.5^D5) / (-0.5))-(60 * (1 - 1.5^B5) / (-0.5))</f>
        <v>0</v>
      </c>
      <c r="F5" s="176" t="n">
        <f aca="false">(15 * (1 - 1.5^D5) / (-0.5))-(15 * (1 - 1.5^B5) / (-0.5))</f>
        <v>0</v>
      </c>
      <c r="G5" s="177"/>
      <c r="H5" s="163"/>
      <c r="I5" s="178"/>
      <c r="J5" s="176" t="n">
        <f aca="false"> (48 * (1 - 1.6^I5) / (-0.6))-(( 48 * (1 - 1.6^G5) / (-0.6)))</f>
        <v>0</v>
      </c>
      <c r="K5" s="176" t="n">
        <f aca="false">(24 * (1 - 1.6^I5) / (-0.6))-(24 * (1 - 1.6^G5) / (-0.6))</f>
        <v>0</v>
      </c>
      <c r="L5" s="179"/>
      <c r="M5" s="163"/>
      <c r="N5" s="180"/>
      <c r="O5" s="176" t="n">
        <f aca="false">(225 * (1 - 1.5^N5) / (-0.5))-(225 * (1 - 1.5^L5) / (-0.5))</f>
        <v>0</v>
      </c>
      <c r="P5" s="176" t="n">
        <f aca="false">(75 * (1 - 1.5^N5) / (-0.5))-(75 * (1 - 1.5^L5) / (-0.5))</f>
        <v>0</v>
      </c>
      <c r="Q5" s="181"/>
      <c r="R5" s="163"/>
      <c r="S5" s="182"/>
      <c r="T5" s="176" t="n">
        <f aca="false">(75 * (1 - 1.5^S5) / (-0.5))-(75 * (1 - 1.5^Q5) / (-0.5))</f>
        <v>0</v>
      </c>
      <c r="U5" s="176" t="n">
        <f aca="false">(30 * (1 - 1.5^S5) / (-0.5))-(30 * (1 - 1.5^Q5) / (-0.5))</f>
        <v>0</v>
      </c>
      <c r="V5" s="183" t="n">
        <f aca="false">SUM(J5,O5,E5,T5)</f>
        <v>0</v>
      </c>
      <c r="W5" s="183"/>
      <c r="X5" s="183" t="n">
        <f aca="false">SUM(F5,K5,P5,U5)</f>
        <v>0</v>
      </c>
      <c r="Y5" s="0"/>
      <c r="Z5" s="0"/>
    </row>
    <row r="6" customFormat="false" ht="11.35" hidden="false" customHeight="true" outlineLevel="0" collapsed="false">
      <c r="A6" s="173" t="s">
        <v>245</v>
      </c>
      <c r="B6" s="174"/>
      <c r="C6" s="163"/>
      <c r="D6" s="175"/>
      <c r="E6" s="176" t="n">
        <f aca="false">(60 * (1 - 1.5^D6) / (-0.5))-(60 * (1 - 1.5^B6) / (-0.5))</f>
        <v>0</v>
      </c>
      <c r="F6" s="176" t="n">
        <f aca="false">(15 * (1 - 1.5^D6) / (-0.5))-(15 * (1 - 1.5^B6) / (-0.5))</f>
        <v>0</v>
      </c>
      <c r="G6" s="177"/>
      <c r="H6" s="163"/>
      <c r="I6" s="178"/>
      <c r="J6" s="176" t="n">
        <f aca="false"> (48 * (1 - 1.6^I6) / (-0.6))-(( 48 * (1 - 1.6^G6) / (-0.6)))</f>
        <v>0</v>
      </c>
      <c r="K6" s="176" t="n">
        <f aca="false">(24 * (1 - 1.6^I6) / (-0.6))-(24 * (1 - 1.6^G6) / (-0.6))</f>
        <v>0</v>
      </c>
      <c r="L6" s="179"/>
      <c r="M6" s="163"/>
      <c r="N6" s="180"/>
      <c r="O6" s="176" t="n">
        <f aca="false">(225 * (1 - 1.5^N6) / (-0.5))-(225 * (1 - 1.5^L6) / (-0.5))</f>
        <v>0</v>
      </c>
      <c r="P6" s="176" t="n">
        <f aca="false">(75 * (1 - 1.5^N6) / (-0.5))-(75 * (1 - 1.5^L6) / (-0.5))</f>
        <v>0</v>
      </c>
      <c r="Q6" s="181"/>
      <c r="R6" s="163"/>
      <c r="S6" s="182"/>
      <c r="T6" s="176" t="n">
        <f aca="false">(75 * (1 - 1.5^S6) / (-0.5))-(75 * (1 - 1.5^Q6) / (-0.5))</f>
        <v>0</v>
      </c>
      <c r="U6" s="176" t="n">
        <f aca="false">(30 * (1 - 1.5^S6) / (-0.5))-(30 * (1 - 1.5^Q6) / (-0.5))</f>
        <v>0</v>
      </c>
      <c r="V6" s="183" t="n">
        <f aca="false">SUM(J6,O6,E6,T6)</f>
        <v>0</v>
      </c>
      <c r="W6" s="183"/>
      <c r="X6" s="183" t="n">
        <f aca="false">SUM(F6,K6,P6,U6)</f>
        <v>0</v>
      </c>
      <c r="Y6" s="0"/>
      <c r="Z6" s="0"/>
    </row>
    <row r="7" customFormat="false" ht="11.35" hidden="false" customHeight="true" outlineLevel="0" collapsed="false">
      <c r="A7" s="173" t="s">
        <v>246</v>
      </c>
      <c r="B7" s="174"/>
      <c r="C7" s="163"/>
      <c r="D7" s="175"/>
      <c r="E7" s="176" t="n">
        <f aca="false">(60 * (1 - 1.5^D7) / (-0.5))-(60 * (1 - 1.5^B7) / (-0.5))</f>
        <v>0</v>
      </c>
      <c r="F7" s="176" t="n">
        <f aca="false">(15 * (1 - 1.5^D7) / (-0.5))-(15 * (1 - 1.5^B7) / (-0.5))</f>
        <v>0</v>
      </c>
      <c r="G7" s="177"/>
      <c r="H7" s="163"/>
      <c r="I7" s="178"/>
      <c r="J7" s="176" t="n">
        <f aca="false"> (48 * (1 - 1.6^I7) / (-0.6))-(( 48 * (1 - 1.6^G7) / (-0.6)))</f>
        <v>0</v>
      </c>
      <c r="K7" s="176" t="n">
        <f aca="false">(24 * (1 - 1.6^I7) / (-0.6))-(24 * (1 - 1.6^G7) / (-0.6))</f>
        <v>0</v>
      </c>
      <c r="L7" s="179"/>
      <c r="M7" s="163"/>
      <c r="N7" s="180"/>
      <c r="O7" s="176" t="n">
        <f aca="false">(225 * (1 - 1.5^N7) / (-0.5))-(225 * (1 - 1.5^L7) / (-0.5))</f>
        <v>0</v>
      </c>
      <c r="P7" s="176" t="n">
        <f aca="false">(75 * (1 - 1.5^N7) / (-0.5))-(75 * (1 - 1.5^L7) / (-0.5))</f>
        <v>0</v>
      </c>
      <c r="Q7" s="181"/>
      <c r="R7" s="163"/>
      <c r="S7" s="182"/>
      <c r="T7" s="176" t="n">
        <f aca="false">(75 * (1 - 1.5^S7) / (-0.5))-(75 * (1 - 1.5^Q7) / (-0.5))</f>
        <v>0</v>
      </c>
      <c r="U7" s="176" t="n">
        <f aca="false">(30 * (1 - 1.5^S7) / (-0.5))-(30 * (1 - 1.5^Q7) / (-0.5))</f>
        <v>0</v>
      </c>
      <c r="V7" s="183" t="n">
        <f aca="false">SUM(J7,O7,E7,T7)</f>
        <v>0</v>
      </c>
      <c r="W7" s="183"/>
      <c r="X7" s="183" t="n">
        <f aca="false">SUM(F7,K7,P7,U7)</f>
        <v>0</v>
      </c>
      <c r="Y7" s="0"/>
      <c r="Z7" s="0"/>
    </row>
    <row r="8" customFormat="false" ht="11.35" hidden="false" customHeight="true" outlineLevel="0" collapsed="false">
      <c r="A8" s="173" t="s">
        <v>247</v>
      </c>
      <c r="B8" s="174"/>
      <c r="C8" s="163"/>
      <c r="D8" s="175"/>
      <c r="E8" s="176" t="n">
        <f aca="false">(60 * (1 - 1.5^D8) / (-0.5))-(60 * (1 - 1.5^B8) / (-0.5))</f>
        <v>0</v>
      </c>
      <c r="F8" s="176" t="n">
        <f aca="false">(15 * (1 - 1.5^D8) / (-0.5))-(15 * (1 - 1.5^B8) / (-0.5))</f>
        <v>0</v>
      </c>
      <c r="G8" s="177"/>
      <c r="H8" s="163"/>
      <c r="I8" s="178"/>
      <c r="J8" s="176" t="n">
        <f aca="false"> (48 * (1 - 1.6^I8) / (-0.6))-(( 48 * (1 - 1.6^G8) / (-0.6)))</f>
        <v>0</v>
      </c>
      <c r="K8" s="176" t="n">
        <f aca="false">(24 * (1 - 1.6^I8) / (-0.6))-(24 * (1 - 1.6^G8) / (-0.6))</f>
        <v>0</v>
      </c>
      <c r="L8" s="179"/>
      <c r="M8" s="163"/>
      <c r="N8" s="180"/>
      <c r="O8" s="176" t="n">
        <f aca="false">(225 * (1 - 1.5^N8) / (-0.5))-(225 * (1 - 1.5^L8) / (-0.5))</f>
        <v>0</v>
      </c>
      <c r="P8" s="176" t="n">
        <f aca="false">(75 * (1 - 1.5^N8) / (-0.5))-(75 * (1 - 1.5^L8) / (-0.5))</f>
        <v>0</v>
      </c>
      <c r="Q8" s="181"/>
      <c r="R8" s="163"/>
      <c r="S8" s="182"/>
      <c r="T8" s="176" t="n">
        <f aca="false">(75 * (1 - 1.5^S8) / (-0.5))-(75 * (1 - 1.5^Q8) / (-0.5))</f>
        <v>0</v>
      </c>
      <c r="U8" s="176" t="n">
        <f aca="false">(30 * (1 - 1.5^S8) / (-0.5))-(30 * (1 - 1.5^Q8) / (-0.5))</f>
        <v>0</v>
      </c>
      <c r="V8" s="183" t="n">
        <f aca="false">SUM(J8,O8,E8,T8)</f>
        <v>0</v>
      </c>
      <c r="W8" s="183"/>
      <c r="X8" s="183" t="n">
        <f aca="false">SUM(F8,K8,P8,U8)</f>
        <v>0</v>
      </c>
      <c r="Y8" s="0"/>
      <c r="Z8" s="0"/>
    </row>
    <row r="9" customFormat="false" ht="11.35" hidden="false" customHeight="true" outlineLevel="0" collapsed="false">
      <c r="A9" s="173" t="s">
        <v>248</v>
      </c>
      <c r="B9" s="174"/>
      <c r="C9" s="163"/>
      <c r="D9" s="175"/>
      <c r="E9" s="176" t="n">
        <f aca="false">(60 * (1 - 1.5^D9) / (-0.5))-(60 * (1 - 1.5^B9) / (-0.5))</f>
        <v>0</v>
      </c>
      <c r="F9" s="176" t="n">
        <f aca="false">(15 * (1 - 1.5^D9) / (-0.5))-(15 * (1 - 1.5^B9) / (-0.5))</f>
        <v>0</v>
      </c>
      <c r="G9" s="177"/>
      <c r="H9" s="163"/>
      <c r="I9" s="178"/>
      <c r="J9" s="176" t="n">
        <f aca="false"> (48 * (1 - 1.6^I9) / (-0.6))-(( 48 * (1 - 1.6^G9) / (-0.6)))</f>
        <v>0</v>
      </c>
      <c r="K9" s="176" t="n">
        <f aca="false">(24 * (1 - 1.6^I9) / (-0.6))-(24 * (1 - 1.6^G9) / (-0.6))</f>
        <v>0</v>
      </c>
      <c r="L9" s="179"/>
      <c r="M9" s="163"/>
      <c r="N9" s="180"/>
      <c r="O9" s="176" t="n">
        <f aca="false">(225 * (1 - 1.5^N9) / (-0.5))-(225 * (1 - 1.5^L9) / (-0.5))</f>
        <v>0</v>
      </c>
      <c r="P9" s="176" t="n">
        <f aca="false">(75 * (1 - 1.5^N9) / (-0.5))-(75 * (1 - 1.5^L9) / (-0.5))</f>
        <v>0</v>
      </c>
      <c r="Q9" s="181"/>
      <c r="R9" s="163"/>
      <c r="S9" s="182"/>
      <c r="T9" s="176" t="n">
        <f aca="false">(75 * (1 - 1.5^S9) / (-0.5))-(75 * (1 - 1.5^Q9) / (-0.5))</f>
        <v>0</v>
      </c>
      <c r="U9" s="176" t="n">
        <f aca="false">(30 * (1 - 1.5^S9) / (-0.5))-(30 * (1 - 1.5^Q9) / (-0.5))</f>
        <v>0</v>
      </c>
      <c r="V9" s="183" t="n">
        <f aca="false">SUM(J9,O9,E9,T9)</f>
        <v>0</v>
      </c>
      <c r="W9" s="183"/>
      <c r="X9" s="183" t="n">
        <f aca="false">SUM(F9,K9,P9,U9)</f>
        <v>0</v>
      </c>
      <c r="Y9" s="0"/>
      <c r="Z9" s="0"/>
    </row>
    <row r="10" customFormat="false" ht="11.35" hidden="false" customHeight="true" outlineLevel="0" collapsed="false">
      <c r="A10" s="173" t="s">
        <v>249</v>
      </c>
      <c r="B10" s="174"/>
      <c r="C10" s="163"/>
      <c r="D10" s="175"/>
      <c r="E10" s="176" t="n">
        <f aca="false">(60 * (1 - 1.5^D10) / (-0.5))-(60 * (1 - 1.5^B10) / (-0.5))</f>
        <v>0</v>
      </c>
      <c r="F10" s="176" t="n">
        <f aca="false">(15 * (1 - 1.5^D10) / (-0.5))-(15 * (1 - 1.5^B10) / (-0.5))</f>
        <v>0</v>
      </c>
      <c r="G10" s="177"/>
      <c r="H10" s="163"/>
      <c r="I10" s="178"/>
      <c r="J10" s="176" t="n">
        <f aca="false"> (48 * (1 - 1.6^I10) / (-0.6))-(( 48 * (1 - 1.6^G10) / (-0.6)))</f>
        <v>0</v>
      </c>
      <c r="K10" s="176" t="n">
        <f aca="false">(24 * (1 - 1.6^I10) / (-0.6))-(24 * (1 - 1.6^G10) / (-0.6))</f>
        <v>0</v>
      </c>
      <c r="L10" s="179"/>
      <c r="M10" s="163"/>
      <c r="N10" s="180"/>
      <c r="O10" s="176" t="n">
        <f aca="false">(225 * (1 - 1.5^N10) / (-0.5))-(225 * (1 - 1.5^L10) / (-0.5))</f>
        <v>0</v>
      </c>
      <c r="P10" s="176" t="n">
        <f aca="false">(75 * (1 - 1.5^N10) / (-0.5))-(75 * (1 - 1.5^L10) / (-0.5))</f>
        <v>0</v>
      </c>
      <c r="Q10" s="181"/>
      <c r="R10" s="163"/>
      <c r="S10" s="182"/>
      <c r="T10" s="176" t="n">
        <f aca="false">(75 * (1 - 1.5^S10) / (-0.5))-(75 * (1 - 1.5^Q10) / (-0.5))</f>
        <v>0</v>
      </c>
      <c r="U10" s="176" t="n">
        <f aca="false">(30 * (1 - 1.5^S10) / (-0.5))-(30 * (1 - 1.5^Q10) / (-0.5))</f>
        <v>0</v>
      </c>
      <c r="V10" s="183" t="n">
        <f aca="false">SUM(J10,O10,E10,T10)</f>
        <v>0</v>
      </c>
      <c r="W10" s="183"/>
      <c r="X10" s="183" t="n">
        <f aca="false">SUM(F10,K10,P10,U10)</f>
        <v>0</v>
      </c>
      <c r="Y10" s="0"/>
      <c r="Z10" s="0"/>
    </row>
    <row r="11" customFormat="false" ht="11.35" hidden="false" customHeight="true" outlineLevel="0" collapsed="false">
      <c r="A11" s="173" t="s">
        <v>250</v>
      </c>
      <c r="B11" s="174"/>
      <c r="C11" s="163"/>
      <c r="D11" s="175"/>
      <c r="E11" s="176" t="n">
        <f aca="false">(60 * (1 - 1.5^D11) / (-0.5))-(60 * (1 - 1.5^B11) / (-0.5))</f>
        <v>0</v>
      </c>
      <c r="F11" s="176" t="n">
        <f aca="false">(15 * (1 - 1.5^D11) / (-0.5))-(15 * (1 - 1.5^B11) / (-0.5))</f>
        <v>0</v>
      </c>
      <c r="G11" s="177"/>
      <c r="H11" s="163"/>
      <c r="I11" s="178"/>
      <c r="J11" s="176" t="n">
        <f aca="false"> (48 * (1 - 1.6^I11) / (-0.6))-(( 48 * (1 - 1.6^G11) / (-0.6)))</f>
        <v>0</v>
      </c>
      <c r="K11" s="176" t="n">
        <f aca="false">(24 * (1 - 1.6^I11) / (-0.6))-(24 * (1 - 1.6^G11) / (-0.6))</f>
        <v>0</v>
      </c>
      <c r="L11" s="179"/>
      <c r="M11" s="163"/>
      <c r="N11" s="180"/>
      <c r="O11" s="176" t="n">
        <f aca="false">(225 * (1 - 1.5^N11) / (-0.5))-(225 * (1 - 1.5^L11) / (-0.5))</f>
        <v>0</v>
      </c>
      <c r="P11" s="176" t="n">
        <f aca="false">(75 * (1 - 1.5^N11) / (-0.5))-(75 * (1 - 1.5^L11) / (-0.5))</f>
        <v>0</v>
      </c>
      <c r="Q11" s="181"/>
      <c r="R11" s="163"/>
      <c r="S11" s="182"/>
      <c r="T11" s="176" t="n">
        <f aca="false">(75 * (1 - 1.5^S11) / (-0.5))-(75 * (1 - 1.5^Q11) / (-0.5))</f>
        <v>0</v>
      </c>
      <c r="U11" s="176" t="n">
        <f aca="false">(30 * (1 - 1.5^S11) / (-0.5))-(30 * (1 - 1.5^Q11) / (-0.5))</f>
        <v>0</v>
      </c>
      <c r="V11" s="183" t="n">
        <f aca="false">SUM(J11,O11,E11,T11)</f>
        <v>0</v>
      </c>
      <c r="W11" s="183"/>
      <c r="X11" s="183" t="n">
        <f aca="false">SUM(F11,K11,P11,U11)</f>
        <v>0</v>
      </c>
      <c r="Y11" s="0"/>
      <c r="Z11" s="0"/>
    </row>
    <row r="12" customFormat="false" ht="11.35" hidden="false" customHeight="true" outlineLevel="0" collapsed="false">
      <c r="A12" s="173" t="s">
        <v>251</v>
      </c>
      <c r="B12" s="174"/>
      <c r="C12" s="163"/>
      <c r="D12" s="175"/>
      <c r="E12" s="176" t="n">
        <f aca="false">(60 * (1 - 1.5^D12) / (-0.5))-(60 * (1 - 1.5^B12) / (-0.5))</f>
        <v>0</v>
      </c>
      <c r="F12" s="176" t="n">
        <f aca="false">(15 * (1 - 1.5^D12) / (-0.5))-(15 * (1 - 1.5^B12) / (-0.5))</f>
        <v>0</v>
      </c>
      <c r="G12" s="177"/>
      <c r="H12" s="163"/>
      <c r="I12" s="178"/>
      <c r="J12" s="176" t="n">
        <f aca="false"> (48 * (1 - 1.6^I12) / (-0.6))-(( 48 * (1 - 1.6^G12) / (-0.6)))</f>
        <v>0</v>
      </c>
      <c r="K12" s="176" t="n">
        <f aca="false">(24 * (1 - 1.6^I12) / (-0.6))-(24 * (1 - 1.6^G12) / (-0.6))</f>
        <v>0</v>
      </c>
      <c r="L12" s="179"/>
      <c r="M12" s="163"/>
      <c r="N12" s="180"/>
      <c r="O12" s="176" t="n">
        <f aca="false">(225 * (1 - 1.5^N12) / (-0.5))-(225 * (1 - 1.5^L12) / (-0.5))</f>
        <v>0</v>
      </c>
      <c r="P12" s="176" t="n">
        <f aca="false">(75 * (1 - 1.5^N12) / (-0.5))-(75 * (1 - 1.5^L12) / (-0.5))</f>
        <v>0</v>
      </c>
      <c r="Q12" s="181"/>
      <c r="R12" s="163"/>
      <c r="S12" s="182"/>
      <c r="T12" s="176" t="n">
        <f aca="false">(75 * (1 - 1.5^S12) / (-0.5))-(75 * (1 - 1.5^Q12) / (-0.5))</f>
        <v>0</v>
      </c>
      <c r="U12" s="176" t="n">
        <f aca="false">(30 * (1 - 1.5^S12) / (-0.5))-(30 * (1 - 1.5^Q12) / (-0.5))</f>
        <v>0</v>
      </c>
      <c r="V12" s="183" t="n">
        <f aca="false">SUM(J12,O12,E12,T12)</f>
        <v>0</v>
      </c>
      <c r="W12" s="183"/>
      <c r="X12" s="183" t="n">
        <f aca="false">SUM(F12,K12,P12,U12)</f>
        <v>0</v>
      </c>
      <c r="Y12" s="0"/>
      <c r="Z12" s="0"/>
    </row>
    <row r="13" customFormat="false" ht="11.35" hidden="false" customHeight="true" outlineLevel="0" collapsed="false">
      <c r="A13" s="173" t="s">
        <v>252</v>
      </c>
      <c r="B13" s="174"/>
      <c r="C13" s="163"/>
      <c r="D13" s="175"/>
      <c r="E13" s="176" t="n">
        <f aca="false">(60 * (1 - 1.5^D13) / (-0.5))-(60 * (1 - 1.5^B13) / (-0.5))</f>
        <v>0</v>
      </c>
      <c r="F13" s="176" t="n">
        <f aca="false">(15 * (1 - 1.5^D13) / (-0.5))-(15 * (1 - 1.5^B13) / (-0.5))</f>
        <v>0</v>
      </c>
      <c r="G13" s="177"/>
      <c r="H13" s="163"/>
      <c r="I13" s="178"/>
      <c r="J13" s="176" t="n">
        <f aca="false"> (48 * (1 - 1.6^I13) / (-0.6))-(( 48 * (1 - 1.6^G13) / (-0.6)))</f>
        <v>0</v>
      </c>
      <c r="K13" s="176" t="n">
        <f aca="false">(24 * (1 - 1.6^I13) / (-0.6))-(24 * (1 - 1.6^G13) / (-0.6))</f>
        <v>0</v>
      </c>
      <c r="L13" s="179"/>
      <c r="M13" s="163"/>
      <c r="N13" s="180"/>
      <c r="O13" s="176" t="n">
        <f aca="false">(225 * (1 - 1.5^N13) / (-0.5))-(225 * (1 - 1.5^L13) / (-0.5))</f>
        <v>0</v>
      </c>
      <c r="P13" s="176" t="n">
        <f aca="false">(75 * (1 - 1.5^N13) / (-0.5))-(75 * (1 - 1.5^L13) / (-0.5))</f>
        <v>0</v>
      </c>
      <c r="Q13" s="181"/>
      <c r="R13" s="163"/>
      <c r="S13" s="182"/>
      <c r="T13" s="176" t="n">
        <f aca="false">(75 * (1 - 1.5^S13) / (-0.5))-(75 * (1 - 1.5^Q13) / (-0.5))</f>
        <v>0</v>
      </c>
      <c r="U13" s="176" t="n">
        <f aca="false">(30 * (1 - 1.5^S13) / (-0.5))-(30 * (1 - 1.5^Q13) / (-0.5))</f>
        <v>0</v>
      </c>
      <c r="V13" s="183" t="n">
        <f aca="false">SUM(J13,O13,E13,T13)</f>
        <v>0</v>
      </c>
      <c r="W13" s="183"/>
      <c r="X13" s="183" t="n">
        <f aca="false">SUM(F13,K13,P13,U13)</f>
        <v>0</v>
      </c>
      <c r="Y13" s="0"/>
      <c r="Z13" s="0"/>
    </row>
    <row r="14" customFormat="false" ht="11.35" hidden="false" customHeight="true" outlineLevel="0" collapsed="false">
      <c r="A14" s="173" t="s">
        <v>253</v>
      </c>
      <c r="B14" s="174"/>
      <c r="C14" s="163"/>
      <c r="D14" s="175"/>
      <c r="E14" s="176" t="n">
        <f aca="false">(60 * (1 - 1.5^D14) / (-0.5))-(60 * (1 - 1.5^B14) / (-0.5))</f>
        <v>0</v>
      </c>
      <c r="F14" s="176" t="n">
        <f aca="false">(15 * (1 - 1.5^D14) / (-0.5))-(15 * (1 - 1.5^B14) / (-0.5))</f>
        <v>0</v>
      </c>
      <c r="G14" s="177"/>
      <c r="H14" s="163"/>
      <c r="I14" s="178"/>
      <c r="J14" s="176" t="n">
        <f aca="false"> (48 * (1 - 1.6^I14) / (-0.6))-(( 48 * (1 - 1.6^G14) / (-0.6)))</f>
        <v>0</v>
      </c>
      <c r="K14" s="176" t="n">
        <f aca="false">(24 * (1 - 1.6^I14) / (-0.6))-(24 * (1 - 1.6^G14) / (-0.6))</f>
        <v>0</v>
      </c>
      <c r="L14" s="179"/>
      <c r="M14" s="163"/>
      <c r="N14" s="180"/>
      <c r="O14" s="176" t="n">
        <f aca="false">(225 * (1 - 1.5^N14) / (-0.5))-(225 * (1 - 1.5^L14) / (-0.5))</f>
        <v>0</v>
      </c>
      <c r="P14" s="176" t="n">
        <f aca="false">(75 * (1 - 1.5^N14) / (-0.5))-(75 * (1 - 1.5^L14) / (-0.5))</f>
        <v>0</v>
      </c>
      <c r="Q14" s="181"/>
      <c r="R14" s="163"/>
      <c r="S14" s="182"/>
      <c r="T14" s="176" t="n">
        <f aca="false">(75 * (1 - 1.5^S14) / (-0.5))-(75 * (1 - 1.5^Q14) / (-0.5))</f>
        <v>0</v>
      </c>
      <c r="U14" s="176" t="n">
        <f aca="false">(30 * (1 - 1.5^S14) / (-0.5))-(30 * (1 - 1.5^Q14) / (-0.5))</f>
        <v>0</v>
      </c>
      <c r="V14" s="183" t="n">
        <f aca="false">SUM(J14,O14,E14,T14)</f>
        <v>0</v>
      </c>
      <c r="W14" s="183"/>
      <c r="X14" s="183" t="n">
        <f aca="false">SUM(F14,K14,P14,U14)</f>
        <v>0</v>
      </c>
      <c r="Y14" s="0"/>
      <c r="Z14" s="0"/>
    </row>
    <row r="15" customFormat="false" ht="11.35" hidden="false" customHeight="true" outlineLevel="0" collapsed="false">
      <c r="A15" s="173" t="s">
        <v>254</v>
      </c>
      <c r="B15" s="174"/>
      <c r="C15" s="163"/>
      <c r="D15" s="175"/>
      <c r="E15" s="176" t="n">
        <f aca="false">(60 * (1 - 1.5^D15) / (-0.5))-(60 * (1 - 1.5^B15) / (-0.5))</f>
        <v>0</v>
      </c>
      <c r="F15" s="176" t="n">
        <f aca="false">(15 * (1 - 1.5^D15) / (-0.5))-(15 * (1 - 1.5^B15) / (-0.5))</f>
        <v>0</v>
      </c>
      <c r="G15" s="177"/>
      <c r="H15" s="163"/>
      <c r="I15" s="178"/>
      <c r="J15" s="176" t="n">
        <f aca="false"> (48 * (1 - 1.6^I15) / (-0.6))-(( 48 * (1 - 1.6^G15) / (-0.6)))</f>
        <v>0</v>
      </c>
      <c r="K15" s="176" t="n">
        <f aca="false">(24 * (1 - 1.6^I15) / (-0.6))-(24 * (1 - 1.6^G15) / (-0.6))</f>
        <v>0</v>
      </c>
      <c r="L15" s="179"/>
      <c r="M15" s="163"/>
      <c r="N15" s="180"/>
      <c r="O15" s="176" t="n">
        <f aca="false">(225 * (1 - 1.5^N15) / (-0.5))-(225 * (1 - 1.5^L15) / (-0.5))</f>
        <v>0</v>
      </c>
      <c r="P15" s="176" t="n">
        <f aca="false">(75 * (1 - 1.5^N15) / (-0.5))-(75 * (1 - 1.5^L15) / (-0.5))</f>
        <v>0</v>
      </c>
      <c r="Q15" s="181"/>
      <c r="R15" s="163"/>
      <c r="S15" s="182"/>
      <c r="T15" s="176" t="n">
        <f aca="false">(75 * (1 - 1.5^S15) / (-0.5))-(75 * (1 - 1.5^Q15) / (-0.5))</f>
        <v>0</v>
      </c>
      <c r="U15" s="176" t="n">
        <f aca="false">(30 * (1 - 1.5^S15) / (-0.5))-(30 * (1 - 1.5^Q15) / (-0.5))</f>
        <v>0</v>
      </c>
      <c r="V15" s="183" t="n">
        <f aca="false">SUM(J15,O15,E15,T15)</f>
        <v>0</v>
      </c>
      <c r="W15" s="183"/>
      <c r="X15" s="183" t="n">
        <f aca="false">SUM(F15,K15,P15,U15)</f>
        <v>0</v>
      </c>
      <c r="Y15" s="0"/>
      <c r="Z15" s="0"/>
    </row>
    <row r="16" customFormat="false" ht="11.35" hidden="false" customHeight="true" outlineLevel="0" collapsed="false">
      <c r="A16" s="173" t="s">
        <v>255</v>
      </c>
      <c r="B16" s="174"/>
      <c r="C16" s="163"/>
      <c r="D16" s="175"/>
      <c r="E16" s="176" t="n">
        <f aca="false">(60 * (1 - 1.5^D16) / (-0.5))-(60 * (1 - 1.5^B16) / (-0.5))</f>
        <v>0</v>
      </c>
      <c r="F16" s="176" t="n">
        <f aca="false">(15 * (1 - 1.5^D16) / (-0.5))-(15 * (1 - 1.5^B16) / (-0.5))</f>
        <v>0</v>
      </c>
      <c r="G16" s="177"/>
      <c r="H16" s="163"/>
      <c r="I16" s="178"/>
      <c r="J16" s="176" t="n">
        <f aca="false"> (48 * (1 - 1.6^I16) / (-0.6))-(( 48 * (1 - 1.6^G16) / (-0.6)))</f>
        <v>0</v>
      </c>
      <c r="K16" s="176" t="n">
        <f aca="false">(24 * (1 - 1.6^I16) / (-0.6))-(24 * (1 - 1.6^G16) / (-0.6))</f>
        <v>0</v>
      </c>
      <c r="L16" s="179"/>
      <c r="M16" s="163"/>
      <c r="N16" s="180"/>
      <c r="O16" s="176" t="n">
        <f aca="false">(225 * (1 - 1.5^N16) / (-0.5))-(225 * (1 - 1.5^L16) / (-0.5))</f>
        <v>0</v>
      </c>
      <c r="P16" s="176" t="n">
        <f aca="false">(75 * (1 - 1.5^N16) / (-0.5))-(75 * (1 - 1.5^L16) / (-0.5))</f>
        <v>0</v>
      </c>
      <c r="Q16" s="181"/>
      <c r="R16" s="163"/>
      <c r="S16" s="182"/>
      <c r="T16" s="176" t="n">
        <f aca="false">(75 * (1 - 1.5^S16) / (-0.5))-(75 * (1 - 1.5^Q16) / (-0.5))</f>
        <v>0</v>
      </c>
      <c r="U16" s="176" t="n">
        <f aca="false">(30 * (1 - 1.5^S16) / (-0.5))-(30 * (1 - 1.5^Q16) / (-0.5))</f>
        <v>0</v>
      </c>
      <c r="V16" s="183" t="n">
        <f aca="false">SUM(J16,O16,E16,T16)</f>
        <v>0</v>
      </c>
      <c r="W16" s="183"/>
      <c r="X16" s="183" t="n">
        <f aca="false">SUM(F16,K16,P16,U16)</f>
        <v>0</v>
      </c>
      <c r="Y16" s="0"/>
      <c r="Z16" s="0"/>
    </row>
    <row r="17" customFormat="false" ht="11.35" hidden="false" customHeight="true" outlineLevel="0" collapsed="false">
      <c r="A17" s="173" t="s">
        <v>256</v>
      </c>
      <c r="B17" s="174"/>
      <c r="C17" s="163"/>
      <c r="D17" s="175"/>
      <c r="E17" s="176" t="n">
        <f aca="false">(60 * (1 - 1.5^D17) / (-0.5))-(60 * (1 - 1.5^B17) / (-0.5))</f>
        <v>0</v>
      </c>
      <c r="F17" s="176" t="n">
        <f aca="false">(15 * (1 - 1.5^D17) / (-0.5))-(15 * (1 - 1.5^B17) / (-0.5))</f>
        <v>0</v>
      </c>
      <c r="G17" s="177"/>
      <c r="H17" s="163"/>
      <c r="I17" s="178"/>
      <c r="J17" s="176" t="n">
        <f aca="false"> (48 * (1 - 1.6^I17) / (-0.6))-(( 48 * (1 - 1.6^G17) / (-0.6)))</f>
        <v>0</v>
      </c>
      <c r="K17" s="176" t="n">
        <f aca="false">(24 * (1 - 1.6^I17) / (-0.6))-(24 * (1 - 1.6^G17) / (-0.6))</f>
        <v>0</v>
      </c>
      <c r="L17" s="179"/>
      <c r="M17" s="163"/>
      <c r="N17" s="180"/>
      <c r="O17" s="176" t="n">
        <f aca="false">(225 * (1 - 1.5^N17) / (-0.5))-(225 * (1 - 1.5^L17) / (-0.5))</f>
        <v>0</v>
      </c>
      <c r="P17" s="176" t="n">
        <f aca="false">(75 * (1 - 1.5^N17) / (-0.5))-(75 * (1 - 1.5^L17) / (-0.5))</f>
        <v>0</v>
      </c>
      <c r="Q17" s="181"/>
      <c r="R17" s="163"/>
      <c r="S17" s="182"/>
      <c r="T17" s="176" t="n">
        <f aca="false">(75 * (1 - 1.5^S17) / (-0.5))-(75 * (1 - 1.5^Q17) / (-0.5))</f>
        <v>0</v>
      </c>
      <c r="U17" s="176" t="n">
        <f aca="false">(30 * (1 - 1.5^S17) / (-0.5))-(30 * (1 - 1.5^Q17) / (-0.5))</f>
        <v>0</v>
      </c>
      <c r="V17" s="183" t="n">
        <f aca="false">SUM(J17,O17,E17,T17)</f>
        <v>0</v>
      </c>
      <c r="W17" s="183"/>
      <c r="X17" s="183" t="n">
        <f aca="false">SUM(F17,K17,P17,U17)</f>
        <v>0</v>
      </c>
      <c r="Y17" s="0"/>
      <c r="Z17" s="0"/>
    </row>
    <row r="18" customFormat="false" ht="11.35" hidden="false" customHeight="true" outlineLevel="0" collapsed="false">
      <c r="A18" s="173" t="s">
        <v>257</v>
      </c>
      <c r="B18" s="174"/>
      <c r="C18" s="163"/>
      <c r="D18" s="175"/>
      <c r="E18" s="176" t="n">
        <f aca="false">(60 * (1 - 1.5^D18) / (-0.5))-(60 * (1 - 1.5^B18) / (-0.5))</f>
        <v>0</v>
      </c>
      <c r="F18" s="176" t="n">
        <f aca="false">(15 * (1 - 1.5^D18) / (-0.5))-(15 * (1 - 1.5^B18) / (-0.5))</f>
        <v>0</v>
      </c>
      <c r="G18" s="177"/>
      <c r="H18" s="163"/>
      <c r="I18" s="178"/>
      <c r="J18" s="176" t="n">
        <f aca="false"> (48 * (1 - 1.6^I18) / (-0.6))-(( 48 * (1 - 1.6^G18) / (-0.6)))</f>
        <v>0</v>
      </c>
      <c r="K18" s="176" t="n">
        <f aca="false">(24 * (1 - 1.6^I18) / (-0.6))-(24 * (1 - 1.6^G18) / (-0.6))</f>
        <v>0</v>
      </c>
      <c r="L18" s="179"/>
      <c r="M18" s="163"/>
      <c r="N18" s="180"/>
      <c r="O18" s="176" t="n">
        <f aca="false">(225 * (1 - 1.5^N18) / (-0.5))-(225 * (1 - 1.5^L18) / (-0.5))</f>
        <v>0</v>
      </c>
      <c r="P18" s="176" t="n">
        <f aca="false">(75 * (1 - 1.5^N18) / (-0.5))-(75 * (1 - 1.5^L18) / (-0.5))</f>
        <v>0</v>
      </c>
      <c r="Q18" s="181"/>
      <c r="R18" s="163"/>
      <c r="S18" s="182"/>
      <c r="T18" s="176" t="n">
        <f aca="false">(75 * (1 - 1.5^S18) / (-0.5))-(75 * (1 - 1.5^Q18) / (-0.5))</f>
        <v>0</v>
      </c>
      <c r="U18" s="176" t="n">
        <f aca="false">(30 * (1 - 1.5^S18) / (-0.5))-(30 * (1 - 1.5^Q18) / (-0.5))</f>
        <v>0</v>
      </c>
      <c r="V18" s="183" t="n">
        <f aca="false">SUM(J18,O18,E18,T18)</f>
        <v>0</v>
      </c>
      <c r="W18" s="183"/>
      <c r="X18" s="183" t="n">
        <f aca="false">SUM(F18,K18,P18,U18)</f>
        <v>0</v>
      </c>
    </row>
    <row r="19" customFormat="false" ht="11.35" hidden="false" customHeight="true" outlineLevel="0" collapsed="false">
      <c r="A19" s="173" t="s">
        <v>258</v>
      </c>
      <c r="B19" s="174"/>
      <c r="C19" s="163"/>
      <c r="D19" s="175"/>
      <c r="E19" s="176" t="n">
        <f aca="false">(60 * (1 - 1.5^D19) / (-0.5))-(60 * (1 - 1.5^B19) / (-0.5))</f>
        <v>0</v>
      </c>
      <c r="F19" s="176" t="n">
        <f aca="false">(15 * (1 - 1.5^D19) / (-0.5))-(15 * (1 - 1.5^B19) / (-0.5))</f>
        <v>0</v>
      </c>
      <c r="G19" s="177"/>
      <c r="H19" s="163"/>
      <c r="I19" s="178"/>
      <c r="J19" s="176" t="n">
        <f aca="false"> (48 * (1 - 1.6^I19) / (-0.6))-(( 48 * (1 - 1.6^G19) / (-0.6)))</f>
        <v>0</v>
      </c>
      <c r="K19" s="176" t="n">
        <f aca="false">(24 * (1 - 1.6^I19) / (-0.6))-(24 * (1 - 1.6^G19) / (-0.6))</f>
        <v>0</v>
      </c>
      <c r="L19" s="179"/>
      <c r="M19" s="163"/>
      <c r="N19" s="180"/>
      <c r="O19" s="176" t="n">
        <f aca="false">(225 * (1 - 1.5^N19) / (-0.5))-(225 * (1 - 1.5^L19) / (-0.5))</f>
        <v>0</v>
      </c>
      <c r="P19" s="176" t="n">
        <f aca="false">(75 * (1 - 1.5^N19) / (-0.5))-(75 * (1 - 1.5^L19) / (-0.5))</f>
        <v>0</v>
      </c>
      <c r="Q19" s="181"/>
      <c r="R19" s="163"/>
      <c r="S19" s="182"/>
      <c r="T19" s="176" t="n">
        <f aca="false">(75 * (1 - 1.5^S19) / (-0.5))-(75 * (1 - 1.5^Q19) / (-0.5))</f>
        <v>0</v>
      </c>
      <c r="U19" s="176" t="n">
        <f aca="false">(30 * (1 - 1.5^S19) / (-0.5))-(30 * (1 - 1.5^Q19) / (-0.5))</f>
        <v>0</v>
      </c>
      <c r="V19" s="183" t="n">
        <f aca="false">SUM(J19,O19,E19,T19)</f>
        <v>0</v>
      </c>
      <c r="W19" s="183"/>
      <c r="X19" s="183" t="n">
        <f aca="false">SUM(F19,K19,P19,U19)</f>
        <v>0</v>
      </c>
    </row>
    <row r="20" customFormat="false" ht="11.35" hidden="false" customHeight="true" outlineLevel="0" collapsed="false">
      <c r="A20" s="184"/>
      <c r="B20" s="163"/>
      <c r="C20" s="185"/>
      <c r="D20" s="169" t="s">
        <v>5</v>
      </c>
      <c r="E20" s="169" t="n">
        <f aca="false">SUM(E5:E19)</f>
        <v>0</v>
      </c>
      <c r="F20" s="169" t="n">
        <f aca="false">SUM(F5:F19)</f>
        <v>0</v>
      </c>
      <c r="G20" s="186"/>
      <c r="H20" s="186"/>
      <c r="I20" s="170" t="s">
        <v>5</v>
      </c>
      <c r="J20" s="170" t="n">
        <f aca="false">SUM(J5:J19)</f>
        <v>0</v>
      </c>
      <c r="K20" s="170" t="n">
        <f aca="false">SUM(K5:K19)</f>
        <v>0</v>
      </c>
      <c r="L20" s="187"/>
      <c r="M20" s="188"/>
      <c r="N20" s="171" t="s">
        <v>5</v>
      </c>
      <c r="O20" s="171" t="n">
        <f aca="false">SUM(O5:O19)</f>
        <v>0</v>
      </c>
      <c r="P20" s="171" t="n">
        <f aca="false">SUM(P5:P19)</f>
        <v>0</v>
      </c>
      <c r="Q20" s="186"/>
      <c r="R20" s="185"/>
      <c r="S20" s="172" t="s">
        <v>5</v>
      </c>
      <c r="T20" s="172" t="n">
        <f aca="false">SUM(T5:T19)</f>
        <v>0</v>
      </c>
      <c r="U20" s="172" t="n">
        <f aca="false">SUM(U5:U19)</f>
        <v>0</v>
      </c>
      <c r="V20" s="183" t="n">
        <f aca="false">SUM(J20,O20,E20,T20)</f>
        <v>0</v>
      </c>
      <c r="W20" s="183"/>
      <c r="X20" s="183" t="n">
        <f aca="false">SUM(F20,K20,P20,U20)</f>
        <v>0</v>
      </c>
    </row>
    <row r="21" customFormat="false" ht="11.35" hidden="false" customHeight="true" outlineLevel="0" collapsed="false">
      <c r="A21" s="163"/>
      <c r="B21" s="189"/>
      <c r="C21" s="165" t="s">
        <v>259</v>
      </c>
      <c r="D21" s="165"/>
      <c r="E21" s="165"/>
      <c r="F21" s="165"/>
      <c r="G21" s="0"/>
      <c r="H21" s="0"/>
      <c r="I21" s="0"/>
      <c r="J21" s="0"/>
      <c r="K21" s="0"/>
      <c r="L21" s="0"/>
      <c r="M21" s="0"/>
      <c r="N21" s="0"/>
      <c r="O21" s="0"/>
      <c r="P21" s="0"/>
    </row>
    <row r="22" customFormat="false" ht="11.35" hidden="false" customHeight="true" outlineLevel="0" collapsed="false">
      <c r="A22" s="163"/>
      <c r="B22" s="165" t="s">
        <v>260</v>
      </c>
      <c r="C22" s="190" t="s">
        <v>261</v>
      </c>
      <c r="D22" s="190"/>
      <c r="E22" s="165" t="s">
        <v>262</v>
      </c>
      <c r="F22" s="165" t="s">
        <v>263</v>
      </c>
      <c r="G22" s="0"/>
      <c r="H22" s="0"/>
      <c r="I22" s="0"/>
      <c r="J22" s="0"/>
      <c r="K22" s="0"/>
      <c r="L22" s="0"/>
      <c r="M22" s="0"/>
      <c r="N22" s="0"/>
      <c r="O22" s="0"/>
    </row>
    <row r="23" customFormat="false" ht="11.35" hidden="false" customHeight="true" outlineLevel="0" collapsed="false">
      <c r="A23" s="173" t="s">
        <v>244</v>
      </c>
      <c r="B23" s="191" t="n">
        <f aca="false">ROUNDUP(SUM(V5:X5)/25000)</f>
        <v>0</v>
      </c>
      <c r="C23" s="192" t="n">
        <f aca="false"> -((ROUNDUP(10 * D5 * 1.1^D5))-( ROUNDUP(10 * (B5) * 1.1^(B5)))+(ROUNDUP(10 * I5 * 1.1^I5))-( ROUNDUP(10 * G5 * 1.1^G5))+(ROUNDUP(20 * N5 * 1.1^N5))-( ROUNDUP(20 * L5 * 1.1^L5)))</f>
        <v>-0</v>
      </c>
      <c r="D23" s="192"/>
      <c r="E23" s="193" t="n">
        <f aca="false">ROUNDDOWN(20 * S5 * 1.1 ^ S5)-(ROUNDDOWN(20 * Q5 * 1.1 ^ Q5))</f>
        <v>0</v>
      </c>
      <c r="F23" s="194" t="n">
        <f aca="false">C23+E23</f>
        <v>0</v>
      </c>
      <c r="G23" s="0"/>
      <c r="H23" s="0"/>
      <c r="I23" s="0"/>
      <c r="J23" s="0"/>
      <c r="K23" s="0"/>
      <c r="L23" s="0"/>
      <c r="M23" s="0"/>
      <c r="N23" s="0"/>
      <c r="O23" s="0"/>
    </row>
    <row r="24" customFormat="false" ht="11.35" hidden="false" customHeight="true" outlineLevel="0" collapsed="false">
      <c r="A24" s="173" t="s">
        <v>245</v>
      </c>
      <c r="B24" s="191" t="n">
        <f aca="false">ROUNDUP(SUM(V6:X6)/25000)</f>
        <v>0</v>
      </c>
      <c r="C24" s="192" t="n">
        <f aca="false">-( (ROUNDUP(10 * D6 * 1.1^D6))-( ROUNDUP(10 * (B6) * 1.1^(B6)))+(ROUNDUP(10 * I6 * 1.1^I6))-( ROUNDUP(10 * G6 * 1.1^G6))+(ROUNDUP(20 * N6 * 1.1^N6))-( ROUNDUP(20 * L6 * 1.1^L6)))</f>
        <v>-0</v>
      </c>
      <c r="D24" s="192"/>
      <c r="E24" s="193" t="n">
        <f aca="false">ROUNDDOWN(20 * S6 * 1.1 ^ S6)-(ROUNDDOWN(20 * Q6 * 1.1 ^ Q6))</f>
        <v>0</v>
      </c>
      <c r="F24" s="194" t="n">
        <f aca="false">C24+E24</f>
        <v>0</v>
      </c>
      <c r="G24" s="0"/>
      <c r="H24" s="0"/>
      <c r="I24" s="0"/>
      <c r="J24" s="0"/>
      <c r="K24" s="0"/>
      <c r="L24" s="0"/>
      <c r="M24" s="0"/>
      <c r="N24" s="0"/>
      <c r="O24" s="0"/>
    </row>
    <row r="25" customFormat="false" ht="11.35" hidden="false" customHeight="true" outlineLevel="0" collapsed="false">
      <c r="A25" s="173" t="s">
        <v>246</v>
      </c>
      <c r="B25" s="191" t="n">
        <f aca="false">ROUNDUP(SUM(V7:X7)/25000)</f>
        <v>0</v>
      </c>
      <c r="C25" s="192" t="n">
        <f aca="false">-( (ROUNDUP(10 * D7 * 1.1^D7))-( ROUNDUP(10 * (B7) * 1.1^(B7)))+(ROUNDUP(10 * I7 * 1.1^I7))-( ROUNDUP(10 * G7 * 1.1^G7))+(ROUNDUP(20 * N7 * 1.1^N7))-( ROUNDUP(20 * L7 * 1.1^L7)))</f>
        <v>-0</v>
      </c>
      <c r="D25" s="192"/>
      <c r="E25" s="193" t="n">
        <f aca="false">ROUNDDOWN(20 * S7 * 1.1 ^ S7)-(ROUNDDOWN(20 * Q7 * 1.1 ^ Q7))</f>
        <v>0</v>
      </c>
      <c r="F25" s="194" t="n">
        <f aca="false">C25+E25</f>
        <v>0</v>
      </c>
      <c r="G25" s="0"/>
      <c r="H25" s="0"/>
      <c r="I25" s="0"/>
      <c r="J25" s="0"/>
      <c r="K25" s="0"/>
      <c r="L25" s="0"/>
      <c r="M25" s="0"/>
      <c r="N25" s="0"/>
      <c r="O25" s="0"/>
    </row>
    <row r="26" customFormat="false" ht="11.35" hidden="false" customHeight="true" outlineLevel="0" collapsed="false">
      <c r="A26" s="173" t="s">
        <v>247</v>
      </c>
      <c r="B26" s="191" t="n">
        <f aca="false">ROUNDUP(SUM(V8:X8)/25000)</f>
        <v>0</v>
      </c>
      <c r="C26" s="192" t="n">
        <f aca="false">-((ROUNDUP(10 * D8 * 1.1^D8))-( ROUNDUP(10 * (B8) * 1.1^(B8)))+(ROUNDUP(10 * I8 * 1.1^I8))-( ROUNDUP(10 * G8 * 1.1^G8))+(ROUNDUP(20 * N8 * 1.1^N8))-( ROUNDUP(20 * L8 * 1.1^L8)))</f>
        <v>-0</v>
      </c>
      <c r="D26" s="192"/>
      <c r="E26" s="193" t="n">
        <f aca="false">ROUNDDOWN(20 * S8 * 1.1 ^ S8)-(ROUNDDOWN(20 * Q8 * 1.1 ^ Q8))</f>
        <v>0</v>
      </c>
      <c r="F26" s="194" t="n">
        <f aca="false">C26+E26</f>
        <v>0</v>
      </c>
      <c r="G26" s="0"/>
      <c r="H26" s="0"/>
      <c r="I26" s="0"/>
      <c r="J26" s="0"/>
      <c r="K26" s="0"/>
      <c r="L26" s="0"/>
      <c r="M26" s="0"/>
      <c r="N26" s="0"/>
      <c r="O26" s="0"/>
    </row>
    <row r="27" customFormat="false" ht="11.35" hidden="false" customHeight="true" outlineLevel="0" collapsed="false">
      <c r="A27" s="173" t="s">
        <v>248</v>
      </c>
      <c r="B27" s="191" t="n">
        <f aca="false">ROUNDUP(SUM(V9:X9)/25000)</f>
        <v>0</v>
      </c>
      <c r="C27" s="192" t="n">
        <f aca="false">-((ROUNDUP(10 * D9 * 1.1^D9))-( ROUNDUP(10 * (B9) * 1.1^(B9)))+(ROUNDUP(10 * I9 * 1.1^I9))-( ROUNDUP(10 * G9 * 1.1^G9))+(ROUNDUP(20 * N9 * 1.1^N9))-( ROUNDUP(20 * L9 * 1.1^L9)))</f>
        <v>-0</v>
      </c>
      <c r="D27" s="192"/>
      <c r="E27" s="193" t="n">
        <f aca="false">ROUNDDOWN(20 * S9 * 1.1 ^ S9)-(ROUNDDOWN(20 * Q9 * 1.1 ^ Q9))</f>
        <v>0</v>
      </c>
      <c r="F27" s="194" t="n">
        <f aca="false">C27+E27</f>
        <v>0</v>
      </c>
      <c r="G27" s="0"/>
      <c r="H27" s="0"/>
      <c r="I27" s="0"/>
      <c r="J27" s="0"/>
      <c r="K27" s="0"/>
      <c r="L27" s="0"/>
      <c r="M27" s="0"/>
      <c r="N27" s="0"/>
      <c r="O27" s="0"/>
    </row>
    <row r="28" customFormat="false" ht="11.35" hidden="false" customHeight="true" outlineLevel="0" collapsed="false">
      <c r="A28" s="173" t="s">
        <v>249</v>
      </c>
      <c r="B28" s="191" t="n">
        <f aca="false">ROUNDUP(SUM(V10:X10)/25000)</f>
        <v>0</v>
      </c>
      <c r="C28" s="192" t="n">
        <f aca="false">-((ROUNDUP(10 * D10 * 1.1^D10))-( ROUNDUP(10 * (B10) * 1.1^(B10)))+(ROUNDUP(10 * I10 * 1.1^I10))-( ROUNDUP(10 * G10 * 1.1^G10))+(ROUNDUP(20 * N10 * 1.1^N10))-( ROUNDUP(20 * L10 * 1.1^L10)))</f>
        <v>-0</v>
      </c>
      <c r="D28" s="192"/>
      <c r="E28" s="193" t="n">
        <f aca="false">ROUNDDOWN(20 * S10 * 1.1 ^ S10)-(ROUNDDOWN(20 * Q10 * 1.1 ^ Q10))</f>
        <v>0</v>
      </c>
      <c r="F28" s="194" t="n">
        <f aca="false">C28+E28</f>
        <v>0</v>
      </c>
      <c r="G28" s="0"/>
      <c r="H28" s="0"/>
      <c r="I28" s="0"/>
      <c r="J28" s="0"/>
      <c r="K28" s="0"/>
      <c r="L28" s="0"/>
      <c r="M28" s="0"/>
      <c r="N28" s="0"/>
      <c r="O28" s="0"/>
    </row>
    <row r="29" customFormat="false" ht="11.35" hidden="false" customHeight="true" outlineLevel="0" collapsed="false">
      <c r="A29" s="173" t="s">
        <v>250</v>
      </c>
      <c r="B29" s="191" t="n">
        <f aca="false">ROUNDUP(SUM(V11:X11)/25000)</f>
        <v>0</v>
      </c>
      <c r="C29" s="192" t="n">
        <f aca="false">-((ROUNDUP(10 * D11 * 1.1^D11))-( ROUNDUP(10 * (B11) * 1.1^(B11)))+(ROUNDUP(10 * I11 * 1.1^I11))-( ROUNDUP(10 * G11 * 1.1^G11))+(ROUNDUP(20 * N11 * 1.1^N11))-( ROUNDUP(20 * L11 * 1.1^L11)))</f>
        <v>-0</v>
      </c>
      <c r="D29" s="192"/>
      <c r="E29" s="193" t="n">
        <f aca="false">ROUNDDOWN(20 * S11 * 1.1 ^ S11)-(ROUNDDOWN(20 * Q11 * 1.1 ^ Q11))</f>
        <v>0</v>
      </c>
      <c r="F29" s="194" t="n">
        <f aca="false">C29+E29</f>
        <v>0</v>
      </c>
      <c r="G29" s="0"/>
      <c r="H29" s="0"/>
      <c r="I29" s="0"/>
      <c r="J29" s="0"/>
      <c r="K29" s="0"/>
      <c r="L29" s="0"/>
      <c r="M29" s="0"/>
      <c r="N29" s="0"/>
      <c r="O29" s="0"/>
    </row>
    <row r="30" customFormat="false" ht="11.35" hidden="false" customHeight="true" outlineLevel="0" collapsed="false">
      <c r="A30" s="173" t="s">
        <v>251</v>
      </c>
      <c r="B30" s="191" t="n">
        <f aca="false">ROUNDUP(SUM(V12:X12)/25000)</f>
        <v>0</v>
      </c>
      <c r="C30" s="192" t="n">
        <f aca="false">-((ROUNDUP(10 * D12 * 1.1^D12))-( ROUNDUP(10 * (B12) * 1.1^(B12)))+(ROUNDUP(10 * I12 * 1.1^I12))-( ROUNDUP(10 * G12 * 1.1^G12))+(ROUNDUP(20 * N12 * 1.1^N12))-( ROUNDUP(20 * L12 * 1.1^L12)))</f>
        <v>-0</v>
      </c>
      <c r="D30" s="192"/>
      <c r="E30" s="193" t="n">
        <f aca="false">ROUNDDOWN(20 * S12 * 1.1 ^ S12)-(ROUNDDOWN(20 * Q12 * 1.1 ^ Q12))</f>
        <v>0</v>
      </c>
      <c r="F30" s="194" t="n">
        <f aca="false">C30+E30</f>
        <v>0</v>
      </c>
      <c r="G30" s="0"/>
      <c r="H30" s="0"/>
      <c r="I30" s="0"/>
      <c r="J30" s="0"/>
      <c r="K30" s="0"/>
      <c r="L30" s="0"/>
      <c r="M30" s="0"/>
      <c r="N30" s="0"/>
      <c r="O30" s="0"/>
    </row>
    <row r="31" customFormat="false" ht="11.35" hidden="false" customHeight="true" outlineLevel="0" collapsed="false">
      <c r="A31" s="173" t="s">
        <v>252</v>
      </c>
      <c r="B31" s="191" t="n">
        <f aca="false">ROUNDUP(SUM(V13:X13)/25000)</f>
        <v>0</v>
      </c>
      <c r="C31" s="192" t="n">
        <f aca="false">-((ROUNDUP(10 * D13 * 1.1^D13))-( ROUNDUP(10 * (B13) * 1.1^(B13)))+(ROUNDUP(10 * I13 * 1.1^I13))-( ROUNDUP(10 * G13 * 1.1^G13))+(ROUNDUP(20 * N13 * 1.1^N13))-( ROUNDUP(20 * L13 * 1.1^L13)))</f>
        <v>-0</v>
      </c>
      <c r="D31" s="192"/>
      <c r="E31" s="193" t="n">
        <f aca="false">ROUNDDOWN(20 * S13 * 1.1 ^ S13)-(ROUNDDOWN(20 * Q13 * 1.1 ^ Q13))</f>
        <v>0</v>
      </c>
      <c r="F31" s="194" t="n">
        <f aca="false">C31+E31</f>
        <v>0</v>
      </c>
      <c r="G31" s="0"/>
      <c r="H31" s="0"/>
      <c r="I31" s="0"/>
      <c r="J31" s="0"/>
      <c r="K31" s="0"/>
      <c r="L31" s="0"/>
      <c r="M31" s="0"/>
      <c r="N31" s="0"/>
      <c r="O31" s="0"/>
    </row>
    <row r="32" customFormat="false" ht="11.35" hidden="false" customHeight="true" outlineLevel="0" collapsed="false">
      <c r="A32" s="173" t="s">
        <v>253</v>
      </c>
      <c r="B32" s="191" t="n">
        <f aca="false">ROUNDUP(SUM(V14:X14)/25000)</f>
        <v>0</v>
      </c>
      <c r="C32" s="192" t="n">
        <f aca="false">-((ROUNDUP(10 * D14 * 1.1^D14))-( ROUNDUP(10 * (B14) * 1.1^(B14)))+(ROUNDUP(10 * I14 * 1.1^I14))-( ROUNDUP(10 * G14 * 1.1^G14))+(ROUNDUP(20 * N14 * 1.1^N14))-( ROUNDUP(20 * L14 * 1.1^L14)))</f>
        <v>-0</v>
      </c>
      <c r="D32" s="192"/>
      <c r="E32" s="193" t="n">
        <f aca="false">ROUNDDOWN(20 * S14 * 1.1 ^ S14)-(ROUNDDOWN(20 * Q14 * 1.1 ^ Q14))</f>
        <v>0</v>
      </c>
      <c r="F32" s="194" t="n">
        <f aca="false">C32+E32</f>
        <v>0</v>
      </c>
      <c r="G32" s="0"/>
      <c r="H32" s="0"/>
      <c r="I32" s="0"/>
      <c r="J32" s="0"/>
      <c r="K32" s="0"/>
      <c r="L32" s="0"/>
      <c r="M32" s="0"/>
      <c r="N32" s="0"/>
      <c r="O32" s="0"/>
    </row>
    <row r="33" customFormat="false" ht="11.35" hidden="false" customHeight="true" outlineLevel="0" collapsed="false">
      <c r="A33" s="173" t="s">
        <v>254</v>
      </c>
      <c r="B33" s="191" t="n">
        <f aca="false">ROUNDUP(SUM(V15:X15)/25000)</f>
        <v>0</v>
      </c>
      <c r="C33" s="192" t="n">
        <f aca="false">-((ROUNDUP(10 * D15 * 1.1^D15))-( ROUNDUP(10 * (B15) * 1.1^(B15)))+(ROUNDUP(10 * I15 * 1.1^I15))-( ROUNDUP(10 * G15 * 1.1^G15))+(ROUNDUP(20 * N15 * 1.1^N15))-( ROUNDUP(20 * L15 * 1.1^L15)))</f>
        <v>-0</v>
      </c>
      <c r="D33" s="192"/>
      <c r="E33" s="193" t="n">
        <f aca="false">ROUNDDOWN(20 * S15 * 1.1 ^ S15)-(ROUNDDOWN(20 * Q15 * 1.1 ^ Q15))</f>
        <v>0</v>
      </c>
      <c r="F33" s="194" t="n">
        <f aca="false">C33+E33</f>
        <v>0</v>
      </c>
      <c r="G33" s="0"/>
      <c r="H33" s="0"/>
      <c r="I33" s="0"/>
      <c r="J33" s="0"/>
      <c r="K33" s="0"/>
      <c r="L33" s="0"/>
      <c r="M33" s="0"/>
      <c r="N33" s="0"/>
      <c r="O33" s="0"/>
    </row>
    <row r="34" customFormat="false" ht="11.35" hidden="false" customHeight="true" outlineLevel="0" collapsed="false">
      <c r="A34" s="173" t="s">
        <v>255</v>
      </c>
      <c r="B34" s="191" t="n">
        <f aca="false">ROUNDUP(SUM(V16:X16)/25000)</f>
        <v>0</v>
      </c>
      <c r="C34" s="192" t="n">
        <f aca="false">-((ROUNDUP(10 * D16 * 1.1^D16))-( ROUNDUP(10 * (B16) * 1.1^(B16)))+(ROUNDUP(10 * I16 * 1.1^I16))-( ROUNDUP(10 * G16 * 1.1^G16))+(ROUNDUP(20 * N16 * 1.1^N16))-( ROUNDUP(20 * L16 * 1.1^L16)))</f>
        <v>-0</v>
      </c>
      <c r="D34" s="192"/>
      <c r="E34" s="193" t="n">
        <f aca="false">ROUNDDOWN(20 * S16 * 1.1 ^ S16)-(ROUNDDOWN(20 * Q16 * 1.1 ^ Q16))</f>
        <v>0</v>
      </c>
      <c r="F34" s="194" t="n">
        <f aca="false">C34+E34</f>
        <v>0</v>
      </c>
      <c r="G34" s="0"/>
      <c r="H34" s="0"/>
      <c r="I34" s="0"/>
      <c r="J34" s="0"/>
      <c r="K34" s="0"/>
      <c r="L34" s="0"/>
      <c r="M34" s="0"/>
      <c r="N34" s="0"/>
      <c r="O34" s="0"/>
    </row>
    <row r="35" customFormat="false" ht="11.35" hidden="false" customHeight="true" outlineLevel="0" collapsed="false">
      <c r="A35" s="173" t="s">
        <v>256</v>
      </c>
      <c r="B35" s="191" t="n">
        <f aca="false">ROUNDUP(SUM(V17:X17)/25000)</f>
        <v>0</v>
      </c>
      <c r="C35" s="192" t="n">
        <f aca="false">-((ROUNDUP(10 * D17 * 1.1^D17))-( ROUNDUP(10 * (B17) * 1.1^(B17)))+(ROUNDUP(10 * I17 * 1.1^I17))-( ROUNDUP(10 * G17 * 1.1^G17))+(ROUNDUP(20 * N17 * 1.1^N17))-( ROUNDUP(20 * L17 * 1.1^L17)))</f>
        <v>-0</v>
      </c>
      <c r="D35" s="192"/>
      <c r="E35" s="193" t="n">
        <f aca="false">ROUNDDOWN(20 * S17 * 1.1 ^ S17)-(ROUNDDOWN(20 * Q17 * 1.1 ^ Q17))</f>
        <v>0</v>
      </c>
      <c r="F35" s="194" t="n">
        <f aca="false">C35+E35</f>
        <v>0</v>
      </c>
      <c r="G35" s="0"/>
      <c r="H35" s="0"/>
      <c r="I35" s="0"/>
      <c r="J35" s="0"/>
      <c r="K35" s="0"/>
      <c r="L35" s="0"/>
      <c r="M35" s="0"/>
      <c r="N35" s="0"/>
      <c r="O35" s="0"/>
    </row>
    <row r="36" customFormat="false" ht="11.35" hidden="false" customHeight="true" outlineLevel="0" collapsed="false">
      <c r="A36" s="173" t="s">
        <v>257</v>
      </c>
      <c r="B36" s="191" t="n">
        <f aca="false">ROUNDUP(SUM(V18:X18)/25000)</f>
        <v>0</v>
      </c>
      <c r="C36" s="192" t="n">
        <f aca="false">-((ROUNDUP(10 * D18 * 1.1^D18))-( ROUNDUP(10 * (B18) * 1.1^(B18)))+(ROUNDUP(10 * I18 * 1.1^I18))-( ROUNDUP(10 * G18 * 1.1^G18))+(ROUNDUP(20 * N18 * 1.1^N18))-( ROUNDUP(20 * L18 * 1.1^L18)))</f>
        <v>-0</v>
      </c>
      <c r="D36" s="192"/>
      <c r="E36" s="193" t="n">
        <f aca="false">ROUNDDOWN(20 * S18 * 1.1 ^ S18)-(ROUNDDOWN(20 * Q18 * 1.1 ^ Q18))</f>
        <v>0</v>
      </c>
      <c r="F36" s="194" t="n">
        <f aca="false">C36+E36</f>
        <v>0</v>
      </c>
      <c r="G36" s="0"/>
      <c r="H36" s="0"/>
      <c r="I36" s="0"/>
      <c r="J36" s="0"/>
      <c r="K36" s="0"/>
      <c r="L36" s="0"/>
      <c r="M36" s="0"/>
      <c r="N36" s="0"/>
      <c r="O36" s="0"/>
    </row>
    <row r="37" customFormat="false" ht="11.35" hidden="false" customHeight="true" outlineLevel="0" collapsed="false">
      <c r="A37" s="173" t="s">
        <v>258</v>
      </c>
      <c r="B37" s="191" t="n">
        <f aca="false">ROUNDUP(SUM(V19:X19)/25000)</f>
        <v>0</v>
      </c>
      <c r="C37" s="192" t="n">
        <f aca="false">-((ROUNDUP(10 * D19 * 1.1^D19))-( ROUNDUP(10 * (B19) * 1.1^(B19)))+(ROUNDUP(10 * I19 * 1.1^I19))-( ROUNDUP(10 * G19 * 1.1^G19))+(ROUNDUP(20 * N19 * 1.1^N19))-( ROUNDUP(20 * L19 * 1.1^L19)))</f>
        <v>-0</v>
      </c>
      <c r="D37" s="192"/>
      <c r="E37" s="193" t="n">
        <f aca="false">ROUNDDOWN(20 * S19 * 1.1 ^ S19)-(ROUNDDOWN(20 * Q19 * 1.1 ^ Q19))</f>
        <v>0</v>
      </c>
      <c r="F37" s="194" t="n">
        <f aca="false">C37+E37</f>
        <v>0</v>
      </c>
      <c r="G37" s="0"/>
      <c r="H37" s="0"/>
      <c r="I37" s="0"/>
      <c r="J37" s="0"/>
      <c r="K37" s="0"/>
      <c r="L37" s="0"/>
      <c r="M37" s="0"/>
      <c r="N37" s="0"/>
      <c r="O37" s="0"/>
    </row>
    <row r="38" customFormat="false" ht="11.35" hidden="false" customHeight="true" outlineLevel="0" collapsed="false">
      <c r="A38" s="0"/>
      <c r="B38" s="191" t="n">
        <f aca="false">SUM(B23:B37)</f>
        <v>0</v>
      </c>
      <c r="C38" s="195"/>
      <c r="D38" s="195"/>
      <c r="E38" s="195"/>
      <c r="F38" s="195"/>
      <c r="G38" s="0"/>
      <c r="H38" s="0"/>
      <c r="I38" s="0"/>
      <c r="J38" s="0"/>
      <c r="K38" s="0"/>
      <c r="L38" s="0"/>
      <c r="M38" s="0"/>
      <c r="N38" s="0"/>
      <c r="O38" s="0"/>
    </row>
  </sheetData>
  <mergeCells count="46">
    <mergeCell ref="A1:X2"/>
    <mergeCell ref="B3:D3"/>
    <mergeCell ref="E3:F3"/>
    <mergeCell ref="G3:I3"/>
    <mergeCell ref="J3:K3"/>
    <mergeCell ref="L3:N3"/>
    <mergeCell ref="O3:P3"/>
    <mergeCell ref="Q3:S3"/>
    <mergeCell ref="T3:U3"/>
    <mergeCell ref="V3:X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C21:F21"/>
    <mergeCell ref="I21:L21"/>
    <mergeCell ref="C22:D22"/>
    <mergeCell ref="C23:D23"/>
    <mergeCell ref="G23:H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</mergeCells>
  <conditionalFormatting sqref="F23">
    <cfRule type="cellIs" priority="2" operator="greaterThanOrEqual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conditionalFormatting sqref="F24">
    <cfRule type="cellIs" priority="4" operator="greaterThanOrEqual" aboveAverage="0" equalAverage="0" bottom="0" percent="0" rank="0" text="" dxfId="0">
      <formula>0</formula>
    </cfRule>
    <cfRule type="cellIs" priority="5" operator="lessThanOrEqual" aboveAverage="0" equalAverage="0" bottom="0" percent="0" rank="0" text="" dxfId="1">
      <formula>0</formula>
    </cfRule>
  </conditionalFormatting>
  <conditionalFormatting sqref="F25">
    <cfRule type="cellIs" priority="6" operator="greaterThanOrEqual" aboveAverage="0" equalAverage="0" bottom="0" percent="0" rank="0" text="" dxfId="0">
      <formula>0</formula>
    </cfRule>
    <cfRule type="cellIs" priority="7" operator="lessThanOrEqual" aboveAverage="0" equalAverage="0" bottom="0" percent="0" rank="0" text="" dxfId="1">
      <formula>0</formula>
    </cfRule>
  </conditionalFormatting>
  <conditionalFormatting sqref="F26">
    <cfRule type="cellIs" priority="8" operator="greaterThanOrEqual" aboveAverage="0" equalAverage="0" bottom="0" percent="0" rank="0" text="" dxfId="0">
      <formula>0</formula>
    </cfRule>
    <cfRule type="cellIs" priority="9" operator="lessThanOrEqual" aboveAverage="0" equalAverage="0" bottom="0" percent="0" rank="0" text="" dxfId="1">
      <formula>0</formula>
    </cfRule>
  </conditionalFormatting>
  <conditionalFormatting sqref="F27">
    <cfRule type="cellIs" priority="10" operator="greaterThanOrEqual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0</formula>
    </cfRule>
  </conditionalFormatting>
  <conditionalFormatting sqref="F28">
    <cfRule type="cellIs" priority="12" operator="lessThan" aboveAverage="0" equalAverage="0" bottom="0" percent="0" rank="0" text="" dxfId="1">
      <formula>0</formula>
    </cfRule>
    <cfRule type="cellIs" priority="13" operator="greaterThanOrEqual" aboveAverage="0" equalAverage="0" bottom="0" percent="0" rank="0" text="" dxfId="0">
      <formula>0</formula>
    </cfRule>
  </conditionalFormatting>
  <conditionalFormatting sqref="F29">
    <cfRule type="cellIs" priority="14" operator="lessThan" aboveAverage="0" equalAverage="0" bottom="0" percent="0" rank="0" text="" dxfId="1">
      <formula>0</formula>
    </cfRule>
    <cfRule type="cellIs" priority="15" operator="greaterThanOrEqual" aboveAverage="0" equalAverage="0" bottom="0" percent="0" rank="0" text="" dxfId="0">
      <formula>0</formula>
    </cfRule>
  </conditionalFormatting>
  <conditionalFormatting sqref="F30">
    <cfRule type="cellIs" priority="16" operator="lessThan" aboveAverage="0" equalAverage="0" bottom="0" percent="0" rank="0" text="" dxfId="1">
      <formula>0</formula>
    </cfRule>
    <cfRule type="cellIs" priority="17" operator="greaterThanOrEqual" aboveAverage="0" equalAverage="0" bottom="0" percent="0" rank="0" text="" dxfId="0">
      <formula>0</formula>
    </cfRule>
  </conditionalFormatting>
  <conditionalFormatting sqref="F31">
    <cfRule type="cellIs" priority="18" operator="lessThan" aboveAverage="0" equalAverage="0" bottom="0" percent="0" rank="0" text="" dxfId="1">
      <formula>0</formula>
    </cfRule>
    <cfRule type="cellIs" priority="19" operator="greaterThanOrEqual" aboveAverage="0" equalAverage="0" bottom="0" percent="0" rank="0" text="" dxfId="0">
      <formula>0</formula>
    </cfRule>
  </conditionalFormatting>
  <conditionalFormatting sqref="F32">
    <cfRule type="cellIs" priority="20" operator="lessThan" aboveAverage="0" equalAverage="0" bottom="0" percent="0" rank="0" text="" dxfId="1">
      <formula>0</formula>
    </cfRule>
    <cfRule type="cellIs" priority="21" operator="greaterThanOrEqual" aboveAverage="0" equalAverage="0" bottom="0" percent="0" rank="0" text="" dxfId="0">
      <formula>0</formula>
    </cfRule>
  </conditionalFormatting>
  <conditionalFormatting sqref="F33">
    <cfRule type="cellIs" priority="22" operator="lessThan" aboveAverage="0" equalAverage="0" bottom="0" percent="0" rank="0" text="" dxfId="1">
      <formula>0</formula>
    </cfRule>
    <cfRule type="cellIs" priority="23" operator="greaterThanOrEqual" aboveAverage="0" equalAverage="0" bottom="0" percent="0" rank="0" text="" dxfId="0">
      <formula>0</formula>
    </cfRule>
  </conditionalFormatting>
  <conditionalFormatting sqref="F34">
    <cfRule type="cellIs" priority="24" operator="lessThan" aboveAverage="0" equalAverage="0" bottom="0" percent="0" rank="0" text="" dxfId="1">
      <formula>0</formula>
    </cfRule>
    <cfRule type="cellIs" priority="25" operator="greaterThanOrEqual" aboveAverage="0" equalAverage="0" bottom="0" percent="0" rank="0" text="" dxfId="0">
      <formula>0</formula>
    </cfRule>
  </conditionalFormatting>
  <conditionalFormatting sqref="F35">
    <cfRule type="cellIs" priority="26" operator="lessThan" aboveAverage="0" equalAverage="0" bottom="0" percent="0" rank="0" text="" dxfId="1">
      <formula>0</formula>
    </cfRule>
    <cfRule type="cellIs" priority="27" operator="greaterThanOrEqual" aboveAverage="0" equalAverage="0" bottom="0" percent="0" rank="0" text="" dxfId="0">
      <formula>0</formula>
    </cfRule>
  </conditionalFormatting>
  <conditionalFormatting sqref="F36:F37">
    <cfRule type="cellIs" priority="28" operator="lessThan" aboveAverage="0" equalAverage="0" bottom="0" percent="0" rank="0" text="" dxfId="1">
      <formula>0</formula>
    </cfRule>
    <cfRule type="cellIs" priority="29" operator="greaterThanOr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3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RowHeight="9.9"/>
  <cols>
    <col collapsed="false" hidden="false" max="2" min="1" style="1" width="10.2040816326531"/>
    <col collapsed="false" hidden="false" max="3" min="3" style="1" width="12.780612244898"/>
    <col collapsed="false" hidden="false" max="4" min="4" style="1" width="10.2040816326531"/>
    <col collapsed="false" hidden="false" max="5" min="5" style="1" width="12.780612244898"/>
    <col collapsed="false" hidden="false" max="6" min="6" style="1" width="11.1122448979592"/>
    <col collapsed="false" hidden="false" max="14" min="7" style="1" width="10.2040816326531"/>
    <col collapsed="false" hidden="false" max="15" min="15" style="1" width="12.0867346938776"/>
    <col collapsed="false" hidden="false" max="16" min="16" style="1" width="10.2040816326531"/>
    <col collapsed="false" hidden="false" max="17" min="17" style="1" width="5.96428571428571"/>
    <col collapsed="false" hidden="false" max="1025" min="18" style="1" width="11.5204081632653"/>
  </cols>
  <sheetData>
    <row r="1" customFormat="false" ht="11.05" hidden="false" customHeight="true" outlineLevel="0" collapsed="false">
      <c r="A1" s="196" t="s">
        <v>264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43"/>
    </row>
    <row r="2" customFormat="false" ht="11.05" hidden="false" customHeight="true" outlineLevel="0" collapsed="false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43"/>
    </row>
    <row r="3" customFormat="false" ht="11.05" hidden="false" customHeight="true" outlineLevel="0" collapsed="false">
      <c r="A3" s="33" t="s">
        <v>38</v>
      </c>
      <c r="B3" s="33"/>
      <c r="C3" s="33"/>
      <c r="D3" s="33"/>
      <c r="E3" s="33"/>
      <c r="F3" s="33"/>
      <c r="G3" s="33"/>
      <c r="H3" s="7"/>
      <c r="I3" s="33" t="s">
        <v>265</v>
      </c>
      <c r="J3" s="33"/>
      <c r="K3" s="33"/>
      <c r="L3" s="33"/>
      <c r="M3" s="7"/>
      <c r="N3" s="7"/>
      <c r="O3" s="197" t="s">
        <v>266</v>
      </c>
      <c r="P3" s="197" t="s">
        <v>267</v>
      </c>
      <c r="Q3" s="43"/>
    </row>
    <row r="4" customFormat="false" ht="11.05" hidden="false" customHeight="true" outlineLevel="0" collapsed="false">
      <c r="A4" s="197" t="s">
        <v>108</v>
      </c>
      <c r="B4" s="197" t="s">
        <v>21</v>
      </c>
      <c r="C4" s="197" t="s">
        <v>23</v>
      </c>
      <c r="D4" s="197" t="s">
        <v>24</v>
      </c>
      <c r="E4" s="197" t="s">
        <v>268</v>
      </c>
      <c r="F4" s="198" t="s">
        <v>230</v>
      </c>
      <c r="G4" s="198" t="s">
        <v>269</v>
      </c>
      <c r="H4" s="7"/>
      <c r="I4" s="12"/>
      <c r="J4" s="12" t="s">
        <v>232</v>
      </c>
      <c r="K4" s="12" t="s">
        <v>21</v>
      </c>
      <c r="L4" s="12" t="s">
        <v>23</v>
      </c>
      <c r="M4" s="7"/>
      <c r="N4" s="12" t="s">
        <v>270</v>
      </c>
      <c r="O4" s="12" t="s">
        <v>271</v>
      </c>
      <c r="P4" s="12" t="s">
        <v>272</v>
      </c>
      <c r="Q4" s="43"/>
    </row>
    <row r="5" customFormat="false" ht="11.05" hidden="false" customHeight="true" outlineLevel="0" collapsed="false">
      <c r="A5" s="157" t="n">
        <v>0</v>
      </c>
      <c r="B5" s="72" t="n">
        <f aca="false">IF(A5=0,0,ROUND(4000*1.75^(A5-1),-2))</f>
        <v>0</v>
      </c>
      <c r="C5" s="72" t="n">
        <f aca="false">IF(A5=0,0,ROUND(8000*1.75^(A5-1),-2))</f>
        <v>0</v>
      </c>
      <c r="D5" s="72" t="n">
        <f aca="false">IF(A5=0,0,ROUND(4000*1.75^(A5-1),-2))</f>
        <v>0</v>
      </c>
      <c r="E5" s="199" t="n">
        <f aca="false">SECOND((($B5+$C5)/(1000*(1+$P$10))/24)/Production!$B$29)+100*MINUTE((($B5+$C5)/(1000*(1+$P$10))/24)/Production!$B$29)+10000*HOUR((($B5+$C5)/(1000*(1+$P$10))/24)/Production!$B$29)+1000000*ROUNDDOWN((((($B5+$C5)/(1000*(1+$P$10))/24)/Production!$B$29)))</f>
        <v>0</v>
      </c>
      <c r="F5" s="199" t="n">
        <f aca="false">SECOND(0.75*(($B5+$C5)/(1000*(1+$P$10))/24)/Production!$B$29)+100*MINUTE(0.75*(($B5+$C5)/(1000*(1+$P$10))/24)/Production!$B$29)+10000*HOUR(0.75*(($B5+$C5)/(1000*(1+$P$10))/24)/Production!$B$29)+1000000*ROUNDDOWN(((0.75*(($B5+$C5)/(1000*(1+$P$10))/24)/Production!$B$29)))</f>
        <v>0</v>
      </c>
      <c r="G5" s="199" t="n">
        <f aca="false">SECOND(0.75*(0.75*(($B5+$C5)/(1000*(1+$P$10))/24)/Production!$B$29))+100*MINUTE(0.75*(0.75*(($B5+$C5)/(1000*(1+$P$10))/24)/Production!$B$29))+10000*HOUR(0.75*(0.75*(($B5+$C5)/(1000*(1+$P$10))/24)/Production!$B$29))+1000000*ROUNDDOWN((0.75*((0.75*(($B5+$C5)/(1000*(1+$P$10))/24)/Production!$B$29))))</f>
        <v>0</v>
      </c>
      <c r="H5" s="7"/>
      <c r="I5" s="12" t="n">
        <f aca="false">A5</f>
        <v>0</v>
      </c>
      <c r="J5" s="16" t="n">
        <f aca="false">(ROUNDUP(SUM(B5:D5)/25000))</f>
        <v>0</v>
      </c>
      <c r="K5" s="16" t="n">
        <f aca="false">J5*6000</f>
        <v>0</v>
      </c>
      <c r="L5" s="16" t="n">
        <f aca="false">J5*6000</f>
        <v>0</v>
      </c>
      <c r="M5" s="7"/>
      <c r="N5" s="12" t="s">
        <v>270</v>
      </c>
      <c r="O5" s="12" t="s">
        <v>273</v>
      </c>
      <c r="P5" s="12" t="s">
        <v>274</v>
      </c>
      <c r="Q5" s="43"/>
    </row>
    <row r="6" customFormat="false" ht="11.05" hidden="false" customHeight="true" outlineLevel="0" collapsed="false">
      <c r="A6" s="157" t="n">
        <v>1</v>
      </c>
      <c r="B6" s="72" t="n">
        <f aca="false">ROUND(4000*1.75^(A6-1),-2)</f>
        <v>4000</v>
      </c>
      <c r="C6" s="72" t="n">
        <f aca="false">ROUND(8000*1.75^(A6-1),-2)</f>
        <v>8000</v>
      </c>
      <c r="D6" s="72" t="n">
        <f aca="false">ROUND(4000*1.75^(A6-1),-2)</f>
        <v>4000</v>
      </c>
      <c r="E6" s="199" t="n">
        <f aca="false">SECOND((($B6+$C6)/(1000*(1+$P$10))/24)/Production!$B$29)+100*MINUTE((($B6+$C6)/(1000*(1+$P$10))/24)/Production!$B$29)+10000*HOUR((($B6+$C6)/(1000*(1+$P$10))/24)/Production!$B$29)+1000000*ROUNDDOWN((((($B6+$C6)/(1000*(1+$P$10))/24)/Production!$B$29)))</f>
        <v>2149</v>
      </c>
      <c r="F6" s="199" t="n">
        <f aca="false">SECOND(0.75*(($B6+$C6)/(1000*(1+$P$10))/24)/Production!$B$29)+100*MINUTE(0.75*(($B6+$C6)/(1000*(1+$P$10))/24)/Production!$B$29)+10000*HOUR(0.75*(($B6+$C6)/(1000*(1+$P$10))/24)/Production!$B$29)+1000000*ROUNDDOWN(((0.75*(($B6+$C6)/(1000*(1+$P$10))/24)/Production!$B$29)))</f>
        <v>1622</v>
      </c>
      <c r="G6" s="199" t="n">
        <f aca="false">SECOND(0.75*(0.75*(($B6+$C6)/(1000*(1+$P$10))/24)/Production!$B$29))+100*MINUTE(0.75*(0.75*(($B6+$C6)/(1000*(1+$P$10))/24)/Production!$B$29))+10000*HOUR(0.75*(0.75*(($B6+$C6)/(1000*(1+$P$10))/24)/Production!$B$29))+1000000*ROUNDDOWN((0.75*((0.75*(($B6+$C6)/(1000*(1+$P$10))/24)/Production!$B$29))))</f>
        <v>1216</v>
      </c>
      <c r="H6" s="200"/>
      <c r="I6" s="12" t="n">
        <f aca="false">A6</f>
        <v>1</v>
      </c>
      <c r="J6" s="16" t="n">
        <f aca="false">(ROUNDUP(SUM(B6:E6)/25000))</f>
        <v>1</v>
      </c>
      <c r="K6" s="16" t="n">
        <f aca="false">J6*6000</f>
        <v>6000</v>
      </c>
      <c r="L6" s="16" t="n">
        <f aca="false">J6*6000</f>
        <v>6000</v>
      </c>
      <c r="M6" s="7"/>
      <c r="N6" s="12" t="s">
        <v>270</v>
      </c>
      <c r="O6" s="12" t="s">
        <v>275</v>
      </c>
      <c r="P6" s="12" t="s">
        <v>276</v>
      </c>
      <c r="Q6" s="43"/>
      <c r="U6" s="56"/>
    </row>
    <row r="7" customFormat="false" ht="11.05" hidden="false" customHeight="true" outlineLevel="0" collapsed="false">
      <c r="A7" s="201" t="s">
        <v>27</v>
      </c>
      <c r="B7" s="201"/>
      <c r="C7" s="201"/>
      <c r="D7" s="201"/>
      <c r="E7" s="201"/>
      <c r="F7" s="201" t="n">
        <f aca="false">SECOND(0.75*(($B7+$C7)/(1000*(1+$P$10))/24)/Production!$B$29)+100*MINUTE(0.75*(($B7+$C7)/(1000*(1+$P$10))/24)/Production!$B$29)+10000*HOUR(0.75*(($B7+$C7)/(1000*(1+$P$10))/24)/Production!$B$29)+1000000*ROUNDDOWN(((0.75*(($B7+$C7)/(1000*(1+$P$10))/24)/Production!$B$29)))</f>
        <v>0</v>
      </c>
      <c r="G7" s="201" t="n">
        <f aca="false">SECOND(0.75*(0.75*(($B7+$C7)/(1000*(1+$P$10))/24)/Production!$B$29))+100*MINUTE(0.75*(0.75*(($B7+$C7)/(1000*(1+$P$10))/24)/Production!$B$29))+10000*HOUR(0.75*(0.75*(($B7+$C7)/(1000*(1+$P$10))/24)/Production!$B$29))+1000000*ROUNDDOWN((0.75*((0.75*(($B7+$C7)/(1000*(1+$P$10))/24)/Production!$B$29))))</f>
        <v>0</v>
      </c>
      <c r="H7" s="7"/>
      <c r="I7" s="7"/>
      <c r="J7" s="7"/>
      <c r="K7" s="7"/>
      <c r="L7" s="7"/>
      <c r="M7" s="43"/>
      <c r="N7" s="43"/>
      <c r="O7" s="43"/>
      <c r="P7" s="43"/>
      <c r="Q7" s="43"/>
    </row>
    <row r="8" customFormat="false" ht="11.05" hidden="false" customHeight="true" outlineLevel="0" collapsed="false">
      <c r="A8" s="106" t="n">
        <v>0</v>
      </c>
      <c r="B8" s="72" t="n">
        <f aca="false"> IF(A8=0,0,(2000) * 2^(A8-1))</f>
        <v>0</v>
      </c>
      <c r="C8" s="72" t="n">
        <f aca="false">IF(B8=0,0, (4000) * 2^(A8-1))</f>
        <v>0</v>
      </c>
      <c r="D8" s="72" t="n">
        <f aca="false"> IF(A8=0,0,(1000) * 2^(A8-1))</f>
        <v>0</v>
      </c>
      <c r="E8" s="199" t="n">
        <f aca="false">SECOND((($B8+$C8)/(1000*(1+$P$10))/24)/Production!$B$29)+100*MINUTE((($B8+$C8)/(1000*(1+$P$10))/24)/Production!$B$29)+10000*HOUR((($B8+$C8)/(1000*(1+$P$10))/24)/Production!$B$29)+1000000*ROUNDDOWN((((($B8+$C8)/(1000*(1+$P$10))/24)/Production!$B$29)))</f>
        <v>0</v>
      </c>
      <c r="F8" s="199" t="n">
        <f aca="false">SECOND(0.75*(($B8+$C8)/(1000*(1+$P$10))/24)/Production!$B$29)+100*MINUTE(0.75*(($B8+$C8)/(1000*(1+$P$10))/24)/Production!$B$29)+10000*HOUR(0.75*(($B8+$C8)/(1000*(1+$P$10))/24)/Production!$B$29)+1000000*ROUNDDOWN(((0.75*(($B8+$C8)/(1000*(1+$P$10))/24)/Production!$B$29)))</f>
        <v>0</v>
      </c>
      <c r="G8" s="199" t="n">
        <f aca="false">SECOND(0.75*(0.75*(($B8+$C8)/(1000*(1+$P$10))/24)/Production!$B$29))+100*MINUTE(0.75*(0.75*(($B8+$C8)/(1000*(1+$P$10))/24)/Production!$B$29))+10000*HOUR(0.75*(0.75*(($B8+$C8)/(1000*(1+$P$10))/24)/Production!$B$29))+1000000*ROUNDDOWN((0.75*((0.75*(($B8+$C8)/(1000*(1+$P$10))/24)/Production!$B$29))))</f>
        <v>0</v>
      </c>
      <c r="H8" s="7"/>
      <c r="I8" s="43"/>
      <c r="J8" s="43"/>
      <c r="K8" s="43"/>
      <c r="L8" s="7"/>
      <c r="M8" s="43"/>
      <c r="N8" s="43"/>
      <c r="O8" s="43"/>
      <c r="P8" s="43"/>
      <c r="Q8" s="43"/>
      <c r="U8" s="56"/>
    </row>
    <row r="9" customFormat="false" ht="11.0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43"/>
      <c r="J9" s="43"/>
      <c r="K9" s="43"/>
      <c r="L9" s="7"/>
      <c r="M9" s="43"/>
      <c r="N9" s="43"/>
      <c r="O9" s="43"/>
      <c r="P9" s="43"/>
      <c r="Q9" s="43"/>
      <c r="U9" s="56"/>
    </row>
    <row r="10" customFormat="false" ht="11.05" hidden="false" customHeight="true" outlineLevel="0" collapsed="false">
      <c r="A10" s="33" t="s">
        <v>103</v>
      </c>
      <c r="B10" s="33"/>
      <c r="C10" s="33"/>
      <c r="D10" s="33"/>
      <c r="E10" s="7"/>
      <c r="F10" s="33" t="s">
        <v>277</v>
      </c>
      <c r="G10" s="33"/>
      <c r="H10" s="33"/>
      <c r="I10" s="33"/>
      <c r="J10" s="159" t="s">
        <v>278</v>
      </c>
      <c r="K10" s="159"/>
      <c r="L10" s="159"/>
      <c r="M10" s="159"/>
      <c r="N10" s="43"/>
      <c r="O10" s="202" t="s">
        <v>228</v>
      </c>
      <c r="P10" s="130" t="n">
        <v>10</v>
      </c>
      <c r="Q10" s="43"/>
    </row>
    <row r="11" customFormat="false" ht="11.05" hidden="false" customHeight="true" outlineLevel="0" collapsed="false">
      <c r="A11" s="12"/>
      <c r="B11" s="12" t="s">
        <v>21</v>
      </c>
      <c r="C11" s="12" t="s">
        <v>23</v>
      </c>
      <c r="D11" s="12" t="s">
        <v>24</v>
      </c>
      <c r="E11" s="7"/>
      <c r="F11" s="12" t="s">
        <v>279</v>
      </c>
      <c r="G11" s="12" t="s">
        <v>21</v>
      </c>
      <c r="H11" s="12" t="s">
        <v>23</v>
      </c>
      <c r="I11" s="12" t="s">
        <v>221</v>
      </c>
      <c r="J11" s="203" t="s">
        <v>21</v>
      </c>
      <c r="K11" s="203" t="s">
        <v>23</v>
      </c>
      <c r="L11" s="203" t="s">
        <v>24</v>
      </c>
      <c r="M11" s="203" t="s">
        <v>280</v>
      </c>
      <c r="N11" s="43"/>
      <c r="O11" s="43"/>
      <c r="P11" s="43"/>
      <c r="Q11" s="43"/>
    </row>
    <row r="12" customFormat="false" ht="11.05" hidden="false" customHeight="true" outlineLevel="0" collapsed="false">
      <c r="A12" s="12" t="s">
        <v>115</v>
      </c>
      <c r="B12" s="16" t="n">
        <f aca="false">(Production!G19)*24</f>
        <v>2160</v>
      </c>
      <c r="C12" s="16" t="n">
        <f aca="false">(Production!L19)*24</f>
        <v>1080</v>
      </c>
      <c r="D12" s="16" t="n">
        <f aca="false">(Production!Q19)*24</f>
        <v>0</v>
      </c>
      <c r="E12" s="7"/>
      <c r="F12" s="12" t="n">
        <f aca="false">A5</f>
        <v>0</v>
      </c>
      <c r="G12" s="124" t="n">
        <f aca="false">B5/B14</f>
        <v>0</v>
      </c>
      <c r="H12" s="124" t="n">
        <f aca="false">C5/C14</f>
        <v>0</v>
      </c>
      <c r="I12" s="124" t="e">
        <f aca="false">D5/D14</f>
        <v>#DIV/0!</v>
      </c>
      <c r="J12" s="204" t="n">
        <f aca="false">B5/(B14+(D14*2.7)+(C14*1.8))</f>
        <v>0</v>
      </c>
      <c r="K12" s="204" t="n">
        <f aca="false">(C5/((C14+(B14/1.6)+(D14*1.8))))</f>
        <v>0</v>
      </c>
      <c r="L12" s="204" t="n">
        <f aca="false">D5/(D14+(B14/2.1)+(C14/1.4))</f>
        <v>0</v>
      </c>
      <c r="M12" s="204" t="n">
        <f aca="false">SUM(J12:L12)</f>
        <v>0</v>
      </c>
      <c r="N12" s="43"/>
      <c r="O12" s="43"/>
      <c r="P12" s="43"/>
      <c r="Q12" s="43"/>
    </row>
    <row r="13" customFormat="false" ht="11.05" hidden="false" customHeight="true" outlineLevel="0" collapsed="false">
      <c r="A13" s="12" t="s">
        <v>116</v>
      </c>
      <c r="B13" s="16" t="n">
        <f aca="false">B12*7</f>
        <v>15120</v>
      </c>
      <c r="C13" s="16" t="n">
        <f aca="false">C12*7</f>
        <v>7560</v>
      </c>
      <c r="D13" s="16" t="n">
        <f aca="false">D12*7</f>
        <v>0</v>
      </c>
      <c r="E13" s="7"/>
      <c r="F13" s="12" t="n">
        <f aca="false">A6</f>
        <v>1</v>
      </c>
      <c r="G13" s="124" t="n">
        <f aca="false">SUM(B6/B14)</f>
        <v>0.060916179337232</v>
      </c>
      <c r="H13" s="124" t="n">
        <f aca="false">C6/C14</f>
        <v>0.243664717348928</v>
      </c>
      <c r="I13" s="124" t="e">
        <f aca="false">D6/D14</f>
        <v>#DIV/0!</v>
      </c>
      <c r="J13" s="204" t="n">
        <f aca="false">B6/(B14+(D14*2.7)+(C14*1.8))</f>
        <v>0.0320611470195958</v>
      </c>
      <c r="K13" s="204" t="n">
        <f aca="false">(C6/((C14+(B14/1.6)+(D14*1.8))))</f>
        <v>0.108295429932857</v>
      </c>
      <c r="L13" s="204" t="n">
        <f aca="false">D6/(D14+(B14/2.1)+(C14/1.4))</f>
        <v>0.0730994152046784</v>
      </c>
      <c r="M13" s="204" t="n">
        <f aca="false">SUM(J13:L13)</f>
        <v>0.213455992157131</v>
      </c>
      <c r="N13" s="43"/>
      <c r="O13" s="43"/>
      <c r="P13" s="43"/>
      <c r="Q13" s="43"/>
    </row>
    <row r="14" customFormat="false" ht="11.05" hidden="false" customHeight="true" outlineLevel="0" collapsed="false">
      <c r="A14" s="12" t="s">
        <v>117</v>
      </c>
      <c r="B14" s="16" t="n">
        <f aca="false">B12*30.4</f>
        <v>65664</v>
      </c>
      <c r="C14" s="16" t="n">
        <f aca="false">C12*30.4</f>
        <v>32832</v>
      </c>
      <c r="D14" s="16" t="n">
        <f aca="false">D12*30.4</f>
        <v>0</v>
      </c>
      <c r="E14" s="7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customFormat="false" ht="11.05" hidden="false" customHeight="true" outlineLevel="0" collapsed="false">
      <c r="A15" s="205" t="s">
        <v>281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</row>
    <row r="16" customFormat="false" ht="11.05" hidden="false" customHeight="true" outlineLevel="0" collapsed="false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</row>
    <row r="17" customFormat="false" ht="11.05" hidden="false" customHeight="true" outlineLevel="0" collapsed="false">
      <c r="A17" s="66" t="s">
        <v>282</v>
      </c>
      <c r="B17" s="66"/>
      <c r="C17" s="66"/>
      <c r="D17" s="66"/>
      <c r="E17" s="66"/>
      <c r="F17" s="66"/>
      <c r="G17" s="66"/>
      <c r="H17" s="66"/>
      <c r="I17" s="43"/>
      <c r="J17" s="66" t="s">
        <v>283</v>
      </c>
      <c r="K17" s="66"/>
      <c r="L17" s="66"/>
      <c r="M17" s="66"/>
      <c r="N17" s="66"/>
      <c r="O17" s="66"/>
      <c r="P17" s="66"/>
      <c r="R17" s="56"/>
      <c r="S17" s="56"/>
      <c r="T17" s="56"/>
      <c r="U17" s="56"/>
    </row>
    <row r="18" customFormat="false" ht="11.05" hidden="false" customHeight="true" outlineLevel="0" collapsed="false">
      <c r="A18" s="16"/>
      <c r="B18" s="16" t="s">
        <v>284</v>
      </c>
      <c r="C18" s="16" t="s">
        <v>285</v>
      </c>
      <c r="D18" s="16" t="s">
        <v>286</v>
      </c>
      <c r="E18" s="9" t="s">
        <v>287</v>
      </c>
      <c r="F18" s="9" t="s">
        <v>288</v>
      </c>
      <c r="G18" s="206" t="s">
        <v>289</v>
      </c>
      <c r="H18" s="206"/>
      <c r="I18" s="43"/>
      <c r="J18" s="16"/>
      <c r="K18" s="16"/>
      <c r="L18" s="9" t="s">
        <v>21</v>
      </c>
      <c r="M18" s="9" t="s">
        <v>23</v>
      </c>
      <c r="N18" s="9" t="s">
        <v>221</v>
      </c>
      <c r="O18" s="206" t="s">
        <v>290</v>
      </c>
      <c r="P18" s="206"/>
      <c r="R18" s="56"/>
      <c r="S18" s="56"/>
      <c r="T18" s="56"/>
      <c r="U18" s="56"/>
    </row>
    <row r="19" customFormat="false" ht="11.05" hidden="false" customHeight="true" outlineLevel="0" collapsed="false">
      <c r="A19" s="152" t="s">
        <v>31</v>
      </c>
      <c r="B19" s="129" t="n">
        <v>0</v>
      </c>
      <c r="C19" s="54" t="n">
        <f aca="false">ROUNDUP(K20/2)</f>
        <v>1</v>
      </c>
      <c r="D19" s="54" t="n">
        <f aca="false">((30*Production!$B$29)+(ROUND(30*$B19*1.1^$B19)*Production!$B$29)+(IF(Production!$B$31=1,0.1*((ROUND(30*$B19*1.1^$B19)*Production!$B$29)),IF(Production!$B$31=2,0.12*((ROUND(30*$B19*1.1^$B19)*Production!$B$29)),0))+ROUND(30*$B19*1.1^$B19*0.01*Planètes!$T$15*1*Production!$B$29)))-((30*Production!$B$29)+(ROUND(30*($B19-1)*1.1^($B19-1))*Production!$B$29)+(IF(Production!$B$31=1,0.1*((ROUND(30*($B19-1)*1.1^($B19-1))*Production!$B$29)),IF(Production!$B$31=2,0.12*((ROUND(30*($B19-1)*1.1^($B19-1))*Production!$B$29)),0))+ROUND(30*($B19-1)*1.1^($B19-1)*0.01*Planètes!$T$15*1*Production!$B$29)))</f>
        <v>81</v>
      </c>
      <c r="E19" s="9" t="n">
        <f aca="false">(60 * 1.5^(B19-1))*C19</f>
        <v>40</v>
      </c>
      <c r="F19" s="9" t="n">
        <f aca="false"> (15 * 1.5^(B19-1))*C19</f>
        <v>10</v>
      </c>
      <c r="G19" s="206" t="s">
        <v>21</v>
      </c>
      <c r="H19" s="207" t="n">
        <f aca="false">C19*D19</f>
        <v>81</v>
      </c>
      <c r="I19" s="43"/>
      <c r="J19" s="152" t="s">
        <v>190</v>
      </c>
      <c r="K19" s="129" t="n">
        <f aca="false">A5</f>
        <v>0</v>
      </c>
      <c r="L19" s="9" t="n">
        <f aca="false">IF(K19=0,0,ROUND(4000*1.75^(K19-1),-2))</f>
        <v>0</v>
      </c>
      <c r="M19" s="9" t="n">
        <f aca="false">IF(K19=0,0,ROUND(8000*1.75^(K19-1),-2))</f>
        <v>0</v>
      </c>
      <c r="N19" s="9" t="n">
        <f aca="false">IF(K19=0,0,ROUND(4000*1.75^(K19-1),-2))</f>
        <v>0</v>
      </c>
      <c r="O19" s="206" t="s">
        <v>21</v>
      </c>
      <c r="P19" s="207" t="n">
        <f aca="false">((30*Production!$B$29)+(ROUND(30*$K21*1.1^$K21)*Production!$B$29)+(IF(Production!$B$31=1,0.1*((ROUND(30*$K21*1.1^$K21)*Production!$B$29)),IF(Production!$B$31=2,0.12*((ROUND(30*$K21*1.1^$K21)*Production!$B$29)),0))))+ROUND(30*$K21*1.1^$K21*0.01*Planètes!$T$15*1*Production!$B$29)</f>
        <v>90</v>
      </c>
    </row>
    <row r="20" customFormat="false" ht="11.05" hidden="false" customHeight="true" outlineLevel="0" collapsed="false">
      <c r="A20" s="152" t="s">
        <v>33</v>
      </c>
      <c r="B20" s="129" t="n">
        <v>0</v>
      </c>
      <c r="C20" s="54" t="n">
        <f aca="false">ROUNDUP(K20/2)</f>
        <v>1</v>
      </c>
      <c r="D20" s="54" t="n">
        <f aca="false">((15*Production!$B$29)+(ROUND(20*$B20*1.1^$B20)*Production!$B$29)+(IF(Production!$B$31=1,0.1*((ROUND(20*$B20*1.1^$B20)*Production!$B$29)),IF(Production!$B$31=2,0.12*((ROUND(20*$B20*1.1^$B20)*Production!$B$29)),0))+ROUND(20*$B20*1.1^$B20*0.0066*Planètes!$T$15*1*Production!$B$29)))-((15*Production!$B$29)+(ROUND(20*(($B20)-1)*1.1^(($B20)-1))*Production!$B$29)+(IF(Production!$B$31=1,0.1*((ROUND(20*(($B20)-1)*1.1^(($B20)-1))*Production!$B$29)),IF(Production!$B$31=2,0.12*((ROUND(20*(($B20)-1)*1.1^(($B20)-1))*Production!$B$29)),0))+ROUND(20*(($B20)-1)*1.1^(($B20)-1)*0.0066*Planètes!$T$15*1*Production!$B$29)))</f>
        <v>54</v>
      </c>
      <c r="E20" s="9" t="n">
        <f aca="false">(48 * 1.6^(B20-1))*C20</f>
        <v>30</v>
      </c>
      <c r="F20" s="9" t="n">
        <f aca="false">(24 * 1.6^(B20-1))*C20</f>
        <v>15</v>
      </c>
      <c r="G20" s="206" t="s">
        <v>288</v>
      </c>
      <c r="H20" s="207" t="n">
        <f aca="false">C20*D20</f>
        <v>54</v>
      </c>
      <c r="I20" s="43"/>
      <c r="J20" s="152" t="s">
        <v>190</v>
      </c>
      <c r="K20" s="129" t="n">
        <f aca="false">A6</f>
        <v>1</v>
      </c>
      <c r="L20" s="9" t="n">
        <f aca="false">ROUND(4000*1.75^(K20-1),-2)</f>
        <v>4000</v>
      </c>
      <c r="M20" s="9" t="n">
        <f aca="false">ROUND(8000*1.75^(K20-1),-2)</f>
        <v>8000</v>
      </c>
      <c r="N20" s="9" t="n">
        <f aca="false">ROUND(4000*1.75^(K20-1),-2)</f>
        <v>4000</v>
      </c>
      <c r="O20" s="206" t="s">
        <v>23</v>
      </c>
      <c r="P20" s="207" t="n">
        <f aca="false">((15*Production!$B$29)+(ROUND(20*$K22*1.1^$K22)*Production!$B$29)+(IF(Production!$B$31=1,0.1*((ROUND(20*$K22*1.1^$K22)*Production!$B$29)),IF(Production!$B$31=2,0.12*((ROUND(20*$K22*1.1^$K22)*Production!$B$29)),0))))+ROUND(20*$K22*1.1^$K22*0.0066*Planètes!$T$15*1*Production!$B$29)</f>
        <v>45</v>
      </c>
    </row>
    <row r="21" customFormat="false" ht="11.05" hidden="false" customHeight="true" outlineLevel="0" collapsed="false">
      <c r="A21" s="152" t="s">
        <v>223</v>
      </c>
      <c r="B21" s="129" t="n">
        <v>0</v>
      </c>
      <c r="C21" s="54" t="n">
        <f aca="false">ROUNDUP(K20/2)</f>
        <v>1</v>
      </c>
      <c r="D21" s="54" t="n">
        <f aca="false">(ROUND(10*B21*1.1^B21*(1.44-0.004*Production!N27)*Production!B29)+IF(Production!B31=1,0.1*(ROUND(10*$B21*1.1^$B21*(1.44-0.004*Production!N27)*Production!B29)),IF(Production!B31=2,0.12*(ROUND(10*$B21*1.1^B21*(1.44-0.004*Production!N27)*Production!B29)),0))+(ROUND(10 * B21 *1.1^B21*0.0033 *Planètes!$T$15*(1.44 - 0.004 *Production!N27)*Production!B29))-(((ROUND(10*(B21-1)*1.1^(B21-1)*(1.44-0.004*Production!N27))*Production!B29))+IF(Production!B31=1,0.1*(ROUND(10*(B21-1)*1.1^(B21-1)*(1.44-0.004*Production!N27)*Production!B29)),IF(Production!B31=2,0.12*(ROUND(10*(B21-1)*1.1^(B21-1)*(1.44-0.004*Production!N27)*Production!B29)),0))+(ROUND(10 * (B21-1) *1.1^(B21-1)*0.0033 *Planètes!$T$15*(1.44 - 0.004 *Production!N27)*Production!B29))))</f>
        <v>33</v>
      </c>
      <c r="E21" s="9" t="n">
        <f aca="false"> (225*1.5^(B21-1))*C21</f>
        <v>150</v>
      </c>
      <c r="F21" s="9" t="n">
        <f aca="false"> (75 * 1.5^(B21-1))*C21</f>
        <v>50</v>
      </c>
      <c r="G21" s="206" t="s">
        <v>221</v>
      </c>
      <c r="H21" s="207" t="n">
        <f aca="false">C21*D21</f>
        <v>33</v>
      </c>
      <c r="I21" s="43"/>
      <c r="J21" s="152" t="s">
        <v>31</v>
      </c>
      <c r="K21" s="208" t="n">
        <f aca="false">IF(B19&lt;=0,0,B19-1)</f>
        <v>0</v>
      </c>
      <c r="L21" s="9" t="n">
        <f aca="false">60 * (1 - 1.5^K21) / (-0.5)</f>
        <v>-0</v>
      </c>
      <c r="M21" s="9" t="n">
        <f aca="false">15 * (1 - 1.5^K21) / ( - 0.5)</f>
        <v>-0</v>
      </c>
      <c r="N21" s="209"/>
      <c r="O21" s="206" t="s">
        <v>221</v>
      </c>
      <c r="P21" s="207" t="n">
        <f aca="false">(ROUND(10 * K23* 1.1 ^K23* (1.44 - 0.004 *Production!N27)*Production!B29))+IF(Production!B31=1,0.1*((ROUND(10 * K23* 1.1 ^K23* (1.44 - 0.004 *Production!N27)*Production!B29))),IF(Production!B31=2,0.12*((ROUND(10 * K23* 1.1 ^K23* (1.44 - 0.004 *Production!N27)*Production!B29))),0))+ROUND(10 * K23 *1.1^K23*0.0033 *Planètes!$T$15*(1.44 - 0.004 *Production!N27)*Production!B29)</f>
        <v>0</v>
      </c>
    </row>
    <row r="22" customFormat="false" ht="11.05" hidden="false" customHeight="true" outlineLevel="0" collapsed="false">
      <c r="A22" s="43"/>
      <c r="B22" s="43"/>
      <c r="C22" s="43"/>
      <c r="D22" s="16" t="s">
        <v>5</v>
      </c>
      <c r="E22" s="210" t="n">
        <f aca="false">SUM(E19:E21)</f>
        <v>220</v>
      </c>
      <c r="F22" s="210" t="n">
        <f aca="false">SUM(F19:F21)</f>
        <v>75</v>
      </c>
      <c r="G22" s="43"/>
      <c r="H22" s="43"/>
      <c r="I22" s="43"/>
      <c r="J22" s="152" t="s">
        <v>33</v>
      </c>
      <c r="K22" s="208" t="n">
        <f aca="false">IF(B20&lt;=0,0,B20-1)</f>
        <v>0</v>
      </c>
      <c r="L22" s="9" t="n">
        <f aca="false">48 * (1 - 1.6^K22) / (-0.6)</f>
        <v>-0</v>
      </c>
      <c r="M22" s="9" t="n">
        <f aca="false">24 * (1 - 1.6^K22) / (-0.6)</f>
        <v>-0</v>
      </c>
      <c r="N22" s="209"/>
      <c r="O22" s="108"/>
      <c r="P22" s="108"/>
    </row>
    <row r="23" customFormat="false" ht="11.05" hidden="false" customHeight="true" outlineLevel="0" collapsed="false">
      <c r="A23" s="108"/>
      <c r="B23" s="108"/>
      <c r="C23" s="108"/>
      <c r="D23" s="43"/>
      <c r="E23" s="128" t="n">
        <f aca="false">SUM(E22:F22)</f>
        <v>295</v>
      </c>
      <c r="F23" s="128" t="n">
        <f aca="false">SUM(E23:E23)</f>
        <v>295</v>
      </c>
      <c r="G23" s="43"/>
      <c r="H23" s="43"/>
      <c r="I23" s="43"/>
      <c r="J23" s="152" t="s">
        <v>223</v>
      </c>
      <c r="K23" s="208" t="n">
        <f aca="false">IF(B21&lt;=0,0,B21-1)</f>
        <v>0</v>
      </c>
      <c r="L23" s="9" t="n">
        <f aca="false">225 * (1 - 1.5^K23) / (-0.5)</f>
        <v>-0</v>
      </c>
      <c r="M23" s="9" t="n">
        <f aca="false">75 * (1 - 1.5^K23) / (-0.5)</f>
        <v>-0</v>
      </c>
      <c r="N23" s="209"/>
      <c r="O23" s="108"/>
      <c r="P23" s="108"/>
    </row>
    <row r="24" customFormat="false" ht="11.05" hidden="false" customHeight="true" outlineLevel="0" collapsed="false">
      <c r="A24" s="43"/>
      <c r="B24" s="43"/>
      <c r="C24" s="43"/>
      <c r="D24" s="43"/>
      <c r="E24" s="43"/>
      <c r="F24" s="43"/>
      <c r="G24" s="108"/>
      <c r="H24" s="43"/>
      <c r="I24" s="43"/>
      <c r="J24" s="152" t="s">
        <v>37</v>
      </c>
      <c r="K24" s="129" t="n">
        <v>0</v>
      </c>
      <c r="L24" s="9" t="n">
        <f aca="false">75 * (1 - 1.5^K24) / (-0.5)</f>
        <v>-0</v>
      </c>
      <c r="M24" s="9" t="n">
        <f aca="false">30 * (1 - 1.5^K24) / (-0.5)</f>
        <v>-0</v>
      </c>
      <c r="N24" s="209"/>
      <c r="O24" s="108"/>
      <c r="P24" s="43"/>
    </row>
    <row r="25" customFormat="false" ht="11.05" hidden="false" customHeight="true" outlineLevel="0" collapsed="false">
      <c r="A25" s="43"/>
      <c r="B25" s="43"/>
      <c r="C25" s="43"/>
      <c r="D25" s="43"/>
      <c r="E25" s="43"/>
      <c r="F25" s="43"/>
      <c r="G25" s="43"/>
      <c r="H25" s="43"/>
      <c r="I25" s="43"/>
      <c r="J25" s="152" t="s">
        <v>41</v>
      </c>
      <c r="K25" s="129" t="n">
        <v>0</v>
      </c>
      <c r="L25" s="9" t="n">
        <f aca="false">(1000) * - (1 - 2^K25)</f>
        <v>-0</v>
      </c>
      <c r="M25" s="209"/>
      <c r="N25" s="209"/>
      <c r="O25" s="108"/>
      <c r="P25" s="43"/>
    </row>
    <row r="26" customFormat="false" ht="11.05" hidden="false" customHeight="true" outlineLevel="0" collapsed="false">
      <c r="A26" s="66" t="s">
        <v>291</v>
      </c>
      <c r="B26" s="66"/>
      <c r="C26" s="66"/>
      <c r="D26" s="66"/>
      <c r="E26" s="66"/>
      <c r="F26" s="43"/>
      <c r="G26" s="43"/>
      <c r="H26" s="43"/>
      <c r="I26" s="43"/>
      <c r="J26" s="152" t="s">
        <v>43</v>
      </c>
      <c r="K26" s="129" t="n">
        <v>0</v>
      </c>
      <c r="L26" s="9" t="n">
        <f aca="false">(1000) * - (1 - 2^K26)</f>
        <v>-0</v>
      </c>
      <c r="M26" s="9" t="n">
        <f aca="false">(500) * - (1 - 2^K26)</f>
        <v>-0</v>
      </c>
      <c r="N26" s="209"/>
      <c r="O26" s="108"/>
      <c r="P26" s="43"/>
    </row>
    <row r="27" customFormat="false" ht="11.05" hidden="false" customHeight="true" outlineLevel="0" collapsed="false">
      <c r="A27" s="16" t="s">
        <v>292</v>
      </c>
      <c r="B27" s="16" t="n">
        <f aca="false">E22+F22*1.4</f>
        <v>325</v>
      </c>
      <c r="C27" s="16"/>
      <c r="D27" s="16"/>
      <c r="E27" s="16" t="s">
        <v>287</v>
      </c>
      <c r="F27" s="211" t="s">
        <v>293</v>
      </c>
      <c r="G27" s="211" t="n">
        <f aca="false">B27/B29</f>
        <v>0.0140086206896552</v>
      </c>
      <c r="H27" s="43"/>
      <c r="I27" s="43"/>
      <c r="J27" s="152" t="s">
        <v>45</v>
      </c>
      <c r="K27" s="129" t="n">
        <v>0</v>
      </c>
      <c r="L27" s="9" t="n">
        <f aca="false">(1000) * - (1 - 2^K27)</f>
        <v>-0</v>
      </c>
      <c r="M27" s="9" t="n">
        <f aca="false">(1000) * - (1 - 2^K27)</f>
        <v>-0</v>
      </c>
      <c r="N27" s="209"/>
      <c r="O27" s="108"/>
      <c r="P27" s="43"/>
    </row>
    <row r="28" customFormat="false" ht="11.05" hidden="false" customHeight="true" outlineLevel="0" collapsed="false">
      <c r="A28" s="16"/>
      <c r="B28" s="16"/>
      <c r="C28" s="16"/>
      <c r="D28" s="16"/>
      <c r="E28" s="16"/>
      <c r="F28" s="211"/>
      <c r="G28" s="211"/>
      <c r="H28" s="43"/>
      <c r="I28" s="43"/>
      <c r="J28" s="152" t="s">
        <v>47</v>
      </c>
      <c r="K28" s="129" t="n">
        <v>0</v>
      </c>
      <c r="L28" s="9" t="n">
        <f aca="false">(400) * - (1 - 2^K28)</f>
        <v>-0</v>
      </c>
      <c r="M28" s="9" t="n">
        <f aca="false">(120) * - (1 - 2^K28)</f>
        <v>-0</v>
      </c>
      <c r="N28" s="9" t="n">
        <f aca="false">(200) * - (1 - 2^K28)</f>
        <v>-0</v>
      </c>
      <c r="O28" s="212"/>
      <c r="P28" s="108"/>
    </row>
    <row r="29" customFormat="false" ht="11.05" hidden="false" customHeight="true" outlineLevel="0" collapsed="false">
      <c r="A29" s="16" t="s">
        <v>294</v>
      </c>
      <c r="B29" s="16" t="n">
        <f aca="false">L37+M37*1.4+N37*2</f>
        <v>23200</v>
      </c>
      <c r="C29" s="16"/>
      <c r="D29" s="16"/>
      <c r="E29" s="16" t="s">
        <v>287</v>
      </c>
      <c r="F29" s="211"/>
      <c r="G29" s="211"/>
      <c r="H29" s="43"/>
      <c r="I29" s="43"/>
      <c r="J29" s="152" t="s">
        <v>49</v>
      </c>
      <c r="K29" s="129" t="n">
        <v>0</v>
      </c>
      <c r="L29" s="9" t="n">
        <f aca="false">(1000000) * - (1 - 2^K29)</f>
        <v>-0</v>
      </c>
      <c r="M29" s="9" t="n">
        <f aca="false">(500000) * - (1 - 2^K29)</f>
        <v>-0</v>
      </c>
      <c r="N29" s="9" t="n">
        <f aca="false">(100000) * - (1 - 2^K29)</f>
        <v>-0</v>
      </c>
      <c r="O29" s="108"/>
      <c r="P29" s="108"/>
    </row>
    <row r="30" customFormat="false" ht="11.05" hidden="false" customHeight="true" outlineLevel="0" collapsed="false">
      <c r="A30" s="16"/>
      <c r="B30" s="16"/>
      <c r="C30" s="16"/>
      <c r="D30" s="16"/>
      <c r="E30" s="16"/>
      <c r="F30" s="211"/>
      <c r="G30" s="211"/>
      <c r="H30" s="43"/>
      <c r="I30" s="43"/>
      <c r="J30" s="152" t="s">
        <v>51</v>
      </c>
      <c r="K30" s="129" t="n">
        <v>0</v>
      </c>
      <c r="L30" s="9" t="n">
        <f aca="false">(400) * - (1 - 2^K30)</f>
        <v>-0</v>
      </c>
      <c r="M30" s="9" t="n">
        <f aca="false">(200) * - (1 - 2^K30)</f>
        <v>-0</v>
      </c>
      <c r="N30" s="9" t="n">
        <f aca="false">(120) * - (1 - 2^K30)</f>
        <v>-0</v>
      </c>
      <c r="O30" s="108"/>
      <c r="P30" s="108"/>
    </row>
    <row r="31" customFormat="false" ht="11.05" hidden="false" customHeight="true" outlineLevel="0" collapsed="false">
      <c r="A31" s="43"/>
      <c r="B31" s="43"/>
      <c r="C31" s="43"/>
      <c r="D31" s="43"/>
      <c r="E31" s="43"/>
      <c r="F31" s="43"/>
      <c r="G31" s="213" t="s">
        <v>295</v>
      </c>
      <c r="H31" s="214" t="n">
        <f aca="false">G34/G27</f>
        <v>103.857616892911</v>
      </c>
      <c r="I31" s="215" t="s">
        <v>296</v>
      </c>
      <c r="J31" s="152" t="s">
        <v>57</v>
      </c>
      <c r="K31" s="129" t="n">
        <v>0</v>
      </c>
      <c r="L31" s="9" t="n">
        <f aca="false">(20000) * - (1 - 2^K31)</f>
        <v>-0</v>
      </c>
      <c r="M31" s="9" t="n">
        <f aca="false">(20000) * - (1 - 2^K31)</f>
        <v>-0</v>
      </c>
      <c r="N31" s="9" t="n">
        <f aca="false">(1000) * - (1 - 2^K31)</f>
        <v>-0</v>
      </c>
      <c r="O31" s="108"/>
      <c r="P31" s="108"/>
    </row>
    <row r="32" customFormat="false" ht="11.05" hidden="false" customHeight="true" outlineLevel="0" collapsed="false">
      <c r="A32" s="43"/>
      <c r="B32" s="43"/>
      <c r="C32" s="43"/>
      <c r="D32" s="43"/>
      <c r="E32" s="43"/>
      <c r="F32" s="43"/>
      <c r="G32" s="213"/>
      <c r="H32" s="214"/>
      <c r="I32" s="215" t="s">
        <v>297</v>
      </c>
      <c r="J32" s="152" t="s">
        <v>59</v>
      </c>
      <c r="K32" s="129" t="n">
        <v>0</v>
      </c>
      <c r="L32" s="209"/>
      <c r="M32" s="9" t="n">
        <f aca="false">2000*K32</f>
        <v>0</v>
      </c>
      <c r="N32" s="9" t="n">
        <f aca="false">500*K32</f>
        <v>0</v>
      </c>
      <c r="O32" s="108"/>
      <c r="P32" s="108"/>
    </row>
    <row r="33" customFormat="false" ht="11.05" hidden="false" customHeight="true" outlineLevel="0" collapsed="false">
      <c r="A33" s="66" t="s">
        <v>298</v>
      </c>
      <c r="B33" s="66"/>
      <c r="C33" s="66"/>
      <c r="D33" s="66"/>
      <c r="E33" s="66"/>
      <c r="F33" s="43"/>
      <c r="G33" s="213"/>
      <c r="H33" s="214"/>
      <c r="I33" s="43"/>
      <c r="J33" s="152" t="s">
        <v>85</v>
      </c>
      <c r="K33" s="129" t="n">
        <v>0</v>
      </c>
      <c r="L33" s="9" t="n">
        <f aca="false">2000*K33</f>
        <v>0</v>
      </c>
      <c r="M33" s="209"/>
      <c r="N33" s="209"/>
      <c r="O33" s="108"/>
      <c r="P33" s="108"/>
    </row>
    <row r="34" customFormat="false" ht="11.05" hidden="false" customHeight="true" outlineLevel="0" collapsed="false">
      <c r="A34" s="216" t="s">
        <v>299</v>
      </c>
      <c r="B34" s="16" t="n">
        <f aca="false">H19+H20*1.4+H21*2</f>
        <v>222.6</v>
      </c>
      <c r="C34" s="16"/>
      <c r="D34" s="16"/>
      <c r="E34" s="16" t="s">
        <v>287</v>
      </c>
      <c r="F34" s="211" t="s">
        <v>300</v>
      </c>
      <c r="G34" s="211" t="n">
        <f aca="false">B34/B36</f>
        <v>1.45490196078431</v>
      </c>
      <c r="J34" s="152" t="s">
        <v>86</v>
      </c>
      <c r="K34" s="129" t="n">
        <v>0</v>
      </c>
      <c r="L34" s="9" t="n">
        <f aca="false">1500*K34</f>
        <v>0</v>
      </c>
      <c r="M34" s="9" t="n">
        <f aca="false">K34*500</f>
        <v>0</v>
      </c>
      <c r="N34" s="209"/>
      <c r="O34" s="108"/>
      <c r="P34" s="108"/>
    </row>
    <row r="35" customFormat="false" ht="11.05" hidden="false" customHeight="true" outlineLevel="0" collapsed="false">
      <c r="A35" s="216"/>
      <c r="B35" s="16"/>
      <c r="C35" s="16"/>
      <c r="D35" s="16"/>
      <c r="E35" s="16"/>
      <c r="F35" s="211"/>
      <c r="G35" s="211"/>
      <c r="J35" s="152" t="s">
        <v>27</v>
      </c>
      <c r="K35" s="129" t="n">
        <v>0</v>
      </c>
      <c r="L35" s="9" t="n">
        <f aca="false">50000*K35</f>
        <v>0</v>
      </c>
      <c r="M35" s="9" t="n">
        <f aca="false">K35*50000</f>
        <v>0</v>
      </c>
      <c r="N35" s="9" t="n">
        <f aca="false">30000*K35</f>
        <v>0</v>
      </c>
      <c r="O35" s="108"/>
      <c r="P35" s="108"/>
    </row>
    <row r="36" customFormat="false" ht="11.05" hidden="false" customHeight="true" outlineLevel="0" collapsed="false">
      <c r="A36" s="16" t="s">
        <v>301</v>
      </c>
      <c r="B36" s="16" t="n">
        <f aca="false">P19+P20*1.4+P21*2</f>
        <v>153</v>
      </c>
      <c r="C36" s="16"/>
      <c r="D36" s="16"/>
      <c r="E36" s="16" t="s">
        <v>287</v>
      </c>
      <c r="F36" s="211"/>
      <c r="G36" s="211"/>
      <c r="J36" s="152" t="s">
        <v>68</v>
      </c>
      <c r="K36" s="129" t="n">
        <v>0</v>
      </c>
      <c r="L36" s="9" t="n">
        <f aca="false">K36*6000</f>
        <v>0</v>
      </c>
      <c r="M36" s="9" t="n">
        <f aca="false">6000*K36</f>
        <v>0</v>
      </c>
      <c r="N36" s="209"/>
      <c r="O36" s="108"/>
      <c r="P36" s="108"/>
    </row>
    <row r="37" customFormat="false" ht="11.05" hidden="false" customHeight="true" outlineLevel="0" collapsed="false">
      <c r="A37" s="16"/>
      <c r="B37" s="16"/>
      <c r="C37" s="16"/>
      <c r="D37" s="16"/>
      <c r="E37" s="16"/>
      <c r="F37" s="211"/>
      <c r="G37" s="211"/>
      <c r="H37" s="43"/>
      <c r="I37" s="43"/>
      <c r="J37" s="16"/>
      <c r="K37" s="16" t="s">
        <v>5</v>
      </c>
      <c r="L37" s="210" t="n">
        <f aca="false">SUM(L19:L36)</f>
        <v>4000</v>
      </c>
      <c r="M37" s="210" t="n">
        <f aca="false">SUM(M19:M36)</f>
        <v>8000</v>
      </c>
      <c r="N37" s="210" t="n">
        <f aca="false">SUM(N19:N36)</f>
        <v>4000</v>
      </c>
      <c r="O37" s="128" t="n">
        <f aca="false">SUM(L37:N37)</f>
        <v>16000</v>
      </c>
      <c r="P37" s="108"/>
    </row>
  </sheetData>
  <mergeCells count="34">
    <mergeCell ref="A1:P2"/>
    <mergeCell ref="A3:G3"/>
    <mergeCell ref="I3:L3"/>
    <mergeCell ref="A7:G7"/>
    <mergeCell ref="A10:D10"/>
    <mergeCell ref="F10:I10"/>
    <mergeCell ref="J10:M10"/>
    <mergeCell ref="A15:P16"/>
    <mergeCell ref="A17:H17"/>
    <mergeCell ref="J17:P17"/>
    <mergeCell ref="G18:H18"/>
    <mergeCell ref="J18:K18"/>
    <mergeCell ref="O18:P18"/>
    <mergeCell ref="E23:F23"/>
    <mergeCell ref="A26:E26"/>
    <mergeCell ref="A27:A28"/>
    <mergeCell ref="B27:D28"/>
    <mergeCell ref="E27:E28"/>
    <mergeCell ref="F27:F30"/>
    <mergeCell ref="G27:G30"/>
    <mergeCell ref="A29:A30"/>
    <mergeCell ref="B29:D30"/>
    <mergeCell ref="E29:E30"/>
    <mergeCell ref="G31:G33"/>
    <mergeCell ref="H31:H33"/>
    <mergeCell ref="A33:E33"/>
    <mergeCell ref="A34:A35"/>
    <mergeCell ref="B34:D35"/>
    <mergeCell ref="E34:E35"/>
    <mergeCell ref="F34:F37"/>
    <mergeCell ref="G34:G37"/>
    <mergeCell ref="A36:A37"/>
    <mergeCell ref="B36:D37"/>
    <mergeCell ref="E36:E3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RowHeight="12.8"/>
  <cols>
    <col collapsed="false" hidden="false" max="1" min="1" style="0" width="11.8061224489796"/>
    <col collapsed="false" hidden="false" max="2" min="2" style="0" width="12.3673469387755"/>
    <col collapsed="false" hidden="false" max="3" min="3" style="0" width="6.93877551020408"/>
    <col collapsed="false" hidden="false" max="4" min="4" style="0" width="13.6173469387755"/>
    <col collapsed="false" hidden="false" max="5" min="5" style="0" width="7.21938775510204"/>
    <col collapsed="false" hidden="false" max="6" min="6" style="0" width="12.0867346938776"/>
    <col collapsed="false" hidden="false" max="7" min="7" style="0" width="11.5204081632653"/>
    <col collapsed="false" hidden="false" max="8" min="8" style="0" width="12.0867346938776"/>
    <col collapsed="false" hidden="false" max="9" min="9" style="0" width="8.89285714285714"/>
    <col collapsed="false" hidden="false" max="10" min="10" style="0" width="9.30612244897959"/>
    <col collapsed="false" hidden="false" max="11" min="11" style="0" width="10.1428571428571"/>
    <col collapsed="false" hidden="false" max="12" min="12" style="0" width="8.18877551020408"/>
    <col collapsed="false" hidden="false" max="13" min="13" style="0" width="15.4183673469388"/>
    <col collapsed="false" hidden="false" max="1025" min="14" style="0" width="11.5204081632653"/>
  </cols>
  <sheetData>
    <row r="1" customFormat="false" ht="7.45" hidden="false" customHeight="true" outlineLevel="0" collapsed="false">
      <c r="A1" s="217" t="s">
        <v>302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customFormat="false" ht="7.45" hidden="false" customHeight="true" outlineLevel="0" collapsed="false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customFormat="false" ht="12.8" hidden="false" customHeight="false" outlineLevel="0" collapsed="false">
      <c r="A3" s="217" t="s">
        <v>303</v>
      </c>
      <c r="B3" s="217"/>
      <c r="C3" s="217"/>
      <c r="D3" s="217"/>
      <c r="E3" s="218" t="s">
        <v>304</v>
      </c>
      <c r="F3" s="217" t="s">
        <v>305</v>
      </c>
      <c r="G3" s="217" t="s">
        <v>306</v>
      </c>
      <c r="H3" s="217" t="s">
        <v>307</v>
      </c>
      <c r="I3" s="217"/>
      <c r="J3" s="217"/>
      <c r="K3" s="218" t="s">
        <v>304</v>
      </c>
    </row>
    <row r="4" customFormat="false" ht="8.2" hidden="false" customHeight="true" outlineLevel="0" collapsed="false">
      <c r="A4" s="219" t="n">
        <v>2</v>
      </c>
      <c r="B4" s="217" t="s">
        <v>308</v>
      </c>
      <c r="C4" s="220" t="n">
        <v>0</v>
      </c>
      <c r="D4" s="220"/>
      <c r="E4" s="221" t="n">
        <f aca="false">ROUNDUP(C4/25000)</f>
        <v>0</v>
      </c>
      <c r="F4" s="222" t="n">
        <v>1</v>
      </c>
      <c r="G4" s="219" t="n">
        <v>1.4</v>
      </c>
      <c r="H4" s="217" t="s">
        <v>309</v>
      </c>
      <c r="I4" s="223" t="n">
        <f aca="false">((F4*C4))*G4/A4</f>
        <v>0</v>
      </c>
      <c r="J4" s="223"/>
      <c r="K4" s="221" t="n">
        <f aca="false">(ROUNDUP((I4+I6)/25000))</f>
        <v>0</v>
      </c>
    </row>
    <row r="5" customFormat="false" ht="8.2" hidden="false" customHeight="true" outlineLevel="0" collapsed="false">
      <c r="A5" s="219"/>
      <c r="B5" s="217"/>
      <c r="C5" s="220"/>
      <c r="D5" s="220"/>
      <c r="E5" s="221"/>
      <c r="F5" s="222"/>
      <c r="G5" s="219"/>
      <c r="H5" s="217"/>
      <c r="I5" s="223"/>
      <c r="J5" s="223"/>
      <c r="K5" s="221"/>
    </row>
    <row r="6" customFormat="false" ht="8.2" hidden="false" customHeight="true" outlineLevel="0" collapsed="false">
      <c r="A6" s="219" t="n">
        <v>2</v>
      </c>
      <c r="B6" s="217"/>
      <c r="C6" s="220"/>
      <c r="D6" s="220"/>
      <c r="E6" s="221"/>
      <c r="F6" s="224" t="n">
        <f aca="false">1-F4</f>
        <v>0</v>
      </c>
      <c r="G6" s="219" t="n">
        <v>1</v>
      </c>
      <c r="H6" s="217" t="s">
        <v>310</v>
      </c>
      <c r="I6" s="223" t="n">
        <f aca="false">(F6*C4)*G6/A6</f>
        <v>0</v>
      </c>
      <c r="J6" s="223"/>
      <c r="K6" s="221"/>
    </row>
    <row r="7" customFormat="false" ht="8.2" hidden="false" customHeight="true" outlineLevel="0" collapsed="false">
      <c r="A7" s="219"/>
      <c r="B7" s="217"/>
      <c r="C7" s="220"/>
      <c r="D7" s="220"/>
      <c r="E7" s="221"/>
      <c r="F7" s="224"/>
      <c r="G7" s="219"/>
      <c r="H7" s="217"/>
      <c r="I7" s="223"/>
      <c r="J7" s="223"/>
      <c r="K7" s="221"/>
    </row>
    <row r="8" customFormat="false" ht="8.2" hidden="false" customHeight="true" outlineLevel="0" collapsed="false">
      <c r="A8" s="219" t="n">
        <v>1.4</v>
      </c>
      <c r="B8" s="217" t="s">
        <v>309</v>
      </c>
      <c r="C8" s="220" t="n">
        <v>0</v>
      </c>
      <c r="D8" s="220"/>
      <c r="E8" s="221" t="n">
        <f aca="false">ROUNDUP(C8/25000)</f>
        <v>0</v>
      </c>
      <c r="F8" s="222" t="n">
        <v>1</v>
      </c>
      <c r="G8" s="219" t="n">
        <v>2</v>
      </c>
      <c r="H8" s="217" t="s">
        <v>308</v>
      </c>
      <c r="I8" s="223" t="n">
        <f aca="false">(F8*C8)*G8/A8</f>
        <v>0</v>
      </c>
      <c r="J8" s="223"/>
      <c r="K8" s="221" t="n">
        <f aca="false">(ROUNDUP((I8+I10)/25000))</f>
        <v>0</v>
      </c>
    </row>
    <row r="9" customFormat="false" ht="8.2" hidden="false" customHeight="true" outlineLevel="0" collapsed="false">
      <c r="A9" s="219"/>
      <c r="B9" s="217"/>
      <c r="C9" s="220"/>
      <c r="D9" s="220"/>
      <c r="E9" s="221"/>
      <c r="F9" s="222"/>
      <c r="G9" s="219"/>
      <c r="H9" s="217"/>
      <c r="I9" s="223"/>
      <c r="J9" s="223"/>
      <c r="K9" s="221"/>
    </row>
    <row r="10" customFormat="false" ht="8.2" hidden="false" customHeight="true" outlineLevel="0" collapsed="false">
      <c r="A10" s="219" t="n">
        <v>1.5</v>
      </c>
      <c r="B10" s="217"/>
      <c r="C10" s="220"/>
      <c r="D10" s="220"/>
      <c r="E10" s="221"/>
      <c r="F10" s="224" t="n">
        <f aca="false">1-F8</f>
        <v>0</v>
      </c>
      <c r="G10" s="219" t="n">
        <v>1</v>
      </c>
      <c r="H10" s="217" t="s">
        <v>310</v>
      </c>
      <c r="I10" s="223" t="n">
        <f aca="false">((F10*C8)*G10)/A10</f>
        <v>0</v>
      </c>
      <c r="J10" s="223"/>
      <c r="K10" s="221"/>
    </row>
    <row r="11" customFormat="false" ht="8.2" hidden="false" customHeight="true" outlineLevel="0" collapsed="false">
      <c r="A11" s="219"/>
      <c r="B11" s="217"/>
      <c r="C11" s="220"/>
      <c r="D11" s="220"/>
      <c r="E11" s="221"/>
      <c r="F11" s="224"/>
      <c r="G11" s="219"/>
      <c r="H11" s="217"/>
      <c r="I11" s="223"/>
      <c r="J11" s="223"/>
      <c r="K11" s="221"/>
    </row>
    <row r="12" customFormat="false" ht="8.2" hidden="false" customHeight="true" outlineLevel="0" collapsed="false">
      <c r="A12" s="219" t="n">
        <v>1</v>
      </c>
      <c r="B12" s="217" t="s">
        <v>310</v>
      </c>
      <c r="C12" s="220" t="n">
        <v>10000</v>
      </c>
      <c r="D12" s="220"/>
      <c r="E12" s="221" t="n">
        <f aca="false">ROUNDUP(C12/25000)</f>
        <v>1</v>
      </c>
      <c r="F12" s="222" t="n">
        <v>0.2</v>
      </c>
      <c r="G12" s="219" t="n">
        <v>2</v>
      </c>
      <c r="H12" s="217" t="s">
        <v>308</v>
      </c>
      <c r="I12" s="223" t="n">
        <f aca="false">((F12*C12))*G12/A12</f>
        <v>4000</v>
      </c>
      <c r="J12" s="223"/>
      <c r="K12" s="221" t="n">
        <f aca="false">(ROUNDUP((I12+I14)/25000))</f>
        <v>1</v>
      </c>
    </row>
    <row r="13" customFormat="false" ht="8.2" hidden="false" customHeight="true" outlineLevel="0" collapsed="false">
      <c r="A13" s="219"/>
      <c r="B13" s="217"/>
      <c r="C13" s="220"/>
      <c r="D13" s="220"/>
      <c r="E13" s="221"/>
      <c r="F13" s="222"/>
      <c r="G13" s="219"/>
      <c r="H13" s="217"/>
      <c r="I13" s="223"/>
      <c r="J13" s="223"/>
      <c r="K13" s="221"/>
    </row>
    <row r="14" customFormat="false" ht="8.2" hidden="false" customHeight="true" outlineLevel="0" collapsed="false">
      <c r="A14" s="219" t="n">
        <v>1</v>
      </c>
      <c r="B14" s="217"/>
      <c r="C14" s="220"/>
      <c r="D14" s="220"/>
      <c r="E14" s="221"/>
      <c r="F14" s="224" t="n">
        <f aca="false">1-F12</f>
        <v>0.8</v>
      </c>
      <c r="G14" s="219" t="n">
        <v>1.4</v>
      </c>
      <c r="H14" s="217" t="s">
        <v>309</v>
      </c>
      <c r="I14" s="225" t="n">
        <f aca="false">((F14*C12)*G14)/A14</f>
        <v>11200</v>
      </c>
      <c r="J14" s="225"/>
      <c r="K14" s="221"/>
    </row>
    <row r="15" customFormat="false" ht="8.2" hidden="false" customHeight="true" outlineLevel="0" collapsed="false">
      <c r="A15" s="219"/>
      <c r="B15" s="217"/>
      <c r="C15" s="220"/>
      <c r="D15" s="220"/>
      <c r="E15" s="221"/>
      <c r="F15" s="224"/>
      <c r="G15" s="219"/>
      <c r="H15" s="217"/>
      <c r="I15" s="225"/>
      <c r="J15" s="225"/>
      <c r="K15" s="221"/>
    </row>
    <row r="17" customFormat="false" ht="12.8" hidden="false" customHeight="false" outlineLevel="0" collapsed="false">
      <c r="A17" s="226" t="s">
        <v>311</v>
      </c>
      <c r="B17" s="226"/>
      <c r="C17" s="226"/>
      <c r="D17" s="226"/>
      <c r="E17" s="226"/>
      <c r="F17" s="226" t="s">
        <v>312</v>
      </c>
      <c r="G17" s="226"/>
    </row>
    <row r="18" customFormat="false" ht="12.8" hidden="false" customHeight="false" outlineLevel="0" collapsed="false">
      <c r="A18" s="226" t="s">
        <v>313</v>
      </c>
      <c r="B18" s="226"/>
      <c r="C18" s="227" t="n">
        <v>0</v>
      </c>
      <c r="D18" s="226" t="s">
        <v>314</v>
      </c>
      <c r="E18" s="228" t="n">
        <f aca="false">(100-SQRT(C18))*SQRT(C19)/100</f>
        <v>0</v>
      </c>
      <c r="F18" s="226" t="s">
        <v>314</v>
      </c>
      <c r="G18" s="228" t="n">
        <f aca="false">((SQRT(C18))/2)/100</f>
        <v>0</v>
      </c>
    </row>
    <row r="19" customFormat="false" ht="12.8" hidden="false" customHeight="false" outlineLevel="0" collapsed="false">
      <c r="A19" s="226" t="s">
        <v>315</v>
      </c>
      <c r="B19" s="226"/>
      <c r="C19" s="227" t="n">
        <v>0</v>
      </c>
      <c r="D19" s="226"/>
      <c r="E19" s="226"/>
      <c r="F19" s="226"/>
      <c r="G19" s="226"/>
    </row>
    <row r="21" customFormat="false" ht="12.8" hidden="false" customHeight="false" outlineLevel="0" collapsed="false">
      <c r="A21" s="229" t="s">
        <v>316</v>
      </c>
      <c r="B21" s="229"/>
      <c r="C21" s="229"/>
      <c r="D21" s="229"/>
      <c r="E21" s="229"/>
      <c r="F21" s="229"/>
      <c r="G21" s="229"/>
      <c r="H21" s="229"/>
      <c r="I21" s="195"/>
      <c r="J21" s="230" t="s">
        <v>317</v>
      </c>
      <c r="K21" s="230"/>
      <c r="L21" s="230"/>
      <c r="M21" s="230"/>
      <c r="N21" s="161"/>
    </row>
    <row r="22" customFormat="false" ht="12.8" hidden="false" customHeight="false" outlineLevel="0" collapsed="false">
      <c r="A22" s="229" t="s">
        <v>318</v>
      </c>
      <c r="B22" s="229"/>
      <c r="C22" s="106" t="n">
        <v>8</v>
      </c>
      <c r="D22" s="229" t="s">
        <v>319</v>
      </c>
      <c r="E22" s="106" t="n">
        <v>0</v>
      </c>
      <c r="F22" s="229" t="s">
        <v>320</v>
      </c>
      <c r="G22" s="173" t="n">
        <f aca="false">ROUNDDOWN(((C23)-ROUNDDOWN(20*E22*1.1^E22)-ROUNDDOWN(30*E23*(1.05+C25*0.01)^E23)-E24*ROUNDDOWN(((C24+(C24-40))/2)+160)/6))</f>
        <v>300000</v>
      </c>
      <c r="H22" s="229" t="s">
        <v>321</v>
      </c>
      <c r="J22" s="230" t="s">
        <v>322</v>
      </c>
      <c r="K22" s="230" t="n">
        <f aca="false">300000</f>
        <v>300000</v>
      </c>
      <c r="L22" s="230" t="s">
        <v>323</v>
      </c>
      <c r="M22" s="230" t="n">
        <f aca="false">3*K25</f>
        <v>24300000</v>
      </c>
      <c r="N22" s="161"/>
    </row>
    <row r="23" customFormat="false" ht="12.8" hidden="false" customHeight="false" outlineLevel="0" collapsed="false">
      <c r="A23" s="229" t="s">
        <v>324</v>
      </c>
      <c r="B23" s="229"/>
      <c r="C23" s="106" t="n">
        <v>300000</v>
      </c>
      <c r="D23" s="229" t="s">
        <v>325</v>
      </c>
      <c r="E23" s="106" t="n">
        <v>0</v>
      </c>
      <c r="F23" s="229" t="s">
        <v>320</v>
      </c>
      <c r="G23" s="173" t="n">
        <f aca="false">IF(C26=1,((100/110)*G22)-((100/110)*ROUNDDOWN(20*E22*1.1^E22))-((100/110)*ROUNDDOWN(30*E23*(1.05+C25*0.01)^E23))-((100/110)*(E24*ROUNDDOWN(((C24+(C24-40))/2)+160)/6)),IF(C26=2,((100/112)*G22)-((100/112)*ROUNDDOWN(20*E22*1.1^E22))-((100/112)*ROUNDDOWN(30*E23*(1.05+C25*0.01)^E23))-((100/112)*(E24*ROUNDDOWN(((C24+(C24-40))/2)+160)/6)),G22))</f>
        <v>300000</v>
      </c>
      <c r="H23" s="229" t="s">
        <v>326</v>
      </c>
      <c r="J23" s="230" t="s">
        <v>327</v>
      </c>
      <c r="K23" s="230" t="n">
        <f aca="false">3*K22</f>
        <v>900000</v>
      </c>
      <c r="L23" s="230" t="s">
        <v>328</v>
      </c>
      <c r="M23" s="230" t="n">
        <f aca="false">3*M22</f>
        <v>72900000</v>
      </c>
      <c r="N23" s="161"/>
    </row>
    <row r="24" customFormat="false" ht="13.8" hidden="false" customHeight="false" outlineLevel="0" collapsed="false">
      <c r="A24" s="229" t="s">
        <v>329</v>
      </c>
      <c r="B24" s="229"/>
      <c r="C24" s="106" t="n">
        <v>50</v>
      </c>
      <c r="D24" s="229" t="s">
        <v>330</v>
      </c>
      <c r="E24" s="106" t="n">
        <v>0</v>
      </c>
      <c r="F24" s="229" t="s">
        <v>331</v>
      </c>
      <c r="G24" s="231" t="n">
        <f aca="false">ROUNDUP((G23)/(ROUNDDOWN(((C24+(C24-40))/2)+160)/6))</f>
        <v>9474</v>
      </c>
      <c r="H24" s="229" t="s">
        <v>332</v>
      </c>
      <c r="J24" s="230" t="s">
        <v>333</v>
      </c>
      <c r="K24" s="230" t="n">
        <f aca="false">3*K23</f>
        <v>2700000</v>
      </c>
      <c r="L24" s="230" t="s">
        <v>334</v>
      </c>
      <c r="M24" s="230" t="n">
        <f aca="false">3*M23</f>
        <v>218700000</v>
      </c>
      <c r="N24" s="161"/>
    </row>
    <row r="25" customFormat="false" ht="13.8" hidden="false" customHeight="false" outlineLevel="0" collapsed="false">
      <c r="A25" s="229" t="s">
        <v>335</v>
      </c>
      <c r="B25" s="229"/>
      <c r="C25" s="106" t="n">
        <v>0</v>
      </c>
      <c r="D25" s="229" t="s">
        <v>336</v>
      </c>
      <c r="E25" s="106" t="n">
        <v>0</v>
      </c>
      <c r="F25" s="229" t="s">
        <v>331</v>
      </c>
      <c r="G25" s="231" t="n">
        <f aca="false">G24*2000</f>
        <v>18948000</v>
      </c>
      <c r="H25" s="229" t="s">
        <v>23</v>
      </c>
      <c r="J25" s="230" t="s">
        <v>337</v>
      </c>
      <c r="K25" s="230" t="n">
        <f aca="false">3*K24</f>
        <v>8100000</v>
      </c>
      <c r="L25" s="230" t="s">
        <v>338</v>
      </c>
      <c r="M25" s="230" t="n">
        <f aca="false">3*M24</f>
        <v>656100000</v>
      </c>
      <c r="N25" s="161"/>
    </row>
    <row r="26" customFormat="false" ht="13.8" hidden="false" customHeight="false" outlineLevel="0" collapsed="false">
      <c r="A26" s="229" t="s">
        <v>339</v>
      </c>
      <c r="B26" s="229"/>
      <c r="C26" s="106" t="n">
        <v>0</v>
      </c>
      <c r="D26" s="229" t="s">
        <v>340</v>
      </c>
      <c r="E26" s="106" t="n">
        <v>0</v>
      </c>
      <c r="F26" s="229" t="s">
        <v>331</v>
      </c>
      <c r="G26" s="231" t="n">
        <f aca="false">G24*500</f>
        <v>4737000</v>
      </c>
      <c r="H26" s="229" t="s">
        <v>24</v>
      </c>
    </row>
    <row r="27" customFormat="false" ht="13.8" hidden="false" customHeight="false" outlineLevel="0" collapsed="false">
      <c r="A27" s="195"/>
      <c r="B27" s="195"/>
      <c r="C27" s="195"/>
      <c r="D27" s="229" t="s">
        <v>341</v>
      </c>
      <c r="E27" s="106" t="n">
        <v>3</v>
      </c>
      <c r="F27" s="229" t="s">
        <v>331</v>
      </c>
      <c r="G27" s="231" t="n">
        <f aca="false">ROUNDUP(SUM(G25:G26)/25000)</f>
        <v>948</v>
      </c>
      <c r="H27" s="229" t="s">
        <v>342</v>
      </c>
      <c r="J27" s="232" t="s">
        <v>159</v>
      </c>
      <c r="K27" s="130" t="n">
        <v>1</v>
      </c>
    </row>
    <row r="28" customFormat="false" ht="13.8" hidden="false" customHeight="false" outlineLevel="0" collapsed="false">
      <c r="A28" s="195"/>
      <c r="B28" s="195"/>
      <c r="C28" s="195"/>
      <c r="D28" s="195"/>
      <c r="E28" s="195"/>
      <c r="F28" s="229" t="s">
        <v>343</v>
      </c>
      <c r="G28" s="233" t="n">
        <f aca="false">((((G25) / 5000 ) * ( 2 / (1 +E26))) * 0.5^E25)/E27</f>
        <v>2526.4</v>
      </c>
      <c r="H28" s="233"/>
    </row>
    <row r="29" customFormat="false" ht="12.8" hidden="false" customHeight="false" outlineLevel="0" collapsed="false">
      <c r="A29" s="195"/>
      <c r="B29" s="195"/>
      <c r="C29" s="195"/>
      <c r="D29" s="195"/>
      <c r="E29" s="195"/>
      <c r="F29" s="195"/>
      <c r="G29" s="195"/>
      <c r="H29" s="195"/>
    </row>
    <row r="30" customFormat="false" ht="12.8" hidden="false" customHeight="false" outlineLevel="0" collapsed="false">
      <c r="A30" s="234" t="s">
        <v>344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</row>
    <row r="31" customFormat="false" ht="12.8" hidden="false" customHeight="false" outlineLevel="0" collapsed="false">
      <c r="A31" s="234" t="s">
        <v>345</v>
      </c>
      <c r="B31" s="234"/>
      <c r="C31" s="235" t="n">
        <v>9</v>
      </c>
      <c r="D31" s="236" t="s">
        <v>346</v>
      </c>
      <c r="E31" s="237" t="n">
        <f aca="false">(C31*C31)-1</f>
        <v>80</v>
      </c>
      <c r="F31" s="234" t="s">
        <v>347</v>
      </c>
      <c r="G31" s="234"/>
      <c r="H31" s="235" t="n">
        <v>421</v>
      </c>
      <c r="I31" s="236" t="s">
        <v>348</v>
      </c>
      <c r="J31" s="237" t="n">
        <f aca="false">IF(H31-E31&lt;0,(499-(E31-H31)),(H31-E31))</f>
        <v>341</v>
      </c>
      <c r="K31" s="236" t="s">
        <v>349</v>
      </c>
      <c r="L31" s="237" t="n">
        <f aca="false">IF(H31+E31&gt;499,0+(H31+E31-499),H31+E31)</f>
        <v>2</v>
      </c>
    </row>
    <row r="32" customFormat="false" ht="12.8" hidden="false" customHeight="false" outlineLevel="0" collapsed="false">
      <c r="A32" s="238" t="s">
        <v>350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</row>
    <row r="33" customFormat="false" ht="12.8" hidden="false" customHeight="false" outlineLevel="0" collapsed="false">
      <c r="A33" s="238" t="s">
        <v>351</v>
      </c>
      <c r="B33" s="238"/>
      <c r="C33" s="235" t="n">
        <v>9</v>
      </c>
      <c r="D33" s="239" t="s">
        <v>346</v>
      </c>
      <c r="E33" s="237" t="n">
        <f aca="false">(5 *C33 - 1)</f>
        <v>44</v>
      </c>
      <c r="F33" s="238" t="s">
        <v>352</v>
      </c>
      <c r="G33" s="238"/>
      <c r="H33" s="235" t="n">
        <v>499</v>
      </c>
      <c r="I33" s="239" t="s">
        <v>348</v>
      </c>
      <c r="J33" s="237" t="n">
        <f aca="false">IF(H33-E33&lt;0,(499-(E33-H33)),(H33-E33))</f>
        <v>455</v>
      </c>
      <c r="K33" s="239" t="s">
        <v>349</v>
      </c>
      <c r="L33" s="237" t="n">
        <f aca="false">IF(H33+E33&gt;499,0+(H33+E33-499),H33+E33)</f>
        <v>44</v>
      </c>
    </row>
    <row r="34" customFormat="false" ht="12.8" hidden="false" customHeight="false" outlineLevel="0" collapsed="false">
      <c r="A34" s="240" t="s">
        <v>353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</row>
    <row r="35" customFormat="false" ht="12.8" hidden="false" customHeight="false" outlineLevel="0" collapsed="false">
      <c r="A35" s="240" t="s">
        <v>354</v>
      </c>
      <c r="B35" s="240"/>
      <c r="C35" s="235" t="n">
        <v>499</v>
      </c>
      <c r="D35" s="240" t="s">
        <v>355</v>
      </c>
      <c r="E35" s="240"/>
      <c r="F35" s="240"/>
      <c r="G35" s="235" t="n">
        <v>6</v>
      </c>
      <c r="H35" s="240" t="s">
        <v>356</v>
      </c>
      <c r="I35" s="240"/>
      <c r="J35" s="221" t="n">
        <f aca="false">(((IF(G35-C35&lt;0,(ABS(499-(C35-G35))),ABS(C35-G35)))))</f>
        <v>6</v>
      </c>
      <c r="K35" s="241" t="s">
        <v>357</v>
      </c>
      <c r="L35" s="242" t="n">
        <f aca="false">((30 + J35 * 60))/K27</f>
        <v>390</v>
      </c>
    </row>
  </sheetData>
  <sheetProtection sheet="true" objects="true" scenarios="true" selectLockedCells="true"/>
  <mergeCells count="71">
    <mergeCell ref="A1:K2"/>
    <mergeCell ref="A3:D3"/>
    <mergeCell ref="H3:J3"/>
    <mergeCell ref="A4:A5"/>
    <mergeCell ref="B4:B7"/>
    <mergeCell ref="C4:D7"/>
    <mergeCell ref="E4:E7"/>
    <mergeCell ref="F4:F5"/>
    <mergeCell ref="G4:G5"/>
    <mergeCell ref="H4:H5"/>
    <mergeCell ref="I4:J5"/>
    <mergeCell ref="K4:K7"/>
    <mergeCell ref="A6:A7"/>
    <mergeCell ref="F6:F7"/>
    <mergeCell ref="G6:G7"/>
    <mergeCell ref="H6:H7"/>
    <mergeCell ref="I6:J7"/>
    <mergeCell ref="A8:A9"/>
    <mergeCell ref="B8:B11"/>
    <mergeCell ref="C8:D11"/>
    <mergeCell ref="E8:E11"/>
    <mergeCell ref="F8:F9"/>
    <mergeCell ref="G8:G9"/>
    <mergeCell ref="H8:H9"/>
    <mergeCell ref="I8:J9"/>
    <mergeCell ref="K8:K11"/>
    <mergeCell ref="A10:A11"/>
    <mergeCell ref="F10:F11"/>
    <mergeCell ref="G10:G11"/>
    <mergeCell ref="H10:H11"/>
    <mergeCell ref="I10:J11"/>
    <mergeCell ref="A12:A13"/>
    <mergeCell ref="B12:B15"/>
    <mergeCell ref="C12:D15"/>
    <mergeCell ref="E12:E15"/>
    <mergeCell ref="F12:F13"/>
    <mergeCell ref="G12:G13"/>
    <mergeCell ref="H12:H13"/>
    <mergeCell ref="I12:J13"/>
    <mergeCell ref="K12:K15"/>
    <mergeCell ref="A14:A15"/>
    <mergeCell ref="F14:F15"/>
    <mergeCell ref="G14:G15"/>
    <mergeCell ref="H14:H15"/>
    <mergeCell ref="I14:J15"/>
    <mergeCell ref="A17:E17"/>
    <mergeCell ref="F17:G17"/>
    <mergeCell ref="A18:B18"/>
    <mergeCell ref="D18:D19"/>
    <mergeCell ref="E18:E19"/>
    <mergeCell ref="F18:F19"/>
    <mergeCell ref="G18:G19"/>
    <mergeCell ref="A19:B19"/>
    <mergeCell ref="A21:H21"/>
    <mergeCell ref="J21:M21"/>
    <mergeCell ref="A22:B22"/>
    <mergeCell ref="A23:B23"/>
    <mergeCell ref="A24:B24"/>
    <mergeCell ref="A25:B25"/>
    <mergeCell ref="A26:B26"/>
    <mergeCell ref="G28:H28"/>
    <mergeCell ref="A30:L30"/>
    <mergeCell ref="A31:B31"/>
    <mergeCell ref="F31:G31"/>
    <mergeCell ref="A32:L32"/>
    <mergeCell ref="A33:B33"/>
    <mergeCell ref="F33:G33"/>
    <mergeCell ref="A34:L34"/>
    <mergeCell ref="A35:B35"/>
    <mergeCell ref="D35:F35"/>
    <mergeCell ref="H35:I3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63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15" activePane="bottomLeft" state="frozen"/>
      <selection pane="topLeft" activeCell="A1" activeCellId="0" sqref="A1"/>
      <selection pane="bottomLeft" activeCell="B37" activeCellId="0" sqref="B37"/>
    </sheetView>
  </sheetViews>
  <sheetFormatPr defaultRowHeight="12.8"/>
  <cols>
    <col collapsed="false" hidden="false" max="1" min="1" style="243" width="11.8061224489796"/>
    <col collapsed="false" hidden="false" max="12" min="2" style="243" width="10.2040816326531"/>
    <col collapsed="false" hidden="false" max="13" min="13" style="243" width="11.3928571428571"/>
    <col collapsed="false" hidden="false" max="14" min="14" style="243" width="10.2040816326531"/>
    <col collapsed="false" hidden="false" max="15" min="15" style="243" width="10.8367346938776"/>
    <col collapsed="false" hidden="false" max="18" min="16" style="243" width="10.2040816326531"/>
    <col collapsed="false" hidden="false" max="1025" min="19" style="243" width="11.5204081632653"/>
  </cols>
  <sheetData>
    <row r="1" customFormat="false" ht="8.8" hidden="false" customHeight="true" outlineLevel="0" collapsed="false">
      <c r="A1" s="244" t="s">
        <v>2</v>
      </c>
      <c r="B1" s="245" t="n">
        <f aca="false">Planètes!B2</f>
        <v>0</v>
      </c>
      <c r="C1" s="246" t="n">
        <f aca="false">Planètes!C2</f>
        <v>0</v>
      </c>
      <c r="D1" s="247" t="n">
        <f aca="false">Planètes!D2</f>
        <v>0</v>
      </c>
      <c r="E1" s="248" t="n">
        <f aca="false">Planètes!E2</f>
        <v>0</v>
      </c>
      <c r="F1" s="249" t="n">
        <f aca="false">Planètes!F2</f>
        <v>0</v>
      </c>
      <c r="G1" s="250" t="n">
        <f aca="false">Planètes!G2</f>
        <v>0</v>
      </c>
      <c r="H1" s="251" t="n">
        <f aca="false">Planètes!H2</f>
        <v>0</v>
      </c>
      <c r="I1" s="252" t="n">
        <f aca="false">Planètes!I2</f>
        <v>0</v>
      </c>
      <c r="J1" s="253" t="n">
        <f aca="false">Planètes!J2</f>
        <v>0</v>
      </c>
      <c r="K1" s="254" t="n">
        <f aca="false">Planètes!K2</f>
        <v>0</v>
      </c>
      <c r="L1" s="255" t="n">
        <f aca="false">Planètes!L2</f>
        <v>0</v>
      </c>
      <c r="M1" s="256" t="n">
        <f aca="false">Planètes!M2</f>
        <v>0</v>
      </c>
      <c r="N1" s="257" t="n">
        <f aca="false">Planètes!N2</f>
        <v>0</v>
      </c>
      <c r="O1" s="258" t="n">
        <f aca="false">Planètes!O2</f>
        <v>0</v>
      </c>
      <c r="P1" s="259" t="n">
        <f aca="false">Planètes!P2</f>
        <v>0</v>
      </c>
      <c r="Q1" s="260"/>
    </row>
    <row r="2" customFormat="false" ht="8.8" hidden="false" customHeight="true" outlineLevel="0" collapsed="false">
      <c r="A2" s="244" t="s">
        <v>4</v>
      </c>
      <c r="B2" s="245" t="n">
        <f aca="false">Planètes!B3</f>
        <v>0</v>
      </c>
      <c r="C2" s="246" t="n">
        <f aca="false">Planètes!C3</f>
        <v>0</v>
      </c>
      <c r="D2" s="247" t="n">
        <f aca="false">Planètes!D3</f>
        <v>0</v>
      </c>
      <c r="E2" s="248" t="n">
        <f aca="false">Planètes!E3</f>
        <v>0</v>
      </c>
      <c r="F2" s="249" t="n">
        <f aca="false">Planètes!F3</f>
        <v>0</v>
      </c>
      <c r="G2" s="250" t="n">
        <f aca="false">Planètes!G3</f>
        <v>0</v>
      </c>
      <c r="H2" s="251" t="n">
        <f aca="false">Planètes!H3</f>
        <v>0</v>
      </c>
      <c r="I2" s="252" t="n">
        <f aca="false">Planètes!I3</f>
        <v>0</v>
      </c>
      <c r="J2" s="253" t="n">
        <f aca="false">Planètes!J3</f>
        <v>0</v>
      </c>
      <c r="K2" s="254" t="n">
        <f aca="false">Planètes!K3</f>
        <v>0</v>
      </c>
      <c r="L2" s="255" t="n">
        <f aca="false">Planètes!L3</f>
        <v>0</v>
      </c>
      <c r="M2" s="256" t="n">
        <f aca="false">Planètes!M3</f>
        <v>0</v>
      </c>
      <c r="N2" s="257" t="n">
        <f aca="false">Planètes!N3</f>
        <v>0</v>
      </c>
      <c r="O2" s="258" t="n">
        <f aca="false">Planètes!O3</f>
        <v>0</v>
      </c>
      <c r="P2" s="259" t="n">
        <f aca="false">Planètes!P3</f>
        <v>0</v>
      </c>
      <c r="Q2" s="260" t="s">
        <v>5</v>
      </c>
    </row>
    <row r="3" customFormat="false" ht="8.8" hidden="false" customHeight="true" outlineLevel="0" collapsed="false">
      <c r="A3" s="261" t="s">
        <v>358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customFormat="false" ht="8.8" hidden="false" customHeight="true" outlineLevel="0" collapsed="false">
      <c r="A4" s="244" t="s">
        <v>31</v>
      </c>
      <c r="B4" s="262" t="n">
        <f aca="false">(60 * (1 - 1.5^Planètes!B18) / (-0.5)+15 * (1 - 1.5^Planètes!B18) / ( - 0.5))/1000</f>
        <v>-0</v>
      </c>
      <c r="C4" s="263" t="n">
        <f aca="false">(60 * (1 - 1.5^Planètes!C18) / (-0.5)+15 * (1 - 1.5^Planètes!C18) / ( - 0.5))/1000</f>
        <v>-0</v>
      </c>
      <c r="D4" s="264" t="n">
        <f aca="false">(60 * (1 - 1.5^Planètes!D18) / (-0.5)+15 * (1 - 1.5^Planètes!D18) / ( - 0.5))/1000</f>
        <v>-0</v>
      </c>
      <c r="E4" s="265" t="n">
        <f aca="false">(60 * (1 - 1.5^Planètes!E18) / (-0.5)+15 * (1 - 1.5^Planètes!E18) / ( - 0.5))/1000</f>
        <v>-0</v>
      </c>
      <c r="F4" s="266" t="n">
        <f aca="false">(60 * (1 - 1.5^Planètes!F18) / (-0.5)+15 * (1 - 1.5^Planètes!F18) / ( - 0.5))/1000</f>
        <v>-0</v>
      </c>
      <c r="G4" s="267" t="n">
        <f aca="false">(60 * (1 - 1.5^Planètes!G18) / (-0.5)+15 * (1 - 1.5^Planètes!G18) / ( - 0.5))/1000</f>
        <v>-0</v>
      </c>
      <c r="H4" s="268" t="n">
        <f aca="false">(60 * (1 - 1.5^Planètes!H18) / (-0.5)+15 * (1 - 1.5^Planètes!H18) / ( - 0.5))/1000</f>
        <v>-0</v>
      </c>
      <c r="I4" s="269" t="n">
        <f aca="false">(60 * (1 - 1.5^Planètes!I18) / (-0.5)+15 * (1 - 1.5^Planètes!I18) / ( - 0.5))/1000</f>
        <v>-0</v>
      </c>
      <c r="J4" s="270" t="n">
        <f aca="false">(60 * (1 - 1.5^Planètes!J18) / (-0.5)+15 * (1 - 1.5^Planètes!J18) / ( - 0.5))/1000</f>
        <v>-0</v>
      </c>
      <c r="K4" s="271" t="n">
        <f aca="false">(60 * (1 - 1.5^Planètes!K18) / (-0.5)+15 * (1 - 1.5^Planètes!K18) / ( - 0.5))/1000</f>
        <v>-0</v>
      </c>
      <c r="L4" s="272" t="n">
        <f aca="false">(60 * (1 - 1.5^Planètes!L18) / (-0.5)+15 * (1 - 1.5^Planètes!L18) / ( - 0.5))/1000</f>
        <v>-0</v>
      </c>
      <c r="M4" s="273" t="n">
        <f aca="false">(60 * (1 - 1.5^Planètes!M18) / (-0.5)+15 * (1 - 1.5^Planètes!M18) / ( - 0.5))/1000</f>
        <v>-0</v>
      </c>
      <c r="N4" s="274" t="n">
        <f aca="false">(60 * (1 - 1.5^Planètes!N18) / (-0.5)+15 * (1 - 1.5^Planètes!N18) / ( - 0.5))/1000</f>
        <v>-0</v>
      </c>
      <c r="O4" s="275" t="n">
        <f aca="false">(60 * (1 - 1.5^Planètes!O18) / (-0.5)+15 * (1 - 1.5^Planètes!O18) / ( - 0.5))/1000</f>
        <v>-0</v>
      </c>
      <c r="P4" s="276" t="n">
        <f aca="false">(60 * (1 - 1.5^Planètes!P18) / (-0.5)+15 * (1 - 1.5^Planètes!P18) / ( - 0.5))/1000</f>
        <v>-0</v>
      </c>
      <c r="Q4" s="277" t="n">
        <f aca="false">SUM(B4:P4)</f>
        <v>0</v>
      </c>
    </row>
    <row r="5" customFormat="false" ht="8.8" hidden="false" customHeight="true" outlineLevel="0" collapsed="false">
      <c r="A5" s="244" t="s">
        <v>33</v>
      </c>
      <c r="B5" s="262" t="n">
        <f aca="false">(48 * (1 - 1.6^Planètes!B19) / (-0.6)+ 24 * (1 - 1.6^Planètes!B19) / (-0.6))/1000</f>
        <v>-0</v>
      </c>
      <c r="C5" s="263" t="n">
        <f aca="false">(48 * (1 - 1.6^Planètes!C19) / (-0.6)+ 24 * (1 - 1.6^Planètes!C19) / (-0.6))/1000</f>
        <v>-0</v>
      </c>
      <c r="D5" s="264" t="n">
        <f aca="false">(48 * (1 - 1.6^Planètes!D19) / (-0.6)+ 24 * (1 - 1.6^Planètes!D19) / (-0.6))/1000</f>
        <v>-0</v>
      </c>
      <c r="E5" s="265" t="n">
        <f aca="false">(48 * (1 - 1.6^Planètes!E19) / (-0.6)+ 24 * (1 - 1.6^Planètes!E19) / (-0.6))/1000</f>
        <v>-0</v>
      </c>
      <c r="F5" s="266" t="n">
        <f aca="false">(48 * (1 - 1.6^Planètes!F19) / (-0.6)+ 24 * (1 - 1.6^Planètes!F19) / (-0.6))/1000</f>
        <v>-0</v>
      </c>
      <c r="G5" s="267" t="n">
        <f aca="false">(48 * (1 - 1.6^Planètes!G19) / (-0.6)+ 24 * (1 - 1.6^Planètes!G19) / (-0.6))/1000</f>
        <v>-0</v>
      </c>
      <c r="H5" s="268" t="n">
        <f aca="false">(48 * (1 - 1.6^Planètes!H19) / (-0.6)+ 24 * (1 - 1.6^Planètes!H19) / (-0.6))/1000</f>
        <v>-0</v>
      </c>
      <c r="I5" s="269" t="n">
        <f aca="false">(48 * (1 - 1.6^Planètes!I19) / (-0.6)+ 24 * (1 - 1.6^Planètes!I19) / (-0.6))/1000</f>
        <v>-0</v>
      </c>
      <c r="J5" s="270" t="n">
        <f aca="false">(48 * (1 - 1.6^Planètes!J19) / (-0.6)+ 24 * (1 - 1.6^Planètes!J19) / (-0.6))/1000</f>
        <v>-0</v>
      </c>
      <c r="K5" s="271" t="n">
        <f aca="false">(48 * (1 - 1.6^Planètes!K19) / (-0.6)+ 24 * (1 - 1.6^Planètes!K19) / (-0.6))/1000</f>
        <v>-0</v>
      </c>
      <c r="L5" s="272" t="n">
        <f aca="false">(48 * (1 - 1.6^Planètes!L19) / (-0.6)+ 24 * (1 - 1.6^Planètes!L19) / (-0.6))/1000</f>
        <v>-0</v>
      </c>
      <c r="M5" s="273" t="n">
        <f aca="false">(48 * (1 - 1.6^Planètes!M19) / (-0.6)+ 24 * (1 - 1.6^Planètes!M19) / (-0.6))/1000</f>
        <v>-0</v>
      </c>
      <c r="N5" s="274" t="n">
        <f aca="false">(48 * (1 - 1.6^Planètes!N19) / (-0.6)+ 24 * (1 - 1.6^Planètes!N19) / (-0.6))/1000</f>
        <v>-0</v>
      </c>
      <c r="O5" s="275" t="n">
        <f aca="false">(48 * (1 - 1.6^Planètes!O19) / (-0.6)+ 24 * (1 - 1.6^Planètes!O19) / (-0.6))/1000</f>
        <v>-0</v>
      </c>
      <c r="P5" s="276" t="n">
        <f aca="false">(48 * (1 - 1.6^Planètes!P19) / (-0.6)+ 24 * (1 - 1.6^Planètes!P19) / (-0.6))/1000</f>
        <v>-0</v>
      </c>
      <c r="Q5" s="277" t="n">
        <f aca="false">SUM(B5:P5)</f>
        <v>0</v>
      </c>
    </row>
    <row r="6" customFormat="false" ht="8.8" hidden="false" customHeight="true" outlineLevel="0" collapsed="false">
      <c r="A6" s="244" t="s">
        <v>35</v>
      </c>
      <c r="B6" s="262" t="n">
        <f aca="false">(225 * (1 - 1.5^Planètes!B20) / (-0.5)+75 * (1 - 1.5^Planètes!B20) / (-0.5))/1000</f>
        <v>-0</v>
      </c>
      <c r="C6" s="263" t="n">
        <f aca="false">(225 * (1 - 1.5^Planètes!C20) / (-0.5)+75 * (1 - 1.5^Planètes!C20) / (-0.5))/1000</f>
        <v>-0</v>
      </c>
      <c r="D6" s="264" t="n">
        <f aca="false">(225 * (1 - 1.5^Planètes!D20) / (-0.5)+75 * (1 - 1.5^Planètes!D20) / (-0.5))/1000</f>
        <v>-0</v>
      </c>
      <c r="E6" s="265" t="n">
        <f aca="false">(225 * (1 - 1.5^Planètes!E20) / (-0.5)+75 * (1 - 1.5^Planètes!E20) / (-0.5))/1000</f>
        <v>-0</v>
      </c>
      <c r="F6" s="266" t="n">
        <f aca="false">(225 * (1 - 1.5^Planètes!F20) / (-0.5)+75 * (1 - 1.5^Planètes!F20) / (-0.5))/1000</f>
        <v>-0</v>
      </c>
      <c r="G6" s="267" t="n">
        <f aca="false">(225 * (1 - 1.5^Planètes!G20) / (-0.5)+75 * (1 - 1.5^Planètes!G20) / (-0.5))/1000</f>
        <v>-0</v>
      </c>
      <c r="H6" s="268" t="n">
        <f aca="false">(225 * (1 - 1.5^Planètes!H20) / (-0.5)+75 * (1 - 1.5^Planètes!H20) / (-0.5))/1000</f>
        <v>-0</v>
      </c>
      <c r="I6" s="269" t="n">
        <f aca="false">(225 * (1 - 1.5^Planètes!I20) / (-0.5)+75 * (1 - 1.5^Planètes!I20) / (-0.5))/1000</f>
        <v>-0</v>
      </c>
      <c r="J6" s="270" t="n">
        <f aca="false">(225 * (1 - 1.5^Planètes!J20) / (-0.5)+75 * (1 - 1.5^Planètes!J20) / (-0.5))/1000</f>
        <v>-0</v>
      </c>
      <c r="K6" s="271" t="n">
        <f aca="false">(225 * (1 - 1.5^Planètes!K20) / (-0.5)+75 * (1 - 1.5^Planètes!K20) / (-0.5))/1000</f>
        <v>-0</v>
      </c>
      <c r="L6" s="272" t="n">
        <f aca="false">(225 * (1 - 1.5^Planètes!L20) / (-0.5)+75 * (1 - 1.5^Planètes!L20) / (-0.5))/1000</f>
        <v>-0</v>
      </c>
      <c r="M6" s="273" t="n">
        <f aca="false">(225 * (1 - 1.5^Planètes!M20) / (-0.5)+75 * (1 - 1.5^Planètes!M20) / (-0.5))/1000</f>
        <v>-0</v>
      </c>
      <c r="N6" s="274" t="n">
        <f aca="false">(225 * (1 - 1.5^Planètes!N20) / (-0.5)+75 * (1 - 1.5^Planètes!N20) / (-0.5))/1000</f>
        <v>-0</v>
      </c>
      <c r="O6" s="275" t="n">
        <f aca="false">(225 * (1 - 1.5^Planètes!O20) / (-0.5)+75 * (1 - 1.5^Planètes!O20) / (-0.5))/1000</f>
        <v>-0</v>
      </c>
      <c r="P6" s="276" t="n">
        <f aca="false">(225 * (1 - 1.5^Planètes!P20) / (-0.5)+75 * (1 - 1.5^Planètes!P20) / (-0.5))/1000</f>
        <v>-0</v>
      </c>
      <c r="Q6" s="277" t="n">
        <f aca="false">SUM(B6:P6)</f>
        <v>0</v>
      </c>
    </row>
    <row r="7" customFormat="false" ht="8.8" hidden="false" customHeight="true" outlineLevel="0" collapsed="false">
      <c r="A7" s="244" t="s">
        <v>37</v>
      </c>
      <c r="B7" s="262" t="n">
        <f aca="false"> (75 * (1 - 1.5^Planètes!B21) / (-0.5)+ 30 * (1 - 1.5^Planètes!B21) / (-0.5))/1000</f>
        <v>-0</v>
      </c>
      <c r="C7" s="263" t="n">
        <f aca="false"> (75 * (1 - 1.5^Planètes!C21) / (-0.5)+ 30 * (1 - 1.5^Planètes!C21) / (-0.5))/1000</f>
        <v>-0</v>
      </c>
      <c r="D7" s="264" t="n">
        <f aca="false"> (75 * (1 - 1.5^Planètes!D21) / (-0.5)+ 30 * (1 - 1.5^Planètes!D21) / (-0.5))/1000</f>
        <v>-0</v>
      </c>
      <c r="E7" s="265" t="n">
        <f aca="false"> (75 * (1 - 1.5^Planètes!E21) / (-0.5)+ 30 * (1 - 1.5^Planètes!E21) / (-0.5))/1000</f>
        <v>-0</v>
      </c>
      <c r="F7" s="266" t="n">
        <f aca="false"> (75 * (1 - 1.5^Planètes!F21) / (-0.5)+ 30 * (1 - 1.5^Planètes!F21) / (-0.5))/1000</f>
        <v>-0</v>
      </c>
      <c r="G7" s="267" t="n">
        <f aca="false"> (75 * (1 - 1.5^Planètes!G21) / (-0.5)+ 30 * (1 - 1.5^Planètes!G21) / (-0.5))/1000</f>
        <v>-0</v>
      </c>
      <c r="H7" s="268" t="n">
        <f aca="false"> (75 * (1 - 1.5^Planètes!H21) / (-0.5)+ 30 * (1 - 1.5^Planètes!H21) / (-0.5))/1000</f>
        <v>-0</v>
      </c>
      <c r="I7" s="269" t="n">
        <f aca="false"> (75 * (1 - 1.5^Planètes!I21) / (-0.5)+ 30 * (1 - 1.5^Planètes!I21) / (-0.5))/1000</f>
        <v>-0</v>
      </c>
      <c r="J7" s="270" t="n">
        <f aca="false"> (75 * (1 - 1.5^Planètes!J21) / (-0.5)+ 30 * (1 - 1.5^Planètes!J21) / (-0.5))/1000</f>
        <v>-0</v>
      </c>
      <c r="K7" s="271" t="n">
        <f aca="false"> (75 * (1 - 1.5^Planètes!K21) / (-0.5)+ 30 * (1 - 1.5^Planètes!K21) / (-0.5))/1000</f>
        <v>-0</v>
      </c>
      <c r="L7" s="272" t="n">
        <f aca="false"> (75 * (1 - 1.5^Planètes!L21) / (-0.5)+ 30 * (1 - 1.5^Planètes!L21) / (-0.5))/1000</f>
        <v>-0</v>
      </c>
      <c r="M7" s="273" t="n">
        <f aca="false"> (75 * (1 - 1.5^Planètes!M21) / (-0.5)+ 30 * (1 - 1.5^Planètes!M21) / (-0.5))/1000</f>
        <v>-0</v>
      </c>
      <c r="N7" s="274" t="n">
        <f aca="false"> (75 * (1 - 1.5^Planètes!N21) / (-0.5)+ 30 * (1 - 1.5^Planètes!N21) / (-0.5))/1000</f>
        <v>-0</v>
      </c>
      <c r="O7" s="275" t="n">
        <f aca="false"> (75 * (1 - 1.5^Planètes!O21) / (-0.5)+ 30 * (1 - 1.5^Planètes!O21) / (-0.5))/1000</f>
        <v>-0</v>
      </c>
      <c r="P7" s="276" t="n">
        <f aca="false"> (75 * (1 - 1.5^Planètes!P21) / (-0.5)+ 30 * (1 - 1.5^Planètes!P21) / (-0.5))/1000</f>
        <v>-0</v>
      </c>
      <c r="Q7" s="277" t="n">
        <f aca="false">SUM(B7:P7)</f>
        <v>0</v>
      </c>
    </row>
    <row r="8" customFormat="false" ht="8.8" hidden="false" customHeight="true" outlineLevel="0" collapsed="false">
      <c r="A8" s="244" t="s">
        <v>39</v>
      </c>
      <c r="B8" s="262" t="n">
        <f aca="false">(1080 * (1 - 1.8^Planètes!B22) / ( -0.8 )+360 * (1 - 1.8^Planètes!B22) / ( -0.8 ))/1000</f>
        <v>-0</v>
      </c>
      <c r="C8" s="263" t="n">
        <f aca="false">(1080 * (1 - 1.8^Planètes!C22) / ( -0.8 )+360 * (1 - 1.8^Planètes!C22) / ( -0.8 ))/1000</f>
        <v>-0</v>
      </c>
      <c r="D8" s="264" t="n">
        <f aca="false">(1080 * (1 - 1.8^Planètes!D22) / ( -0.8 )+360 * (1 - 1.8^Planètes!D22) / ( -0.8 ))/1000</f>
        <v>-0</v>
      </c>
      <c r="E8" s="265" t="n">
        <f aca="false">(1080 * (1 - 1.8^Planètes!E22) / ( -0.8 )+360 * (1 - 1.8^Planètes!E22) / ( -0.8 ))/1000</f>
        <v>-0</v>
      </c>
      <c r="F8" s="266" t="n">
        <f aca="false">(1080 * (1 - 1.8^Planètes!F22) / ( -0.8 )+360 * (1 - 1.8^Planètes!F22) / ( -0.8 ))/1000</f>
        <v>-0</v>
      </c>
      <c r="G8" s="267" t="n">
        <f aca="false">(1080 * (1 - 1.8^Planètes!G22) / ( -0.8 )+360 * (1 - 1.8^Planètes!G22) / ( -0.8 ))/1000</f>
        <v>-0</v>
      </c>
      <c r="H8" s="268" t="n">
        <f aca="false">(1080 * (1 - 1.8^Planètes!H22) / ( -0.8 )+360 * (1 - 1.8^Planètes!H22) / ( -0.8 ))/1000</f>
        <v>-0</v>
      </c>
      <c r="I8" s="269" t="n">
        <f aca="false">(1080 * (1 - 1.8^Planètes!I22) / ( -0.8 )+360 * (1 - 1.8^Planètes!I22) / ( -0.8 ))/1000</f>
        <v>-0</v>
      </c>
      <c r="J8" s="270" t="n">
        <f aca="false">(1080 * (1 - 1.8^Planètes!J22) / ( -0.8 )+360 * (1 - 1.8^Planètes!J22) / ( -0.8 ))/1000</f>
        <v>-0</v>
      </c>
      <c r="K8" s="271" t="n">
        <f aca="false">(1080 * (1 - 1.8^Planètes!K22) / ( -0.8 )+360 * (1 - 1.8^Planètes!K22) / ( -0.8 ))/1000</f>
        <v>-0</v>
      </c>
      <c r="L8" s="272" t="n">
        <f aca="false">(1080 * (1 - 1.8^Planètes!L22) / ( -0.8 )+360 * (1 - 1.8^Planètes!L22) / ( -0.8 ))/1000</f>
        <v>-0</v>
      </c>
      <c r="M8" s="273" t="n">
        <f aca="false">(1080 * (1 - 1.8^Planètes!M22) / ( -0.8 )+360 * (1 - 1.8^Planètes!M22) / ( -0.8 ))/1000</f>
        <v>-0</v>
      </c>
      <c r="N8" s="274" t="n">
        <f aca="false">(1080 * (1 - 1.8^Planètes!N22) / ( -0.8 )+360 * (1 - 1.8^Planètes!N22) / ( -0.8 ))/1000</f>
        <v>-0</v>
      </c>
      <c r="O8" s="275" t="n">
        <f aca="false">(1080 * (1 - 1.8^Planètes!O22) / ( -0.8 )+360 * (1 - 1.8^Planètes!O22) / ( -0.8 ))/1000</f>
        <v>-0</v>
      </c>
      <c r="P8" s="276" t="n">
        <f aca="false">(1080 * (1 - 1.8^Planètes!P22) / ( -0.8 )+360 * (1 - 1.8^Planètes!P22) / ( -0.8 ))/1000</f>
        <v>-0</v>
      </c>
      <c r="Q8" s="277" t="n">
        <f aca="false">SUM(B8:P8)</f>
        <v>0</v>
      </c>
    </row>
    <row r="9" customFormat="false" ht="8.8" hidden="false" customHeight="true" outlineLevel="0" collapsed="false">
      <c r="A9" s="244" t="s">
        <v>41</v>
      </c>
      <c r="B9" s="262" t="n">
        <f aca="false">((1000) * - (1 - 2^Planètes!B23))/1000</f>
        <v>-0</v>
      </c>
      <c r="C9" s="263" t="n">
        <f aca="false">((1000) * - (1 - 2^Planètes!C23))/1000</f>
        <v>-0</v>
      </c>
      <c r="D9" s="264" t="n">
        <f aca="false">((1000) * - (1 - 2^Planètes!D23))/1000</f>
        <v>-0</v>
      </c>
      <c r="E9" s="265" t="n">
        <f aca="false">((1000) * - (1 - 2^Planètes!E23))/1000</f>
        <v>-0</v>
      </c>
      <c r="F9" s="266" t="n">
        <f aca="false">((1000) * - (1 - 2^Planètes!F23))/1000</f>
        <v>-0</v>
      </c>
      <c r="G9" s="267" t="n">
        <f aca="false">((1000) * - (1 - 2^Planètes!G23))/1000</f>
        <v>-0</v>
      </c>
      <c r="H9" s="268" t="n">
        <f aca="false">((1000) * - (1 - 2^Planètes!H23))/1000</f>
        <v>-0</v>
      </c>
      <c r="I9" s="269" t="n">
        <f aca="false">((1000) * - (1 - 2^Planètes!I23))/1000</f>
        <v>-0</v>
      </c>
      <c r="J9" s="270" t="n">
        <f aca="false">((1000) * - (1 - 2^Planètes!J23))/1000</f>
        <v>-0</v>
      </c>
      <c r="K9" s="271" t="n">
        <f aca="false">((1000) * - (1 - 2^Planètes!K23))/1000</f>
        <v>-0</v>
      </c>
      <c r="L9" s="272" t="n">
        <f aca="false">((1000) * - (1 - 2^Planètes!L23))/1000</f>
        <v>-0</v>
      </c>
      <c r="M9" s="273" t="n">
        <f aca="false">((1000) * - (1 - 2^Planètes!M23))/1000</f>
        <v>-0</v>
      </c>
      <c r="N9" s="274" t="n">
        <f aca="false">((1000) * - (1 - 2^Planètes!N23))/1000</f>
        <v>-0</v>
      </c>
      <c r="O9" s="275" t="n">
        <f aca="false">((1000) * - (1 - 2^Planètes!O23))/1000</f>
        <v>-0</v>
      </c>
      <c r="P9" s="276" t="n">
        <f aca="false">((1000) * - (1 - 2^Planètes!P23))/1000</f>
        <v>-0</v>
      </c>
      <c r="Q9" s="277" t="n">
        <f aca="false">SUM(B9:P9)</f>
        <v>0</v>
      </c>
    </row>
    <row r="10" customFormat="false" ht="8.8" hidden="false" customHeight="true" outlineLevel="0" collapsed="false">
      <c r="A10" s="244" t="s">
        <v>43</v>
      </c>
      <c r="B10" s="262" t="n">
        <f aca="false">((1500) * - (1 - 2^Planètes!B24))/1000</f>
        <v>-0</v>
      </c>
      <c r="C10" s="263" t="n">
        <f aca="false">((1500) * - (1 - 2^Planètes!C24))/1000</f>
        <v>-0</v>
      </c>
      <c r="D10" s="264" t="n">
        <f aca="false">((1500) * - (1 - 2^Planètes!D24))/1000</f>
        <v>-0</v>
      </c>
      <c r="E10" s="265" t="n">
        <f aca="false">((1500) * - (1 - 2^Planètes!E24))/1000</f>
        <v>-0</v>
      </c>
      <c r="F10" s="266" t="n">
        <f aca="false">((1500) * - (1 - 2^Planètes!F24))/1000</f>
        <v>-0</v>
      </c>
      <c r="G10" s="267" t="n">
        <f aca="false">((1500) * - (1 - 2^Planètes!G24))/1000</f>
        <v>-0</v>
      </c>
      <c r="H10" s="268" t="n">
        <f aca="false">((1500) * - (1 - 2^Planètes!H24))/1000</f>
        <v>-0</v>
      </c>
      <c r="I10" s="269" t="n">
        <f aca="false">((1500) * - (1 - 2^Planètes!I24))/1000</f>
        <v>-0</v>
      </c>
      <c r="J10" s="270" t="n">
        <f aca="false">((1500) * - (1 - 2^Planètes!J24))/1000</f>
        <v>-0</v>
      </c>
      <c r="K10" s="271" t="n">
        <f aca="false">((1500) * - (1 - 2^Planètes!K24))/1000</f>
        <v>-0</v>
      </c>
      <c r="L10" s="272" t="n">
        <f aca="false">((1500) * - (1 - 2^Planètes!L24))/1000</f>
        <v>-0</v>
      </c>
      <c r="M10" s="273" t="n">
        <f aca="false">((1500) * - (1 - 2^Planètes!M24))/1000</f>
        <v>-0</v>
      </c>
      <c r="N10" s="274" t="n">
        <f aca="false">((1500) * - (1 - 2^Planètes!N24))/1000</f>
        <v>-0</v>
      </c>
      <c r="O10" s="275" t="n">
        <f aca="false">((1500) * - (1 - 2^Planètes!O24))/1000</f>
        <v>-0</v>
      </c>
      <c r="P10" s="276" t="n">
        <f aca="false">((1500) * - (1 - 2^Planètes!P24))/1000</f>
        <v>-0</v>
      </c>
      <c r="Q10" s="277" t="n">
        <f aca="false">SUM(B10:P10)</f>
        <v>0</v>
      </c>
    </row>
    <row r="11" customFormat="false" ht="8.8" hidden="false" customHeight="true" outlineLevel="0" collapsed="false">
      <c r="A11" s="244" t="s">
        <v>45</v>
      </c>
      <c r="B11" s="262" t="n">
        <f aca="false">((2000) * - (1 - 2^Planètes!B25))/1000</f>
        <v>-0</v>
      </c>
      <c r="C11" s="263" t="n">
        <f aca="false">((2000) * - (1 - 2^Planètes!C25))/1000</f>
        <v>-0</v>
      </c>
      <c r="D11" s="264" t="n">
        <f aca="false">((2000) * - (1 - 2^Planètes!D25))/1000</f>
        <v>-0</v>
      </c>
      <c r="E11" s="265" t="n">
        <f aca="false">((2000) * - (1 - 2^Planètes!E25))/1000</f>
        <v>-0</v>
      </c>
      <c r="F11" s="266" t="n">
        <f aca="false">((2000) * - (1 - 2^Planètes!F25))/1000</f>
        <v>-0</v>
      </c>
      <c r="G11" s="267" t="n">
        <f aca="false">((2000) * - (1 - 2^Planètes!G25))/1000</f>
        <v>-0</v>
      </c>
      <c r="H11" s="268" t="n">
        <f aca="false">((2000) * - (1 - 2^Planètes!H25))/1000</f>
        <v>-0</v>
      </c>
      <c r="I11" s="269" t="n">
        <f aca="false">((2000) * - (1 - 2^Planètes!I25))/1000</f>
        <v>-0</v>
      </c>
      <c r="J11" s="270" t="n">
        <f aca="false">((2000) * - (1 - 2^Planètes!J25))/1000</f>
        <v>-0</v>
      </c>
      <c r="K11" s="271" t="n">
        <f aca="false">((2000) * - (1 - 2^Planètes!K25))/1000</f>
        <v>-0</v>
      </c>
      <c r="L11" s="272" t="n">
        <f aca="false">((2000) * - (1 - 2^Planètes!L25))/1000</f>
        <v>-0</v>
      </c>
      <c r="M11" s="273" t="n">
        <f aca="false">((2000) * - (1 - 2^Planètes!M25))/1000</f>
        <v>-0</v>
      </c>
      <c r="N11" s="274" t="n">
        <f aca="false">((2000) * - (1 - 2^Planètes!N25))/1000</f>
        <v>-0</v>
      </c>
      <c r="O11" s="275" t="n">
        <f aca="false">((2000) * - (1 - 2^Planètes!O25))/1000</f>
        <v>-0</v>
      </c>
      <c r="P11" s="276" t="n">
        <f aca="false">((2000) * - (1 - 2^Planètes!P25))/1000</f>
        <v>-0</v>
      </c>
      <c r="Q11" s="277" t="n">
        <f aca="false">SUM(B11:P11)</f>
        <v>0</v>
      </c>
    </row>
    <row r="12" customFormat="false" ht="8.8" hidden="false" customHeight="true" outlineLevel="0" collapsed="false">
      <c r="A12" s="244" t="s">
        <v>47</v>
      </c>
      <c r="B12" s="262" t="n">
        <f aca="false">((720) * - (1 - 2^Planètes!B26))/1000</f>
        <v>-0</v>
      </c>
      <c r="C12" s="263" t="n">
        <f aca="false">((720) * - (1 - 2^Planètes!C26))/1000</f>
        <v>-0</v>
      </c>
      <c r="D12" s="264" t="n">
        <f aca="false">((720) * - (1 - 2^Planètes!D26))/1000</f>
        <v>-0</v>
      </c>
      <c r="E12" s="265" t="n">
        <f aca="false">((720) * - (1 - 2^Planètes!E26))/1000</f>
        <v>-0</v>
      </c>
      <c r="F12" s="266" t="n">
        <f aca="false">((720) * - (1 - 2^Planètes!F26))/1000</f>
        <v>-0</v>
      </c>
      <c r="G12" s="267" t="n">
        <f aca="false">((720) * - (1 - 2^Planètes!G26))/1000</f>
        <v>-0</v>
      </c>
      <c r="H12" s="268" t="n">
        <f aca="false">((720) * - (1 - 2^Planètes!H26))/1000</f>
        <v>-0</v>
      </c>
      <c r="I12" s="269" t="n">
        <f aca="false">((720) * - (1 - 2^Planètes!I26))/1000</f>
        <v>-0</v>
      </c>
      <c r="J12" s="270" t="n">
        <f aca="false">((720) * - (1 - 2^Planètes!J26))/1000</f>
        <v>-0</v>
      </c>
      <c r="K12" s="271" t="n">
        <f aca="false">((720) * - (1 - 2^Planètes!K26))/1000</f>
        <v>-0</v>
      </c>
      <c r="L12" s="272" t="n">
        <f aca="false">((720) * - (1 - 2^Planètes!L26))/1000</f>
        <v>-0</v>
      </c>
      <c r="M12" s="273" t="n">
        <f aca="false">((720) * - (1 - 2^Planètes!M26))/1000</f>
        <v>-0</v>
      </c>
      <c r="N12" s="274" t="n">
        <f aca="false">((720) * - (1 - 2^Planètes!N26))/1000</f>
        <v>-0</v>
      </c>
      <c r="O12" s="275" t="n">
        <f aca="false">((720) * - (1 - 2^Planètes!O26))/1000</f>
        <v>-0</v>
      </c>
      <c r="P12" s="276" t="n">
        <f aca="false">((720) * - (1 - 2^Planètes!P26))/1000</f>
        <v>-0</v>
      </c>
      <c r="Q12" s="277" t="n">
        <f aca="false">SUM(B12:P12)</f>
        <v>0</v>
      </c>
    </row>
    <row r="13" customFormat="false" ht="8.8" hidden="false" customHeight="true" outlineLevel="0" collapsed="false">
      <c r="A13" s="244" t="s">
        <v>49</v>
      </c>
      <c r="B13" s="262" t="n">
        <f aca="false">((1600000) * - (1 - 2^Planètes!B27))/1000</f>
        <v>-0</v>
      </c>
      <c r="C13" s="263" t="n">
        <f aca="false">((1600000) * - (1 - 2^Planètes!C27))/1000</f>
        <v>-0</v>
      </c>
      <c r="D13" s="264" t="n">
        <f aca="false">((1600000) * - (1 - 2^Planètes!D27))/1000</f>
        <v>-0</v>
      </c>
      <c r="E13" s="265" t="n">
        <f aca="false">((1600000) * - (1 - 2^Planètes!E27))/1000</f>
        <v>-0</v>
      </c>
      <c r="F13" s="266" t="n">
        <f aca="false">((1600000) * - (1 - 2^Planètes!F27))/1000</f>
        <v>-0</v>
      </c>
      <c r="G13" s="267" t="n">
        <f aca="false">((1600000) * - (1 - 2^Planètes!G27))/1000</f>
        <v>-0</v>
      </c>
      <c r="H13" s="268" t="n">
        <f aca="false">((1600000) * - (1 - 2^Planètes!H27))/1000</f>
        <v>-0</v>
      </c>
      <c r="I13" s="269" t="n">
        <f aca="false">((1600000) * - (1 - 2^Planètes!I27))/1000</f>
        <v>-0</v>
      </c>
      <c r="J13" s="270" t="n">
        <f aca="false">((1600000) * - (1 - 2^Planètes!J27))/1000</f>
        <v>-0</v>
      </c>
      <c r="K13" s="271" t="n">
        <f aca="false">((1600000) * - (1 - 2^Planètes!K27))/1000</f>
        <v>-0</v>
      </c>
      <c r="L13" s="272" t="n">
        <f aca="false">((1600000) * - (1 - 2^Planètes!L27))/1000</f>
        <v>-0</v>
      </c>
      <c r="M13" s="273" t="n">
        <f aca="false">((1600000) * - (1 - 2^Planètes!M27))/1000</f>
        <v>-0</v>
      </c>
      <c r="N13" s="274" t="n">
        <f aca="false">((1600000) * - (1 - 2^Planètes!N27))/1000</f>
        <v>-0</v>
      </c>
      <c r="O13" s="275" t="n">
        <f aca="false">((1600000) * - (1 - 2^Planètes!O27))/1000</f>
        <v>-0</v>
      </c>
      <c r="P13" s="276" t="n">
        <f aca="false">((1600000) * - (1 - 2^Planètes!P27))/1000</f>
        <v>-0</v>
      </c>
      <c r="Q13" s="277" t="n">
        <f aca="false">SUM(B13:P13)</f>
        <v>0</v>
      </c>
    </row>
    <row r="14" customFormat="false" ht="8.8" hidden="false" customHeight="true" outlineLevel="0" collapsed="false">
      <c r="A14" s="244" t="s">
        <v>51</v>
      </c>
      <c r="B14" s="262" t="n">
        <f aca="false">((700) * - (1 - 2^Planètes!B28))/1000</f>
        <v>-0</v>
      </c>
      <c r="C14" s="263" t="n">
        <f aca="false">((700) * - (1 - 2^Planètes!C28))/1000</f>
        <v>-0</v>
      </c>
      <c r="D14" s="264" t="n">
        <f aca="false">((700) * - (1 - 2^Planètes!D28))/1000</f>
        <v>-0</v>
      </c>
      <c r="E14" s="265" t="n">
        <f aca="false">((700) * - (1 - 2^Planètes!E28))/1000</f>
        <v>-0</v>
      </c>
      <c r="F14" s="266" t="n">
        <f aca="false">((700) * - (1 - 2^Planètes!F28))/1000</f>
        <v>-0</v>
      </c>
      <c r="G14" s="267" t="n">
        <f aca="false">((700) * - (1 - 2^Planètes!G28))/1000</f>
        <v>-0</v>
      </c>
      <c r="H14" s="268" t="n">
        <f aca="false">((700) * - (1 - 2^Planètes!H28))/1000</f>
        <v>-0</v>
      </c>
      <c r="I14" s="269" t="n">
        <f aca="false">((700) * - (1 - 2^Planètes!I28))/1000</f>
        <v>-0</v>
      </c>
      <c r="J14" s="270" t="n">
        <f aca="false">((700) * - (1 - 2^Planètes!J28))/1000</f>
        <v>-0</v>
      </c>
      <c r="K14" s="271" t="n">
        <f aca="false">((700) * - (1 - 2^Planètes!K28))/1000</f>
        <v>-0</v>
      </c>
      <c r="L14" s="272" t="n">
        <f aca="false">((700) * - (1 - 2^Planètes!L28))/1000</f>
        <v>-0</v>
      </c>
      <c r="M14" s="273" t="n">
        <f aca="false">((700) * - (1 - 2^Planètes!M28))/1000</f>
        <v>-0</v>
      </c>
      <c r="N14" s="274" t="n">
        <f aca="false">((700) * - (1 - 2^Planètes!N28))/1000</f>
        <v>-0</v>
      </c>
      <c r="O14" s="275" t="n">
        <f aca="false">((700) * - (1 - 2^Planètes!O28))/1000</f>
        <v>-0</v>
      </c>
      <c r="P14" s="276" t="n">
        <f aca="false">((700) * - (1 - 2^Planètes!P28))/1000</f>
        <v>-0</v>
      </c>
      <c r="Q14" s="277" t="n">
        <f aca="false">SUM(B14:P14)</f>
        <v>0</v>
      </c>
    </row>
    <row r="15" customFormat="false" ht="8.8" hidden="false" customHeight="true" outlineLevel="0" collapsed="false">
      <c r="A15" s="244" t="s">
        <v>53</v>
      </c>
      <c r="B15" s="262" t="n">
        <f aca="false">(((200*5^(Planètes!B29))/4)-((200*5^(0))/4)+((50*5^(Planètes!B29))/4)-((50*5^(0))/4))/1000</f>
        <v>0</v>
      </c>
      <c r="C15" s="263" t="n">
        <f aca="false">(((200*5^(Planètes!C29))/4)-((200*5^(0))/4)+((50*5^(Planètes!C29))/4)-((50*5^(0))/4))/1000</f>
        <v>0</v>
      </c>
      <c r="D15" s="264" t="n">
        <f aca="false">(((200*5^(Planètes!D29))/4)-((200*5^(0))/4)+((50*5^(Planètes!D29))/4)-((50*5^(0))/4))/1000</f>
        <v>0</v>
      </c>
      <c r="E15" s="265" t="n">
        <f aca="false">(((200*5^(Planètes!E29))/4)-((200*5^(0))/4)+((50*5^(Planètes!E29))/4)-((50*5^(0))/4))/1000</f>
        <v>0</v>
      </c>
      <c r="F15" s="266" t="n">
        <f aca="false">(((200*5^(Planètes!F29))/4)-((200*5^(0))/4)+((50*5^(Planètes!F29))/4)-((50*5^(0))/4))/1000</f>
        <v>0</v>
      </c>
      <c r="G15" s="267" t="n">
        <f aca="false">(((200*5^(Planètes!G29))/4)-((200*5^(0))/4)+((50*5^(Planètes!G29))/4)-((50*5^(0))/4))/1000</f>
        <v>0</v>
      </c>
      <c r="H15" s="268" t="n">
        <f aca="false">(((200*5^(Planètes!H29))/4)-((200*5^(0))/4)+((50*5^(Planètes!H29))/4)-((50*5^(0))/4))/1000</f>
        <v>0</v>
      </c>
      <c r="I15" s="269" t="n">
        <f aca="false">(((200*5^(Planètes!I29))/4)-((200*5^(0))/4)+((50*5^(Planètes!I29))/4)-((50*5^(0))/4))/1000</f>
        <v>0</v>
      </c>
      <c r="J15" s="270" t="n">
        <f aca="false">(((200*5^(Planètes!J29))/4)-((200*5^(0))/4)+((50*5^(Planètes!J29))/4)-((50*5^(0))/4))/1000</f>
        <v>0</v>
      </c>
      <c r="K15" s="271" t="n">
        <f aca="false">(((200*5^(Planètes!K29))/4)-((200*5^(0))/4)+((50*5^(Planètes!K29))/4)-((50*5^(0))/4))/1000</f>
        <v>0</v>
      </c>
      <c r="L15" s="272" t="n">
        <f aca="false">(((200*5^(Planètes!L29))/4)-((200*5^(0))/4)+((50*5^(Planètes!L29))/4)-((50*5^(0))/4))/1000</f>
        <v>0</v>
      </c>
      <c r="M15" s="273" t="n">
        <f aca="false">(((200*5^(Planètes!M29))/4)-((200*5^(0))/4)+((50*5^(Planètes!M29))/4)-((50*5^(0))/4))/1000</f>
        <v>0</v>
      </c>
      <c r="N15" s="274" t="n">
        <f aca="false">(((200*5^(Planètes!N29))/4)-((200*5^(0))/4)+((50*5^(Planètes!N29))/4)-((50*5^(0))/4))/1000</f>
        <v>0</v>
      </c>
      <c r="O15" s="275" t="n">
        <f aca="false">(((200*5^(Planètes!O29))/4)-((200*5^(0))/4)+((50*5^(Planètes!O29))/4)-((50*5^(0))/4))/1000</f>
        <v>0</v>
      </c>
      <c r="P15" s="276" t="n">
        <f aca="false">(((200*5^(Planètes!P29))/4)-((200*5^(0))/4)+((50*5^(Planètes!P29))/4)-((50*5^(0))/4))/1000</f>
        <v>0</v>
      </c>
      <c r="Q15" s="277" t="n">
        <f aca="false">SUM(B15:P15)</f>
        <v>0</v>
      </c>
    </row>
    <row r="16" customFormat="false" ht="8.8" hidden="false" customHeight="true" outlineLevel="0" collapsed="false">
      <c r="A16" s="244" t="s">
        <v>54</v>
      </c>
      <c r="B16" s="262" t="n">
        <f aca="false">((800) * - (1 - 2^Planètes!B30))/1000</f>
        <v>-0</v>
      </c>
      <c r="C16" s="263" t="n">
        <f aca="false">((800) * - (1 - 2^Planètes!C30))/1000</f>
        <v>-0</v>
      </c>
      <c r="D16" s="264" t="n">
        <f aca="false">((800) * - (1 - 2^Planètes!D30))/1000</f>
        <v>-0</v>
      </c>
      <c r="E16" s="265" t="n">
        <f aca="false">((800) * - (1 - 2^Planètes!E30))/1000</f>
        <v>-0</v>
      </c>
      <c r="F16" s="266" t="n">
        <f aca="false">((800) * - (1 - 2^Planètes!F30))/1000</f>
        <v>-0</v>
      </c>
      <c r="G16" s="267" t="n">
        <f aca="false">((800) * - (1 - 2^Planètes!G30))/1000</f>
        <v>-0</v>
      </c>
      <c r="H16" s="268" t="n">
        <f aca="false">((800) * - (1 - 2^Planètes!H30))/1000</f>
        <v>-0</v>
      </c>
      <c r="I16" s="269" t="n">
        <f aca="false">((800) * - (1 - 2^Planètes!I30))/1000</f>
        <v>-0</v>
      </c>
      <c r="J16" s="270" t="n">
        <f aca="false">((800) * - (1 - 2^Planètes!J30))/1000</f>
        <v>-0</v>
      </c>
      <c r="K16" s="271" t="n">
        <f aca="false">((800) * - (1 - 2^Planètes!K30))/1000</f>
        <v>-0</v>
      </c>
      <c r="L16" s="272" t="n">
        <f aca="false">((800) * - (1 - 2^Planètes!L30))/1000</f>
        <v>-0</v>
      </c>
      <c r="M16" s="273" t="n">
        <f aca="false">((800) * - (1 - 2^Planètes!M30))/1000</f>
        <v>-0</v>
      </c>
      <c r="N16" s="274" t="n">
        <f aca="false">((800) * - (1 - 2^Planètes!N30))/1000</f>
        <v>-0</v>
      </c>
      <c r="O16" s="275" t="n">
        <f aca="false">((800) * - (1 - 2^Planètes!O30))/1000</f>
        <v>-0</v>
      </c>
      <c r="P16" s="276" t="n">
        <f aca="false">((800) * - (1 - 2^Planètes!P30))/1000</f>
        <v>-0</v>
      </c>
      <c r="Q16" s="277" t="n">
        <f aca="false">SUM(B16:P16)</f>
        <v>0</v>
      </c>
    </row>
    <row r="17" customFormat="false" ht="8.8" hidden="false" customHeight="true" outlineLevel="0" collapsed="false">
      <c r="A17" s="244" t="s">
        <v>55</v>
      </c>
      <c r="B17" s="262" t="n">
        <f aca="false">((150000) * - (1 - 2^Planètes!B31))/1000</f>
        <v>-0</v>
      </c>
      <c r="C17" s="263" t="n">
        <f aca="false">((150000) * - (1 - 2^Planètes!C31))/1000</f>
        <v>-0</v>
      </c>
      <c r="D17" s="264" t="n">
        <f aca="false">((150000) * - (1 - 2^Planètes!D31))/1000</f>
        <v>-0</v>
      </c>
      <c r="E17" s="265" t="n">
        <f aca="false">((150000) * - (1 - 2^Planètes!E31))/1000</f>
        <v>-0</v>
      </c>
      <c r="F17" s="266" t="n">
        <f aca="false">((150000) * - (1 - 2^Planètes!F31))/1000</f>
        <v>-0</v>
      </c>
      <c r="G17" s="267" t="n">
        <f aca="false">((150000) * - (1 - 2^Planètes!G31))/1000</f>
        <v>-0</v>
      </c>
      <c r="H17" s="268" t="n">
        <f aca="false">((150000) * - (1 - 2^Planètes!H31))/1000</f>
        <v>-0</v>
      </c>
      <c r="I17" s="269" t="n">
        <f aca="false">((151000) * - (1 - 2^Planètes!I31))/1000</f>
        <v>-0</v>
      </c>
      <c r="J17" s="270" t="n">
        <f aca="false">((150000) * - (1 - 2^Planètes!J31))/1000</f>
        <v>-0</v>
      </c>
      <c r="K17" s="271" t="n">
        <f aca="false">((150000) * - (1 - 2^Planètes!K31))/1000</f>
        <v>-0</v>
      </c>
      <c r="L17" s="272" t="n">
        <f aca="false">((150000) * - (1 - 2^Planètes!L31))/1000</f>
        <v>-0</v>
      </c>
      <c r="M17" s="273" t="n">
        <f aca="false">((150000) * - (1 - 2^Planètes!M31))/1000</f>
        <v>-0</v>
      </c>
      <c r="N17" s="274" t="n">
        <f aca="false">((150000) * - (1 - 2^Planètes!N31))/1000</f>
        <v>-0</v>
      </c>
      <c r="O17" s="275" t="n">
        <f aca="false">((150000) * - (1 - 2^Planètes!O31))/1000</f>
        <v>-0</v>
      </c>
      <c r="P17" s="276" t="n">
        <f aca="false">((150000) * - (1 - 2^Planètes!P31))/1000</f>
        <v>-0</v>
      </c>
      <c r="Q17" s="277" t="n">
        <f aca="false">SUM(B17:P17)</f>
        <v>0</v>
      </c>
    </row>
    <row r="18" customFormat="false" ht="8.8" hidden="false" customHeight="true" outlineLevel="0" collapsed="false">
      <c r="A18" s="244" t="s">
        <v>57</v>
      </c>
      <c r="B18" s="262" t="n">
        <f aca="false">((41000) * - (1 - 2^Planètes!B32))/1000</f>
        <v>-0</v>
      </c>
      <c r="C18" s="263" t="n">
        <f aca="false">((41000) * - (1 - 2^Planètes!C32))/1000</f>
        <v>-0</v>
      </c>
      <c r="D18" s="264" t="n">
        <f aca="false">((41000) * - (1 - 2^Planètes!D32))/1000</f>
        <v>-0</v>
      </c>
      <c r="E18" s="265" t="n">
        <f aca="false">((41000) * - (1 - 2^Planètes!E32))/1000</f>
        <v>-0</v>
      </c>
      <c r="F18" s="266" t="n">
        <f aca="false">((41000) * - (1 - 2^Planètes!F32))/1000</f>
        <v>-0</v>
      </c>
      <c r="G18" s="267" t="n">
        <f aca="false">((41000) * - (1 - 2^Planètes!G32))/1000</f>
        <v>-0</v>
      </c>
      <c r="H18" s="268" t="n">
        <f aca="false">((41000) * - (1 - 2^Planètes!H32))/1000</f>
        <v>-0</v>
      </c>
      <c r="I18" s="269" t="n">
        <f aca="false">((41000) * - (1 - 2^Planètes!I32))/1000</f>
        <v>-0</v>
      </c>
      <c r="J18" s="270" t="n">
        <f aca="false">((41000) * - (1 - 2^Planètes!J32))/1000</f>
        <v>-0</v>
      </c>
      <c r="K18" s="271" t="n">
        <f aca="false">((41000) * - (1 - 2^Planètes!K32))/1000</f>
        <v>-0</v>
      </c>
      <c r="L18" s="272" t="n">
        <f aca="false">((41000) * - (1 - 2^Planètes!L32))/1000</f>
        <v>-0</v>
      </c>
      <c r="M18" s="273" t="n">
        <f aca="false">((41000) * - (1 - 2^Planètes!M32))/1000</f>
        <v>-0</v>
      </c>
      <c r="N18" s="274" t="n">
        <f aca="false">((41000) * - (1 - 2^Planètes!N32))/1000</f>
        <v>-0</v>
      </c>
      <c r="O18" s="275" t="n">
        <f aca="false">((41000) * - (1 - 2^Planètes!O32))/1000</f>
        <v>-0</v>
      </c>
      <c r="P18" s="276" t="n">
        <f aca="false">((41000) * - (1 - 2^Planètes!P32))/1000</f>
        <v>-0</v>
      </c>
      <c r="Q18" s="277" t="n">
        <f aca="false">SUM(B18:P18)</f>
        <v>0</v>
      </c>
    </row>
    <row r="19" customFormat="false" ht="8.8" hidden="false" customHeight="true" outlineLevel="0" collapsed="false">
      <c r="A19" s="278" t="s">
        <v>5</v>
      </c>
      <c r="B19" s="279" t="n">
        <f aca="false">SUM(B4:B18)</f>
        <v>0</v>
      </c>
      <c r="C19" s="279" t="n">
        <f aca="false">SUM(C4:C18)</f>
        <v>0</v>
      </c>
      <c r="D19" s="279" t="n">
        <f aca="false">SUM(D4:D18)</f>
        <v>0</v>
      </c>
      <c r="E19" s="279" t="n">
        <f aca="false">SUM(E4:E18)</f>
        <v>0</v>
      </c>
      <c r="F19" s="279" t="n">
        <f aca="false">SUM(F4:F18)</f>
        <v>0</v>
      </c>
      <c r="G19" s="279" t="n">
        <f aca="false">SUM(G4:G18)</f>
        <v>0</v>
      </c>
      <c r="H19" s="279" t="n">
        <f aca="false">SUM(H4:H18)</f>
        <v>0</v>
      </c>
      <c r="I19" s="279" t="n">
        <f aca="false">SUM(I4:I18)</f>
        <v>0</v>
      </c>
      <c r="J19" s="279" t="n">
        <f aca="false">SUM(J4:J18)</f>
        <v>0</v>
      </c>
      <c r="K19" s="279" t="n">
        <f aca="false">SUM(K4:K18)</f>
        <v>0</v>
      </c>
      <c r="L19" s="279" t="n">
        <f aca="false">SUM(L4:L18)</f>
        <v>0</v>
      </c>
      <c r="M19" s="279" t="n">
        <f aca="false">SUM(M4:M18)</f>
        <v>0</v>
      </c>
      <c r="N19" s="279" t="n">
        <f aca="false">SUM(N4:N18)</f>
        <v>0</v>
      </c>
      <c r="O19" s="279" t="n">
        <f aca="false">SUM(O4:O18)</f>
        <v>0</v>
      </c>
      <c r="P19" s="279" t="n">
        <f aca="false">SUM(P4:P18)</f>
        <v>0</v>
      </c>
      <c r="Q19" s="280" t="n">
        <f aca="false">SUM(Q4:Q18)</f>
        <v>0</v>
      </c>
    </row>
    <row r="20" customFormat="false" ht="8.8" hidden="false" customHeight="true" outlineLevel="0" collapsed="false">
      <c r="A20" s="261" t="s">
        <v>359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</row>
    <row r="21" customFormat="false" ht="8.8" hidden="false" customHeight="true" outlineLevel="0" collapsed="false">
      <c r="A21" s="244" t="s">
        <v>67</v>
      </c>
      <c r="B21" s="262" t="n">
        <f aca="false">(4000*(SUM(Planètes!B40+Lunes!B18))/1000)</f>
        <v>0</v>
      </c>
      <c r="C21" s="263" t="n">
        <f aca="false">(4000*(SUM(Planètes!C40+Lunes!C18))/1000)</f>
        <v>0</v>
      </c>
      <c r="D21" s="264" t="n">
        <f aca="false">(4000*(SUM(Planètes!D40+Lunes!D18))/1000)</f>
        <v>0</v>
      </c>
      <c r="E21" s="265" t="n">
        <f aca="false">(4000*(SUM(Planètes!E40+Lunes!E18))/1000)</f>
        <v>0</v>
      </c>
      <c r="F21" s="266" t="n">
        <f aca="false">(4000*(SUM(Planètes!F40+Lunes!F18))/1000)</f>
        <v>0</v>
      </c>
      <c r="G21" s="267" t="n">
        <f aca="false">(4000*(SUM(Planètes!G40+Lunes!G18))/1000)</f>
        <v>0</v>
      </c>
      <c r="H21" s="268" t="n">
        <f aca="false">(4000*(SUM(Planètes!H40+Lunes!H18))/1000)</f>
        <v>0</v>
      </c>
      <c r="I21" s="269" t="n">
        <f aca="false">(4000*(SUM(Planètes!I40+Lunes!I18))/1000)</f>
        <v>0</v>
      </c>
      <c r="J21" s="270" t="n">
        <f aca="false">(4000*(SUM(Planètes!J40+Lunes!J18))/1000)</f>
        <v>0</v>
      </c>
      <c r="K21" s="271" t="n">
        <f aca="false">(4000*(SUM(Planètes!K40+Lunes!K18))/1000)</f>
        <v>0</v>
      </c>
      <c r="L21" s="272" t="n">
        <f aca="false">(4000*(SUM(Planètes!L40+Lunes!L18))/1000)</f>
        <v>0</v>
      </c>
      <c r="M21" s="273" t="n">
        <f aca="false">(4000*(SUM(Planètes!M40+Lunes!M18))/1000)</f>
        <v>0</v>
      </c>
      <c r="N21" s="274" t="n">
        <f aca="false">(4000*(SUM(Planètes!N40+Lunes!N18))/1000)</f>
        <v>0</v>
      </c>
      <c r="O21" s="275" t="n">
        <f aca="false">(4000*(SUM(Planètes!O40+Lunes!O18))/1000)</f>
        <v>0</v>
      </c>
      <c r="P21" s="276" t="n">
        <f aca="false">(4000*(SUM(Planètes!P40+Lunes!P18))/1000)</f>
        <v>0</v>
      </c>
      <c r="Q21" s="281" t="n">
        <f aca="false">SUM(B21:P21)</f>
        <v>0</v>
      </c>
    </row>
    <row r="22" customFormat="false" ht="8.8" hidden="false" customHeight="true" outlineLevel="0" collapsed="false">
      <c r="A22" s="244" t="s">
        <v>68</v>
      </c>
      <c r="B22" s="262" t="n">
        <f aca="false">(12000*(SUM(Planètes!B41+Lunes!B19))/1000)</f>
        <v>0</v>
      </c>
      <c r="C22" s="263" t="n">
        <f aca="false">(12000*(SUM(Planètes!C41+Lunes!C19))/1000)</f>
        <v>0</v>
      </c>
      <c r="D22" s="264" t="n">
        <f aca="false">(12000*(SUM(Planètes!D41+Lunes!D19))/1000)</f>
        <v>0</v>
      </c>
      <c r="E22" s="265" t="n">
        <f aca="false">(12000*(SUM(Planètes!E41+Lunes!E19))/1000)</f>
        <v>0</v>
      </c>
      <c r="F22" s="266" t="n">
        <f aca="false">(12000*(SUM(Planètes!F41+Lunes!F19))/1000)</f>
        <v>0</v>
      </c>
      <c r="G22" s="267" t="n">
        <f aca="false">(12000*(SUM(Planètes!G41+Lunes!G19))/1000)</f>
        <v>0</v>
      </c>
      <c r="H22" s="268" t="n">
        <f aca="false">(12000*(SUM(Planètes!H41+Lunes!H19))/1000)</f>
        <v>0</v>
      </c>
      <c r="I22" s="269" t="n">
        <f aca="false">(12000*(SUM(Planètes!I41+Lunes!I19))/1000)</f>
        <v>0</v>
      </c>
      <c r="J22" s="270" t="n">
        <f aca="false">(12000*(SUM(Planètes!J41+Lunes!J19))/1000)</f>
        <v>0</v>
      </c>
      <c r="K22" s="271" t="n">
        <f aca="false">(12000*(SUM(Planètes!K41+Lunes!K19))/1000)</f>
        <v>0</v>
      </c>
      <c r="L22" s="272" t="n">
        <f aca="false">(12000*(SUM(Planètes!L41+Lunes!L19))/1000)</f>
        <v>0</v>
      </c>
      <c r="M22" s="273" t="n">
        <f aca="false">(12000*(SUM(Planètes!M41+Lunes!M19))/1000)</f>
        <v>0</v>
      </c>
      <c r="N22" s="274" t="n">
        <f aca="false">(12000*(SUM(Planètes!N41+Lunes!N19))/1000)</f>
        <v>0</v>
      </c>
      <c r="O22" s="275" t="n">
        <f aca="false">(12000*(SUM(Planètes!O41+Lunes!O19))/1000)</f>
        <v>0</v>
      </c>
      <c r="P22" s="276" t="n">
        <f aca="false">(12000*(SUM(Planètes!P41+Lunes!P19))/1000)</f>
        <v>0</v>
      </c>
      <c r="Q22" s="281" t="n">
        <f aca="false">SUM(B22:P22)</f>
        <v>0</v>
      </c>
    </row>
    <row r="23" customFormat="false" ht="8.8" hidden="false" customHeight="true" outlineLevel="0" collapsed="false">
      <c r="A23" s="244" t="s">
        <v>69</v>
      </c>
      <c r="B23" s="262" t="n">
        <f aca="false">(4000*(SUM(Planètes!B42+Lunes!B20))/1000)</f>
        <v>0</v>
      </c>
      <c r="C23" s="263" t="n">
        <f aca="false">(4000*(SUM(Planètes!C42+Lunes!C20))/1000)</f>
        <v>0</v>
      </c>
      <c r="D23" s="264" t="n">
        <f aca="false">(4000*(SUM(Planètes!D42+Lunes!D20))/1000)</f>
        <v>0</v>
      </c>
      <c r="E23" s="265" t="n">
        <f aca="false">(4000*(SUM(Planètes!E42+Lunes!E20))/1000)</f>
        <v>0</v>
      </c>
      <c r="F23" s="266" t="n">
        <f aca="false">(4000*(SUM(Planètes!F42+Lunes!F20))/1000)</f>
        <v>0</v>
      </c>
      <c r="G23" s="267" t="n">
        <f aca="false">(4000*(SUM(Planètes!G42+Lunes!G20))/1000)</f>
        <v>0</v>
      </c>
      <c r="H23" s="268" t="n">
        <f aca="false">(4000*(SUM(Planètes!H42+Lunes!H20))/1000)</f>
        <v>0</v>
      </c>
      <c r="I23" s="269" t="n">
        <f aca="false">(4000*(SUM(Planètes!I42+Lunes!I20))/1000)</f>
        <v>0</v>
      </c>
      <c r="J23" s="270" t="n">
        <f aca="false">(4000*(SUM(Planètes!J42+Lunes!J20))/1000)</f>
        <v>0</v>
      </c>
      <c r="K23" s="271" t="n">
        <f aca="false">(4000*(SUM(Planètes!K42+Lunes!K20))/1000)</f>
        <v>0</v>
      </c>
      <c r="L23" s="272" t="n">
        <f aca="false">(4000*(SUM(Planètes!L42+Lunes!L20))/1000)</f>
        <v>0</v>
      </c>
      <c r="M23" s="273" t="n">
        <f aca="false">(4000*(SUM(Planètes!M42+Lunes!M20))/1000)</f>
        <v>0</v>
      </c>
      <c r="N23" s="274" t="n">
        <f aca="false">(4000*(SUM(Planètes!N42+Lunes!N20))/1000)</f>
        <v>0</v>
      </c>
      <c r="O23" s="275" t="n">
        <f aca="false">(4000*(SUM(Planètes!O42+Lunes!O20))/1000)</f>
        <v>0</v>
      </c>
      <c r="P23" s="276" t="n">
        <f aca="false">(4000*(SUM(Planètes!P42+Lunes!P20))/1000)</f>
        <v>0</v>
      </c>
      <c r="Q23" s="281" t="n">
        <f aca="false">SUM(B23:P23)</f>
        <v>0</v>
      </c>
    </row>
    <row r="24" customFormat="false" ht="8.8" hidden="false" customHeight="true" outlineLevel="0" collapsed="false">
      <c r="A24" s="244" t="s">
        <v>71</v>
      </c>
      <c r="B24" s="262" t="n">
        <f aca="false">(10000*(SUM(Planètes!B43+Lunes!B21))/1000)</f>
        <v>0</v>
      </c>
      <c r="C24" s="263" t="n">
        <f aca="false">(10000*(SUM(Planètes!C43+Lunes!C21))/1000)</f>
        <v>0</v>
      </c>
      <c r="D24" s="264" t="n">
        <f aca="false">(10000*(SUM(Planètes!D43+Lunes!D21))/1000)</f>
        <v>0</v>
      </c>
      <c r="E24" s="265" t="n">
        <f aca="false">(10000*(SUM(Planètes!E43+Lunes!E21))/1000)</f>
        <v>0</v>
      </c>
      <c r="F24" s="266" t="n">
        <f aca="false">(10000*(SUM(Planètes!F43+Lunes!F21))/1000)</f>
        <v>0</v>
      </c>
      <c r="G24" s="267" t="n">
        <f aca="false">(10000*(SUM(Planètes!G43+Lunes!G21))/1000)</f>
        <v>0</v>
      </c>
      <c r="H24" s="268" t="n">
        <f aca="false">(10000*(SUM(Planètes!H43+Lunes!H21))/1000)</f>
        <v>0</v>
      </c>
      <c r="I24" s="269" t="n">
        <f aca="false">(10000*(SUM(Planètes!I43+Lunes!I21))/1000)</f>
        <v>0</v>
      </c>
      <c r="J24" s="270" t="n">
        <f aca="false">(10000*(SUM(Planètes!J43+Lunes!J21))/1000)</f>
        <v>0</v>
      </c>
      <c r="K24" s="271" t="n">
        <f aca="false">(10000*(SUM(Planètes!K43+Lunes!K21))/1000)</f>
        <v>0</v>
      </c>
      <c r="L24" s="272" t="n">
        <f aca="false">(10000*(SUM(Planètes!L43+Lunes!L21))/1000)</f>
        <v>0</v>
      </c>
      <c r="M24" s="273" t="n">
        <f aca="false">(10000*(SUM(Planètes!M43+Lunes!M21))/1000)</f>
        <v>0</v>
      </c>
      <c r="N24" s="274" t="n">
        <f aca="false">(10000*(SUM(Planètes!N43+Lunes!N21))/1000)</f>
        <v>0</v>
      </c>
      <c r="O24" s="275" t="n">
        <f aca="false">(10000*(SUM(Planètes!O43+Lunes!O21))/1000)</f>
        <v>0</v>
      </c>
      <c r="P24" s="276" t="n">
        <f aca="false">(10000*(SUM(Planètes!P43+Lunes!P21))/1000)</f>
        <v>0</v>
      </c>
      <c r="Q24" s="281" t="n">
        <f aca="false">SUM(B24:P24)</f>
        <v>0</v>
      </c>
    </row>
    <row r="25" customFormat="false" ht="8.8" hidden="false" customHeight="true" outlineLevel="0" collapsed="false">
      <c r="A25" s="244" t="s">
        <v>73</v>
      </c>
      <c r="B25" s="262" t="n">
        <f aca="false">(29000*(SUM(Planètes!B44+Lunes!B22))/1000)</f>
        <v>0</v>
      </c>
      <c r="C25" s="263" t="n">
        <f aca="false">(29000*(SUM(Planètes!C44+Lunes!C22))/1000)</f>
        <v>0</v>
      </c>
      <c r="D25" s="264" t="n">
        <f aca="false">(29000*(SUM(Planètes!D44+Lunes!D22))/1000)</f>
        <v>0</v>
      </c>
      <c r="E25" s="265" t="n">
        <f aca="false">(29000*(SUM(Planètes!E44+Lunes!E22))/1000)</f>
        <v>0</v>
      </c>
      <c r="F25" s="266" t="n">
        <f aca="false">(29000*(SUM(Planètes!F44+Lunes!F22))/1000)</f>
        <v>0</v>
      </c>
      <c r="G25" s="267" t="n">
        <f aca="false">(29000*(SUM(Planètes!G44+Lunes!G22))/1000)</f>
        <v>0</v>
      </c>
      <c r="H25" s="268" t="n">
        <f aca="false">(29000*(SUM(Planètes!H44+Lunes!H22))/1000)</f>
        <v>0</v>
      </c>
      <c r="I25" s="269" t="n">
        <f aca="false">(29000*(SUM(Planètes!I44+Lunes!I22))/1000)</f>
        <v>0</v>
      </c>
      <c r="J25" s="270" t="n">
        <f aca="false">(29000*(SUM(Planètes!J44+Lunes!J22))/1000)</f>
        <v>0</v>
      </c>
      <c r="K25" s="271" t="n">
        <f aca="false">(29000*(SUM(Planètes!K44+Lunes!K22))/1000)</f>
        <v>0</v>
      </c>
      <c r="L25" s="272" t="n">
        <f aca="false">(29000*(SUM(Planètes!L44+Lunes!L22))/1000)</f>
        <v>0</v>
      </c>
      <c r="M25" s="273" t="n">
        <f aca="false">(29000*(SUM(Planètes!M44+Lunes!M22))/1000)</f>
        <v>0</v>
      </c>
      <c r="N25" s="274" t="n">
        <f aca="false">(29000*(SUM(Planètes!N44+Lunes!N22))/1000)</f>
        <v>0</v>
      </c>
      <c r="O25" s="275" t="n">
        <f aca="false">(29000*(SUM(Planètes!O44+Lunes!O22))/1000)</f>
        <v>0</v>
      </c>
      <c r="P25" s="276" t="n">
        <f aca="false">(29000*(SUM(Planètes!P44+Lunes!P22))/1000)</f>
        <v>0</v>
      </c>
      <c r="Q25" s="281" t="n">
        <f aca="false">SUM(B25:P25)</f>
        <v>0</v>
      </c>
    </row>
    <row r="26" customFormat="false" ht="8.8" hidden="false" customHeight="true" outlineLevel="0" collapsed="false">
      <c r="A26" s="244" t="s">
        <v>75</v>
      </c>
      <c r="B26" s="262" t="n">
        <f aca="false">(60000*(SUM(Planètes!B45+Lunes!B23))/1000)</f>
        <v>0</v>
      </c>
      <c r="C26" s="263" t="n">
        <f aca="false">(60000*(SUM(Planètes!C45+Lunes!C23))/1000)</f>
        <v>0</v>
      </c>
      <c r="D26" s="264" t="n">
        <f aca="false">(60000*(SUM(Planètes!D45+Lunes!D23))/1000)</f>
        <v>0</v>
      </c>
      <c r="E26" s="265" t="n">
        <f aca="false">(60000*(SUM(Planètes!E45+Lunes!E23))/1000)</f>
        <v>0</v>
      </c>
      <c r="F26" s="266" t="n">
        <f aca="false">(60000*(SUM(Planètes!F45+Lunes!F23))/1000)</f>
        <v>0</v>
      </c>
      <c r="G26" s="267" t="n">
        <f aca="false">(60000*(SUM(Planètes!G45+Lunes!G23))/1000)</f>
        <v>0</v>
      </c>
      <c r="H26" s="268" t="n">
        <f aca="false">(60000*(SUM(Planètes!H45+Lunes!H23))/1000)</f>
        <v>0</v>
      </c>
      <c r="I26" s="269" t="n">
        <f aca="false">(60000*(SUM(Planètes!I45+Lunes!I23))/1000)</f>
        <v>0</v>
      </c>
      <c r="J26" s="270" t="n">
        <f aca="false">(60000*(SUM(Planètes!J45+Lunes!J23))/1000)</f>
        <v>0</v>
      </c>
      <c r="K26" s="271" t="n">
        <f aca="false">(60000*(SUM(Planètes!K45+Lunes!K23))/1000)</f>
        <v>0</v>
      </c>
      <c r="L26" s="272" t="n">
        <f aca="false">(60000*(SUM(Planètes!L45+Lunes!L23))/1000)</f>
        <v>0</v>
      </c>
      <c r="M26" s="273" t="n">
        <f aca="false">(60000*(SUM(Planètes!M45+Lunes!M23))/1000)</f>
        <v>0</v>
      </c>
      <c r="N26" s="274" t="n">
        <f aca="false">(60000*(SUM(Planètes!N45+Lunes!N23))/1000)</f>
        <v>0</v>
      </c>
      <c r="O26" s="275" t="n">
        <f aca="false">(60000*(SUM(Planètes!O45+Lunes!O23))/1000)</f>
        <v>0</v>
      </c>
      <c r="P26" s="276" t="n">
        <f aca="false">(60000*(SUM(Planètes!P45+Lunes!P23))/1000)</f>
        <v>0</v>
      </c>
      <c r="Q26" s="281" t="n">
        <f aca="false">SUM(B26:P26)</f>
        <v>0</v>
      </c>
    </row>
    <row r="27" customFormat="false" ht="8.8" hidden="false" customHeight="true" outlineLevel="0" collapsed="false">
      <c r="A27" s="244" t="s">
        <v>360</v>
      </c>
      <c r="B27" s="262" t="n">
        <f aca="false">(40000*(SUM(Planètes!B46+Lunes!B24))/1000)</f>
        <v>0</v>
      </c>
      <c r="C27" s="263" t="n">
        <f aca="false">(40000*(SUM(Planètes!C46+Lunes!C24))/1000)</f>
        <v>0</v>
      </c>
      <c r="D27" s="264" t="n">
        <f aca="false">(40000*(SUM(Planètes!D46+Lunes!D24))/1000)</f>
        <v>0</v>
      </c>
      <c r="E27" s="265" t="n">
        <f aca="false">(40000*(SUM(Planètes!E46+Lunes!E24))/1000)</f>
        <v>0</v>
      </c>
      <c r="F27" s="266" t="n">
        <f aca="false">(40000*(SUM(Planètes!F46+Lunes!F24))/1000)</f>
        <v>0</v>
      </c>
      <c r="G27" s="267" t="n">
        <f aca="false">(40000*(SUM(Planètes!G46+Lunes!G24))/1000)</f>
        <v>0</v>
      </c>
      <c r="H27" s="268" t="n">
        <f aca="false">(40000*(SUM(Planètes!H46+Lunes!H24))/1000)</f>
        <v>0</v>
      </c>
      <c r="I27" s="269" t="n">
        <f aca="false">(40000*(SUM(Planètes!I46+Lunes!I24))/1000)</f>
        <v>0</v>
      </c>
      <c r="J27" s="270" t="n">
        <f aca="false">(40000*(SUM(Planètes!J46+Lunes!J24))/1000)</f>
        <v>0</v>
      </c>
      <c r="K27" s="271" t="n">
        <f aca="false">(40000*(SUM(Planètes!K46+Lunes!K24))/1000)</f>
        <v>0</v>
      </c>
      <c r="L27" s="272" t="n">
        <f aca="false">(40000*(SUM(Planètes!L46+Lunes!L24))/1000)</f>
        <v>0</v>
      </c>
      <c r="M27" s="273" t="n">
        <f aca="false">(40000*(SUM(Planètes!M46+Lunes!M24))/1000)</f>
        <v>0</v>
      </c>
      <c r="N27" s="274" t="n">
        <f aca="false">(40000*(SUM(Planètes!N46+Lunes!N24))/1000)</f>
        <v>0</v>
      </c>
      <c r="O27" s="275" t="n">
        <f aca="false">(40000*(SUM(Planètes!O46+Lunes!O24))/1000)</f>
        <v>0</v>
      </c>
      <c r="P27" s="276" t="n">
        <f aca="false">(40000*(SUM(Planètes!P46+Lunes!P24))/1000)</f>
        <v>0</v>
      </c>
      <c r="Q27" s="281" t="n">
        <f aca="false">SUM(B27:P27)</f>
        <v>0</v>
      </c>
    </row>
    <row r="28" customFormat="false" ht="8.8" hidden="false" customHeight="true" outlineLevel="0" collapsed="false">
      <c r="A28" s="244" t="s">
        <v>78</v>
      </c>
      <c r="B28" s="262" t="n">
        <f aca="false">(18000*(SUM(Planètes!B47+Lunes!B25))/1000)</f>
        <v>0</v>
      </c>
      <c r="C28" s="263" t="n">
        <f aca="false">(18000*(SUM(Planètes!C47+Lunes!C25))/1000)</f>
        <v>0</v>
      </c>
      <c r="D28" s="264" t="n">
        <f aca="false">(18000*(SUM(Planètes!D47+Lunes!D25))/1000)</f>
        <v>0</v>
      </c>
      <c r="E28" s="265" t="n">
        <f aca="false">(18000*(SUM(Planètes!E47+Lunes!E25))/1000)</f>
        <v>0</v>
      </c>
      <c r="F28" s="266" t="n">
        <f aca="false">(18000*(SUM(Planètes!F47+Lunes!F25))/1000)</f>
        <v>0</v>
      </c>
      <c r="G28" s="267" t="n">
        <f aca="false">(18000*(SUM(Planètes!G47+Lunes!G25))/1000)</f>
        <v>0</v>
      </c>
      <c r="H28" s="268" t="n">
        <f aca="false">(18000*(SUM(Planètes!H47+Lunes!H25))/1000)</f>
        <v>0</v>
      </c>
      <c r="I28" s="269" t="n">
        <f aca="false">(18000*(SUM(Planètes!I47+Lunes!I25))/1000)</f>
        <v>0</v>
      </c>
      <c r="J28" s="270" t="n">
        <f aca="false">(18000*(SUM(Planètes!J47+Lunes!J25))/1000)</f>
        <v>0</v>
      </c>
      <c r="K28" s="271" t="n">
        <f aca="false">(18000*(SUM(Planètes!K47+Lunes!K25))/1000)</f>
        <v>0</v>
      </c>
      <c r="L28" s="272" t="n">
        <f aca="false">(18000*(SUM(Planètes!L47+Lunes!L25))/1000)</f>
        <v>0</v>
      </c>
      <c r="M28" s="273" t="n">
        <f aca="false">(18000*(SUM(Planètes!M47+Lunes!M25))/1000)</f>
        <v>0</v>
      </c>
      <c r="N28" s="274" t="n">
        <f aca="false">(18000*(SUM(Planètes!N47+Lunes!N25))/1000)</f>
        <v>0</v>
      </c>
      <c r="O28" s="275" t="n">
        <f aca="false">(18000*(SUM(Planètes!O47+Lunes!O25))/1000)</f>
        <v>0</v>
      </c>
      <c r="P28" s="276" t="n">
        <f aca="false">(18000*(SUM(Planètes!P47+Lunes!P25))/1000)</f>
        <v>0</v>
      </c>
      <c r="Q28" s="281" t="n">
        <f aca="false">SUM(B28:P28)</f>
        <v>0</v>
      </c>
    </row>
    <row r="29" customFormat="false" ht="8.8" hidden="false" customHeight="true" outlineLevel="0" collapsed="false">
      <c r="A29" s="244" t="s">
        <v>79</v>
      </c>
      <c r="B29" s="262" t="n">
        <f aca="false">(1000*(SUM(Planètes!B48+Lunes!B26))/1000)</f>
        <v>0</v>
      </c>
      <c r="C29" s="263" t="n">
        <f aca="false">(1000*(SUM(Planètes!C48+Lunes!C26))/1000)</f>
        <v>0</v>
      </c>
      <c r="D29" s="264" t="n">
        <f aca="false">(1000*(SUM(Planètes!D48+Lunes!D26))/1000)</f>
        <v>0</v>
      </c>
      <c r="E29" s="265" t="n">
        <f aca="false">(1000*(SUM(Planètes!E48+Lunes!E26))/1000)</f>
        <v>0</v>
      </c>
      <c r="F29" s="266" t="n">
        <f aca="false">(1000*(SUM(Planètes!F48+Lunes!F26))/1000)</f>
        <v>0</v>
      </c>
      <c r="G29" s="267" t="n">
        <f aca="false">(1000*(SUM(Planètes!G48+Lunes!G26))/1000)</f>
        <v>0</v>
      </c>
      <c r="H29" s="268" t="n">
        <f aca="false">(1000*(SUM(Planètes!H48+Lunes!H26))/1000)</f>
        <v>0</v>
      </c>
      <c r="I29" s="269" t="n">
        <f aca="false">(1000*(SUM(Planètes!I48+Lunes!I26))/1000)</f>
        <v>0</v>
      </c>
      <c r="J29" s="270" t="n">
        <f aca="false">(1000*(SUM(Planètes!J48+Lunes!J26))/1000)</f>
        <v>0</v>
      </c>
      <c r="K29" s="271" t="n">
        <f aca="false">(1000*(SUM(Planètes!K48+Lunes!K26))/1000)</f>
        <v>0</v>
      </c>
      <c r="L29" s="272" t="n">
        <f aca="false">(1000*(SUM(Planètes!L48+Lunes!L26))/1000)</f>
        <v>0</v>
      </c>
      <c r="M29" s="273" t="n">
        <f aca="false">(1000*(SUM(Planètes!M48+Lunes!M26))/1000)</f>
        <v>0</v>
      </c>
      <c r="N29" s="274" t="n">
        <f aca="false">(1000*(SUM(Planètes!N48+Lunes!N26))/1000)</f>
        <v>0</v>
      </c>
      <c r="O29" s="275" t="n">
        <f aca="false">(1000*(SUM(Planètes!O48+Lunes!O26))/1000)</f>
        <v>0</v>
      </c>
      <c r="P29" s="276" t="n">
        <f aca="false">(1000*(SUM(Planètes!P48+Lunes!P26))/1000)</f>
        <v>0</v>
      </c>
      <c r="Q29" s="281" t="n">
        <f aca="false">SUM(B29:P29)</f>
        <v>0</v>
      </c>
    </row>
    <row r="30" customFormat="false" ht="8.8" hidden="false" customHeight="true" outlineLevel="0" collapsed="false">
      <c r="A30" s="244" t="s">
        <v>361</v>
      </c>
      <c r="B30" s="262" t="n">
        <f aca="false">(90000*(SUM(Planètes!B49+Lunes!B27))/1000)</f>
        <v>0</v>
      </c>
      <c r="C30" s="263" t="n">
        <f aca="false">(90000*(SUM(Planètes!C49+Lunes!C27))/1000)</f>
        <v>0</v>
      </c>
      <c r="D30" s="264" t="n">
        <f aca="false">(90000*(SUM(Planètes!D49+Lunes!D27))/1000)</f>
        <v>0</v>
      </c>
      <c r="E30" s="265" t="n">
        <f aca="false">(90000*(SUM(Planètes!E49+Lunes!E27))/1000)</f>
        <v>0</v>
      </c>
      <c r="F30" s="266" t="n">
        <f aca="false">(90000*(SUM(Planètes!F49+Lunes!F27))/1000)</f>
        <v>0</v>
      </c>
      <c r="G30" s="267" t="n">
        <f aca="false">(90000*(SUM(Planètes!G49+Lunes!G27))/1000)</f>
        <v>0</v>
      </c>
      <c r="H30" s="268" t="n">
        <f aca="false">(90000*(SUM(Planètes!H49+Lunes!H27))/1000)</f>
        <v>0</v>
      </c>
      <c r="I30" s="269" t="n">
        <f aca="false">(90000*(SUM(Planètes!I49+Lunes!I27))/1000)</f>
        <v>0</v>
      </c>
      <c r="J30" s="270" t="n">
        <f aca="false">(90000*(SUM(Planètes!J49+Lunes!J27))/1000)</f>
        <v>0</v>
      </c>
      <c r="K30" s="271" t="n">
        <f aca="false">(90000*(SUM(Planètes!K49+Lunes!K27))/1000)</f>
        <v>0</v>
      </c>
      <c r="L30" s="272" t="n">
        <f aca="false">(90000*(SUM(Planètes!L49+Lunes!L27))/1000)</f>
        <v>0</v>
      </c>
      <c r="M30" s="273" t="n">
        <f aca="false">(90000*(SUM(Planètes!M49+Lunes!M27))/1000)</f>
        <v>0</v>
      </c>
      <c r="N30" s="274" t="n">
        <f aca="false">(90000*(SUM(Planètes!N49+Lunes!N27))/1000)</f>
        <v>0</v>
      </c>
      <c r="O30" s="275" t="n">
        <f aca="false">(90000*(SUM(Planètes!O49+Lunes!O27))/1000)</f>
        <v>0</v>
      </c>
      <c r="P30" s="276" t="n">
        <f aca="false">(90000*(SUM(Planètes!P49+Lunes!P27))/1000)</f>
        <v>0</v>
      </c>
      <c r="Q30" s="281" t="n">
        <f aca="false">SUM(B30:P30)</f>
        <v>0</v>
      </c>
    </row>
    <row r="31" customFormat="false" ht="8.8" hidden="false" customHeight="true" outlineLevel="0" collapsed="false">
      <c r="A31" s="244" t="s">
        <v>82</v>
      </c>
      <c r="B31" s="262" t="n">
        <f aca="false">(125000*(SUM(Planètes!B50+Lunes!B28))/1000)</f>
        <v>0</v>
      </c>
      <c r="C31" s="263" t="n">
        <f aca="false">(125000*(SUM(Planètes!C50+Lunes!C28))/1000)</f>
        <v>0</v>
      </c>
      <c r="D31" s="264" t="n">
        <f aca="false">(125000*(SUM(Planètes!D50+Lunes!D28))/1000)</f>
        <v>0</v>
      </c>
      <c r="E31" s="265" t="n">
        <f aca="false">(125000*(SUM(Planètes!E50+Lunes!E28))/1000)</f>
        <v>0</v>
      </c>
      <c r="F31" s="266" t="n">
        <f aca="false">(125000*(SUM(Planètes!F50+Lunes!F28))/1000)</f>
        <v>0</v>
      </c>
      <c r="G31" s="267" t="n">
        <f aca="false">(125000*(SUM(Planètes!G50+Lunes!G28))/1000)</f>
        <v>0</v>
      </c>
      <c r="H31" s="268" t="n">
        <f aca="false">(125000*(SUM(Planètes!H50+Lunes!H28))/1000)</f>
        <v>0</v>
      </c>
      <c r="I31" s="269" t="n">
        <f aca="false">(125000*(SUM(Planètes!I50+Lunes!I28))/1000)</f>
        <v>0</v>
      </c>
      <c r="J31" s="270" t="n">
        <f aca="false">(125000*(SUM(Planètes!J50+Lunes!J28))/1000)</f>
        <v>0</v>
      </c>
      <c r="K31" s="271" t="n">
        <f aca="false">(125000*(SUM(Planètes!K50+Lunes!K28))/1000)</f>
        <v>0</v>
      </c>
      <c r="L31" s="272" t="n">
        <f aca="false">(125000*(SUM(Planètes!L50+Lunes!L28))/1000)</f>
        <v>0</v>
      </c>
      <c r="M31" s="273" t="n">
        <f aca="false">(125000*(SUM(Planètes!M50+Lunes!M28))/1000)</f>
        <v>0</v>
      </c>
      <c r="N31" s="274" t="n">
        <f aca="false">(125000*(SUM(Planètes!N50+Lunes!N28))/1000)</f>
        <v>0</v>
      </c>
      <c r="O31" s="275" t="n">
        <f aca="false">(125000*(SUM(Planètes!O50+Lunes!O28))/1000)</f>
        <v>0</v>
      </c>
      <c r="P31" s="276" t="n">
        <f aca="false">(125000*(SUM(Planètes!P50+Lunes!P28))/1000)</f>
        <v>0</v>
      </c>
      <c r="Q31" s="281" t="n">
        <f aca="false">SUM(B31:P31)</f>
        <v>0</v>
      </c>
    </row>
    <row r="32" customFormat="false" ht="8.8" hidden="false" customHeight="true" outlineLevel="0" collapsed="false">
      <c r="A32" s="244" t="s">
        <v>83</v>
      </c>
      <c r="B32" s="262" t="n">
        <f aca="false">(10000000*(SUM(Planètes!B51+Lunes!B29))/1000)</f>
        <v>0</v>
      </c>
      <c r="C32" s="263" t="n">
        <f aca="false">(10000000*(SUM(Planètes!C51+Lunes!C29))/1000)</f>
        <v>0</v>
      </c>
      <c r="D32" s="264" t="n">
        <f aca="false">(10000000*(SUM(Planètes!D51+Lunes!D29))/1000)</f>
        <v>0</v>
      </c>
      <c r="E32" s="265" t="n">
        <f aca="false">(10000000*(SUM(Planètes!E51+Lunes!E29))/1000)</f>
        <v>0</v>
      </c>
      <c r="F32" s="266" t="n">
        <f aca="false">(10000000*(SUM(Planètes!F51+Lunes!F29))/1000)</f>
        <v>0</v>
      </c>
      <c r="G32" s="267" t="n">
        <f aca="false">(10000000*(SUM(Planètes!G51+Lunes!G29))/1000)</f>
        <v>0</v>
      </c>
      <c r="H32" s="268" t="n">
        <f aca="false">(10000000*(SUM(Planètes!H51+Lunes!H29))/1000)</f>
        <v>0</v>
      </c>
      <c r="I32" s="269" t="n">
        <f aca="false">(10000000*(SUM(Planètes!I51+Lunes!I29))/1000)</f>
        <v>0</v>
      </c>
      <c r="J32" s="270" t="n">
        <f aca="false">(10000000*(SUM(Planètes!J51+Lunes!J29))/1000)</f>
        <v>0</v>
      </c>
      <c r="K32" s="271" t="n">
        <f aca="false">(10000000*(SUM(Planètes!K51+Lunes!K29))/1000)</f>
        <v>0</v>
      </c>
      <c r="L32" s="272" t="n">
        <f aca="false">(10000000*(SUM(Planètes!L51+Lunes!L29))/1000)</f>
        <v>0</v>
      </c>
      <c r="M32" s="273" t="n">
        <f aca="false">(10000000*(SUM(Planètes!M51+Lunes!M29))/1000)</f>
        <v>0</v>
      </c>
      <c r="N32" s="274" t="n">
        <f aca="false">(10000000*(SUM(Planètes!N51+Lunes!N29))/1000)</f>
        <v>0</v>
      </c>
      <c r="O32" s="275" t="n">
        <f aca="false">(10000000*(SUM(Planètes!O51+Lunes!O29))/1000)</f>
        <v>0</v>
      </c>
      <c r="P32" s="276" t="n">
        <f aca="false">(10000000*(SUM(Planètes!P51+Lunes!P29))/1000)</f>
        <v>0</v>
      </c>
      <c r="Q32" s="281" t="n">
        <f aca="false">SUM(B32:P32)</f>
        <v>0</v>
      </c>
    </row>
    <row r="33" customFormat="false" ht="8.8" hidden="false" customHeight="true" outlineLevel="0" collapsed="false">
      <c r="A33" s="244" t="s">
        <v>84</v>
      </c>
      <c r="B33" s="262" t="n">
        <f aca="false">(85000*(SUM(Planètes!B52+Lunes!B30))/1000)</f>
        <v>0</v>
      </c>
      <c r="C33" s="263" t="n">
        <f aca="false">(85000*(SUM(Planètes!C52+Lunes!C30))/1000)</f>
        <v>0</v>
      </c>
      <c r="D33" s="264" t="n">
        <f aca="false">(85000*(SUM(Planètes!D52+Lunes!D30))/1000)</f>
        <v>0</v>
      </c>
      <c r="E33" s="265" t="n">
        <f aca="false">(85000*(SUM(Planètes!E52+Lunes!E30))/1000)</f>
        <v>0</v>
      </c>
      <c r="F33" s="266" t="n">
        <f aca="false">(85000*(SUM(Planètes!F52+Lunes!F30))/1000)</f>
        <v>0</v>
      </c>
      <c r="G33" s="267" t="n">
        <f aca="false">(85000*(SUM(Planètes!G52+Lunes!G30))/1000)</f>
        <v>0</v>
      </c>
      <c r="H33" s="268" t="n">
        <f aca="false">(85000*(SUM(Planètes!H52+Lunes!H30))/1000)</f>
        <v>0</v>
      </c>
      <c r="I33" s="269" t="n">
        <f aca="false">(85000*(SUM(Planètes!I52+Lunes!I30))/1000)</f>
        <v>0</v>
      </c>
      <c r="J33" s="270" t="n">
        <f aca="false">(85000*(SUM(Planètes!J52+Lunes!J30))/1000)</f>
        <v>0</v>
      </c>
      <c r="K33" s="271" t="n">
        <f aca="false">(85000*(SUM(Planètes!K52+Lunes!K30))/1000)</f>
        <v>0</v>
      </c>
      <c r="L33" s="272" t="n">
        <f aca="false">(85000*(SUM(Planètes!L52+Lunes!L30))/1000)</f>
        <v>0</v>
      </c>
      <c r="M33" s="273" t="n">
        <f aca="false">(85000*(SUM(Planètes!M52+Lunes!M30))/1000)</f>
        <v>0</v>
      </c>
      <c r="N33" s="274" t="n">
        <f aca="false">(85000*(SUM(Planètes!N52+Lunes!N30))/1000)</f>
        <v>0</v>
      </c>
      <c r="O33" s="275" t="n">
        <f aca="false">(85000*(SUM(Planètes!O52+Lunes!O30))/1000)</f>
        <v>0</v>
      </c>
      <c r="P33" s="276" t="n">
        <f aca="false">(85000*(SUM(Planètes!P52+Lunes!P30))/1000)</f>
        <v>0</v>
      </c>
      <c r="Q33" s="281" t="n">
        <f aca="false">SUM(B33:P33)</f>
        <v>0</v>
      </c>
    </row>
    <row r="34" customFormat="false" ht="8.8" hidden="false" customHeight="true" outlineLevel="0" collapsed="false">
      <c r="A34" s="244" t="s">
        <v>59</v>
      </c>
      <c r="B34" s="262" t="n">
        <f aca="false">(2500*(SUM(Planètes!B34+Lunes!B27)/1000))</f>
        <v>0</v>
      </c>
      <c r="C34" s="263" t="n">
        <f aca="false">(2500*(SUM(Planètes!C34+Lunes!C27)/1000))</f>
        <v>0</v>
      </c>
      <c r="D34" s="264" t="n">
        <f aca="false">(2500*(SUM(Planètes!D34+Lunes!D27)/1000))</f>
        <v>0</v>
      </c>
      <c r="E34" s="265" t="n">
        <f aca="false">(2500*(SUM(Planètes!E34+Lunes!E27)/1000))</f>
        <v>0</v>
      </c>
      <c r="F34" s="266" t="n">
        <f aca="false">(2500*(SUM(Planètes!F34+Lunes!F27)/1000))</f>
        <v>0</v>
      </c>
      <c r="G34" s="267" t="n">
        <f aca="false">(2500*(SUM(Planètes!G34+Lunes!G27)/1000))</f>
        <v>0</v>
      </c>
      <c r="H34" s="268" t="n">
        <f aca="false">(2500*(SUM(Planètes!H34+Lunes!H27)/1000))</f>
        <v>0</v>
      </c>
      <c r="I34" s="269" t="n">
        <f aca="false">(2500*(SUM(Planètes!I34+Lunes!I27)/1000))</f>
        <v>0</v>
      </c>
      <c r="J34" s="270" t="n">
        <f aca="false">(2500*(SUM(Planètes!J34+Lunes!J27)/1000))</f>
        <v>0</v>
      </c>
      <c r="K34" s="271" t="n">
        <f aca="false">(2500*(SUM(Planètes!K34+Lunes!K27)/1000))</f>
        <v>0</v>
      </c>
      <c r="L34" s="272" t="n">
        <f aca="false">(2500*(SUM(Planètes!L34+Lunes!L27)/1000))</f>
        <v>0</v>
      </c>
      <c r="M34" s="273" t="n">
        <f aca="false">(2500*(SUM(Planètes!M34+Lunes!M27)/1000))</f>
        <v>0</v>
      </c>
      <c r="N34" s="274" t="n">
        <f aca="false">(2500*(SUM(Planètes!N34+Lunes!N27)/1000))</f>
        <v>0</v>
      </c>
      <c r="O34" s="275" t="n">
        <f aca="false">(2500*(SUM(Planètes!O34+Lunes!O27)/1000))</f>
        <v>0</v>
      </c>
      <c r="P34" s="276" t="n">
        <f aca="false">(2500*(SUM(Planètes!P34+Lunes!P27)/1000))</f>
        <v>0</v>
      </c>
      <c r="Q34" s="281" t="n">
        <f aca="false">SUM(B34:P34)</f>
        <v>0</v>
      </c>
    </row>
    <row r="35" customFormat="false" ht="8.8" hidden="false" customHeight="true" outlineLevel="0" collapsed="false">
      <c r="A35" s="278" t="s">
        <v>5</v>
      </c>
      <c r="B35" s="279" t="n">
        <f aca="false">SUM(B21:B34)</f>
        <v>0</v>
      </c>
      <c r="C35" s="279" t="n">
        <f aca="false">SUM(C21:C34)</f>
        <v>0</v>
      </c>
      <c r="D35" s="279" t="n">
        <f aca="false">SUM(D21:D34)</f>
        <v>0</v>
      </c>
      <c r="E35" s="279" t="n">
        <f aca="false">SUM(E21:E34)</f>
        <v>0</v>
      </c>
      <c r="F35" s="279" t="n">
        <f aca="false">SUM(F21:F34)</f>
        <v>0</v>
      </c>
      <c r="G35" s="279" t="n">
        <f aca="false">SUM(G21:G34)</f>
        <v>0</v>
      </c>
      <c r="H35" s="279" t="n">
        <f aca="false">SUM(H21:H34)</f>
        <v>0</v>
      </c>
      <c r="I35" s="279" t="n">
        <f aca="false">SUM(I21:I34)</f>
        <v>0</v>
      </c>
      <c r="J35" s="279" t="n">
        <f aca="false">SUM(J21:J34)</f>
        <v>0</v>
      </c>
      <c r="K35" s="279" t="n">
        <f aca="false">SUM(K21:K34)</f>
        <v>0</v>
      </c>
      <c r="L35" s="279" t="n">
        <f aca="false">SUM(L21:L34)</f>
        <v>0</v>
      </c>
      <c r="M35" s="279" t="n">
        <f aca="false">SUM(M21:M34)</f>
        <v>0</v>
      </c>
      <c r="N35" s="279" t="n">
        <f aca="false">SUM(N21:N34)</f>
        <v>0</v>
      </c>
      <c r="O35" s="279" t="n">
        <f aca="false">SUM(O21:O34)</f>
        <v>0</v>
      </c>
      <c r="P35" s="279" t="n">
        <f aca="false">SUM(P21:P34)</f>
        <v>0</v>
      </c>
      <c r="Q35" s="280" t="n">
        <f aca="false">SUM(Q21:Q34)</f>
        <v>0</v>
      </c>
    </row>
    <row r="36" customFormat="false" ht="8.8" hidden="false" customHeight="true" outlineLevel="0" collapsed="false">
      <c r="A36" s="261" t="s">
        <v>362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  <row r="37" customFormat="false" ht="8.8" hidden="false" customHeight="true" outlineLevel="0" collapsed="false">
      <c r="A37" s="244" t="s">
        <v>41</v>
      </c>
      <c r="B37" s="262" t="n">
        <f aca="false">((1000) * - (1 - 2^Lunes!B9))/1000</f>
        <v>-0</v>
      </c>
      <c r="C37" s="263" t="n">
        <f aca="false">((1000) * - (1 - 2^Lunes!C9))/1000</f>
        <v>-0</v>
      </c>
      <c r="D37" s="264" t="n">
        <f aca="false">((1000) * - (1 - 2^Lunes!D9))/1000</f>
        <v>-0</v>
      </c>
      <c r="E37" s="265" t="n">
        <f aca="false">((1000) * - (1 - 2^Lunes!E9))/1000</f>
        <v>-0</v>
      </c>
      <c r="F37" s="266" t="n">
        <f aca="false">((1000) * - (1 - 2^Lunes!F9))/1000</f>
        <v>-0</v>
      </c>
      <c r="G37" s="267" t="n">
        <f aca="false">((1000) * - (1 - 2^Lunes!G9))/1000</f>
        <v>-0</v>
      </c>
      <c r="H37" s="268" t="n">
        <f aca="false">((1000) * - (1 - 2^Lunes!H9))/1000</f>
        <v>-0</v>
      </c>
      <c r="I37" s="269" t="n">
        <f aca="false">((1000) * - (1 - 2^Lunes!I9))/1000</f>
        <v>-0</v>
      </c>
      <c r="J37" s="270" t="n">
        <f aca="false">((1000) * - (1 - 2^Lunes!J9))/1000</f>
        <v>-0</v>
      </c>
      <c r="K37" s="271" t="n">
        <f aca="false">((1000) * - (1 - 2^Lunes!K9))/1000</f>
        <v>-0</v>
      </c>
      <c r="L37" s="272" t="n">
        <f aca="false">((1000) * - (1 - 2^Lunes!L9))/1000</f>
        <v>-0</v>
      </c>
      <c r="M37" s="273" t="n">
        <f aca="false">((1000) * - (1 - 2^Lunes!M9))/1000</f>
        <v>-0</v>
      </c>
      <c r="N37" s="274" t="n">
        <f aca="false">((1000) * - (1 - 2^Lunes!N9))/1000</f>
        <v>-0</v>
      </c>
      <c r="O37" s="275" t="n">
        <f aca="false">((1000) * - (1 - 2^Lunes!O9))/1000</f>
        <v>-0</v>
      </c>
      <c r="P37" s="276" t="n">
        <f aca="false">((1000) * - (1 - 2^Lunes!P9))/1000</f>
        <v>-0</v>
      </c>
      <c r="Q37" s="277" t="n">
        <f aca="false">SUM(B37:P37)</f>
        <v>0</v>
      </c>
    </row>
    <row r="38" customFormat="false" ht="8.8" hidden="false" customHeight="true" outlineLevel="0" collapsed="false">
      <c r="A38" s="244" t="s">
        <v>43</v>
      </c>
      <c r="B38" s="262" t="n">
        <f aca="false">((1500) * - (1 - 2^Lunes!B10))/1000</f>
        <v>-0</v>
      </c>
      <c r="C38" s="263" t="n">
        <f aca="false">((1500) * - (1 - 2^Lunes!C10))/1000</f>
        <v>-0</v>
      </c>
      <c r="D38" s="264" t="n">
        <f aca="false">((1500) * - (1 - 2^Lunes!D10))/1000</f>
        <v>-0</v>
      </c>
      <c r="E38" s="265" t="n">
        <f aca="false">((1500) * - (1 - 2^Lunes!E10))/1000</f>
        <v>-0</v>
      </c>
      <c r="F38" s="266" t="n">
        <f aca="false">((1500) * - (1 - 2^Lunes!F10))/1000</f>
        <v>-0</v>
      </c>
      <c r="G38" s="267" t="n">
        <f aca="false">((1500) * - (1 - 2^Lunes!G10))/1000</f>
        <v>-0</v>
      </c>
      <c r="H38" s="268" t="n">
        <f aca="false">((1500) * - (1 - 2^Lunes!H10))/1000</f>
        <v>-0</v>
      </c>
      <c r="I38" s="269" t="n">
        <f aca="false">((1500) * - (1 - 2^Lunes!I10))/1000</f>
        <v>-0</v>
      </c>
      <c r="J38" s="270" t="n">
        <f aca="false">((1500) * - (1 - 2^Lunes!J10))/1000</f>
        <v>-0</v>
      </c>
      <c r="K38" s="271" t="n">
        <f aca="false">((1500) * - (1 - 2^Lunes!K10))/1000</f>
        <v>-0</v>
      </c>
      <c r="L38" s="272" t="n">
        <f aca="false">((1500) * - (1 - 2^Lunes!L10))/1000</f>
        <v>-0</v>
      </c>
      <c r="M38" s="273" t="n">
        <f aca="false">((1500) * - (1 - 2^Lunes!M10))/1000</f>
        <v>-0</v>
      </c>
      <c r="N38" s="274" t="n">
        <f aca="false">((1500) * - (1 - 2^Lunes!N10))/1000</f>
        <v>-0</v>
      </c>
      <c r="O38" s="275" t="n">
        <f aca="false">((1500) * - (1 - 2^Lunes!O10))/1000</f>
        <v>-0</v>
      </c>
      <c r="P38" s="276" t="n">
        <f aca="false">((1500) * - (1 - 2^Lunes!P10))/1000</f>
        <v>-0</v>
      </c>
      <c r="Q38" s="277" t="n">
        <f aca="false">SUM(B38:P38)</f>
        <v>0</v>
      </c>
    </row>
    <row r="39" customFormat="false" ht="8.8" hidden="false" customHeight="true" outlineLevel="0" collapsed="false">
      <c r="A39" s="244" t="s">
        <v>45</v>
      </c>
      <c r="B39" s="262" t="n">
        <f aca="false">((2000) * - (1 - 2^Lunes!B11))/1000</f>
        <v>-0</v>
      </c>
      <c r="C39" s="263" t="n">
        <f aca="false">((2000) * - (1 - 2^Lunes!C11))/1000</f>
        <v>-0</v>
      </c>
      <c r="D39" s="264" t="n">
        <f aca="false">((2000) * - (1 - 2^Lunes!D11))/1000</f>
        <v>-0</v>
      </c>
      <c r="E39" s="265" t="n">
        <f aca="false">((2000) * - (1 - 2^Lunes!E11))/1000</f>
        <v>-0</v>
      </c>
      <c r="F39" s="266" t="n">
        <f aca="false">((2000) * - (1 - 2^Lunes!F11))/1000</f>
        <v>-0</v>
      </c>
      <c r="G39" s="267" t="n">
        <f aca="false">((2000) * - (1 - 2^Lunes!G11))/1000</f>
        <v>-0</v>
      </c>
      <c r="H39" s="268" t="n">
        <f aca="false">((2000) * - (1 - 2^Lunes!H11))/1000</f>
        <v>-0</v>
      </c>
      <c r="I39" s="269" t="n">
        <f aca="false">((2000) * - (1 - 2^Lunes!I11))/1000</f>
        <v>-0</v>
      </c>
      <c r="J39" s="270" t="n">
        <f aca="false">((2000) * - (1 - 2^Lunes!J11))/1000</f>
        <v>-0</v>
      </c>
      <c r="K39" s="271" t="n">
        <f aca="false">((2000) * - (1 - 2^Lunes!K11))/1000</f>
        <v>-0</v>
      </c>
      <c r="L39" s="272" t="n">
        <f aca="false">((2000) * - (1 - 2^Lunes!L11))/1000</f>
        <v>-0</v>
      </c>
      <c r="M39" s="273" t="n">
        <f aca="false">((2000) * - (1 - 2^Lunes!M11))/1000</f>
        <v>-0</v>
      </c>
      <c r="N39" s="274" t="n">
        <f aca="false">((2000) * - (1 - 2^Lunes!N11))/1000</f>
        <v>-0</v>
      </c>
      <c r="O39" s="275" t="n">
        <f aca="false">((2000) * - (1 - 2^Lunes!O11))/1000</f>
        <v>-0</v>
      </c>
      <c r="P39" s="276" t="n">
        <f aca="false">((2000) * - (1 - 2^Lunes!P11))/1000</f>
        <v>-0</v>
      </c>
      <c r="Q39" s="277" t="n">
        <f aca="false">SUM(B39:P39)</f>
        <v>0</v>
      </c>
    </row>
    <row r="40" customFormat="false" ht="8.8" hidden="false" customHeight="true" outlineLevel="0" collapsed="false">
      <c r="A40" s="244" t="s">
        <v>227</v>
      </c>
      <c r="B40" s="262" t="n">
        <f aca="false">((720) * - (1 - 2^Lunes!B12))/1000</f>
        <v>-0</v>
      </c>
      <c r="C40" s="263" t="n">
        <f aca="false">((720) * - (1 - 2^Lunes!C12))/1000</f>
        <v>-0</v>
      </c>
      <c r="D40" s="264" t="n">
        <f aca="false">((720) * - (1 - 2^Lunes!D12))/1000</f>
        <v>-0</v>
      </c>
      <c r="E40" s="265" t="n">
        <f aca="false">((720) * - (1 - 2^Lunes!E12))/1000</f>
        <v>-0</v>
      </c>
      <c r="F40" s="266" t="n">
        <f aca="false">((720) * - (1 - 2^Lunes!F12))/1000</f>
        <v>-0</v>
      </c>
      <c r="G40" s="267" t="n">
        <f aca="false">((720) * - (1 - 2^Lunes!G12))/1000</f>
        <v>-0</v>
      </c>
      <c r="H40" s="268" t="n">
        <f aca="false">((720) * - (1 - 2^Lunes!H12))/1000</f>
        <v>-0</v>
      </c>
      <c r="I40" s="269" t="n">
        <f aca="false">((720) * - (1 - 2^Lunes!I12))/1000</f>
        <v>-0</v>
      </c>
      <c r="J40" s="270" t="n">
        <f aca="false">((720) * - (1 - 2^Lunes!J12))/1000</f>
        <v>-0</v>
      </c>
      <c r="K40" s="271" t="n">
        <f aca="false">((720) * - (1 - 2^Lunes!K12))/1000</f>
        <v>-0</v>
      </c>
      <c r="L40" s="272" t="n">
        <f aca="false">((720) * - (1 - 2^Lunes!L12))/1000</f>
        <v>-0</v>
      </c>
      <c r="M40" s="273" t="n">
        <f aca="false">((720) * - (1 - 2^Lunes!M12))/1000</f>
        <v>-0</v>
      </c>
      <c r="N40" s="274" t="n">
        <f aca="false">((720) * - (1 - 2^Lunes!N12))/1000</f>
        <v>-0</v>
      </c>
      <c r="O40" s="275" t="n">
        <f aca="false">((720) * - (1 - 2^Lunes!O12))/1000</f>
        <v>-0</v>
      </c>
      <c r="P40" s="276" t="n">
        <f aca="false">((720) * - (1 - 2^Lunes!P12))/1000</f>
        <v>-0</v>
      </c>
      <c r="Q40" s="277" t="n">
        <f aca="false">SUM(B40:P40)</f>
        <v>0</v>
      </c>
    </row>
    <row r="41" customFormat="false" ht="8.8" hidden="false" customHeight="true" outlineLevel="0" collapsed="false">
      <c r="A41" s="244" t="s">
        <v>51</v>
      </c>
      <c r="B41" s="262" t="n">
        <f aca="false">((700) * - (1 - 2^Lunes!B13))/1000</f>
        <v>-0</v>
      </c>
      <c r="C41" s="263" t="n">
        <f aca="false">((700) * - (1 - 2^Lunes!C13))/1000</f>
        <v>-0</v>
      </c>
      <c r="D41" s="264" t="n">
        <f aca="false">((700) * - (1 - 2^Lunes!D13))/1000</f>
        <v>-0</v>
      </c>
      <c r="E41" s="265" t="n">
        <f aca="false">((700) * - (1 - 2^Lunes!E13))/1000</f>
        <v>-0</v>
      </c>
      <c r="F41" s="266" t="n">
        <f aca="false">((700) * - (1 - 2^Lunes!F13))/1000</f>
        <v>-0</v>
      </c>
      <c r="G41" s="267" t="n">
        <f aca="false">((700) * - (1 - 2^Lunes!G13))/1000</f>
        <v>-0</v>
      </c>
      <c r="H41" s="268" t="n">
        <f aca="false">((700) * - (1 - 2^Lunes!H13))/1000</f>
        <v>-0</v>
      </c>
      <c r="I41" s="269" t="n">
        <f aca="false">((700) * - (1 - 2^Lunes!I13))/1000</f>
        <v>-0</v>
      </c>
      <c r="J41" s="270" t="n">
        <f aca="false">((700) * - (1 - 2^Lunes!J13))/1000</f>
        <v>-0</v>
      </c>
      <c r="K41" s="271" t="n">
        <f aca="false">((700) * - (1 - 2^Lunes!K13))/1000</f>
        <v>-0</v>
      </c>
      <c r="L41" s="272" t="n">
        <f aca="false">((700) * - (1 - 2^Lunes!L13))/1000</f>
        <v>-0</v>
      </c>
      <c r="M41" s="273" t="n">
        <f aca="false">((700) * - (1 - 2^Lunes!M13))/1000</f>
        <v>-0</v>
      </c>
      <c r="N41" s="274" t="n">
        <f aca="false">((700) * - (1 - 2^Lunes!N13))/1000</f>
        <v>-0</v>
      </c>
      <c r="O41" s="275" t="n">
        <f aca="false">((700) * - (1 - 2^Lunes!O13))/1000</f>
        <v>-0</v>
      </c>
      <c r="P41" s="276" t="n">
        <f aca="false">((700) * - (1 - 2^Lunes!P13))/1000</f>
        <v>-0</v>
      </c>
      <c r="Q41" s="277" t="n">
        <f aca="false">SUM(B41:P41)</f>
        <v>0</v>
      </c>
    </row>
    <row r="42" customFormat="false" ht="8.8" hidden="false" customHeight="true" outlineLevel="0" collapsed="false">
      <c r="A42" s="244" t="s">
        <v>98</v>
      </c>
      <c r="B42" s="262" t="n">
        <f aca="false">((80000) * - (1 - 2^Lunes!B14))/1000</f>
        <v>-0</v>
      </c>
      <c r="C42" s="263" t="n">
        <f aca="false">((80000) * - (1 - 2^Lunes!C14))/1000</f>
        <v>-0</v>
      </c>
      <c r="D42" s="264" t="n">
        <f aca="false">((80000) * - (1 - 2^Lunes!D14))/1000</f>
        <v>-0</v>
      </c>
      <c r="E42" s="265" t="n">
        <f aca="false">((80000) * - (1 - 2^Lunes!E14))/1000</f>
        <v>-0</v>
      </c>
      <c r="F42" s="266" t="n">
        <f aca="false">((80000) * - (1 - 2^Lunes!F14))/1000</f>
        <v>-0</v>
      </c>
      <c r="G42" s="267" t="n">
        <f aca="false">((80000) * - (1 - 2^Lunes!G14))/1000</f>
        <v>-0</v>
      </c>
      <c r="H42" s="268" t="n">
        <f aca="false">((80000) * - (1 - 2^Lunes!H14))/1000</f>
        <v>-0</v>
      </c>
      <c r="I42" s="269" t="n">
        <f aca="false">((80000) * - (1 - 2^Lunes!I14))/1000</f>
        <v>-0</v>
      </c>
      <c r="J42" s="270" t="n">
        <f aca="false">((80000) * - (1 - 2^Lunes!J14))/1000</f>
        <v>-0</v>
      </c>
      <c r="K42" s="271" t="n">
        <f aca="false">((80000) * - (1 - 2^Lunes!K14))/1000</f>
        <v>-0</v>
      </c>
      <c r="L42" s="272" t="n">
        <f aca="false">((80000) * - (1 - 2^Lunes!L14))/1000</f>
        <v>-0</v>
      </c>
      <c r="M42" s="273" t="n">
        <f aca="false">((80000) * - (1 - 2^Lunes!M14))/1000</f>
        <v>-0</v>
      </c>
      <c r="N42" s="274" t="n">
        <f aca="false">((80000) * - (1 - 2^Lunes!N14))/1000</f>
        <v>-0</v>
      </c>
      <c r="O42" s="275" t="n">
        <f aca="false">((80000) * - (1 - 2^Lunes!O14))/1000</f>
        <v>-0</v>
      </c>
      <c r="P42" s="276" t="n">
        <f aca="false">((80000) * - (1 - 2^Lunes!P14))/1000</f>
        <v>-0</v>
      </c>
      <c r="Q42" s="277" t="n">
        <f aca="false">SUM(B42:P42)</f>
        <v>0</v>
      </c>
    </row>
    <row r="43" customFormat="false" ht="8.8" hidden="false" customHeight="true" outlineLevel="0" collapsed="false">
      <c r="A43" s="244" t="s">
        <v>99</v>
      </c>
      <c r="B43" s="262" t="n">
        <f aca="false">((80000) * - (1 - 2^Lunes!B15))/1000</f>
        <v>-0</v>
      </c>
      <c r="C43" s="263" t="n">
        <f aca="false">((80000) * - (1 - 2^Lunes!C15))/1000</f>
        <v>-0</v>
      </c>
      <c r="D43" s="264" t="n">
        <f aca="false">((80000) * - (1 - 2^Lunes!D15))/1000</f>
        <v>-0</v>
      </c>
      <c r="E43" s="265" t="n">
        <f aca="false">((80000) * - (1 - 2^Lunes!E15))/1000</f>
        <v>-0</v>
      </c>
      <c r="F43" s="266" t="n">
        <f aca="false">((80000) * - (1 - 2^Lunes!F15))/1000</f>
        <v>-0</v>
      </c>
      <c r="G43" s="267" t="n">
        <f aca="false">((80000) * - (1 - 2^Lunes!G15))/1000</f>
        <v>-0</v>
      </c>
      <c r="H43" s="268" t="n">
        <f aca="false">((80000) * - (1 - 2^Lunes!H15))/1000</f>
        <v>-0</v>
      </c>
      <c r="I43" s="269" t="n">
        <f aca="false">((80000) * - (1 - 2^Lunes!I15))/1000</f>
        <v>-0</v>
      </c>
      <c r="J43" s="270" t="n">
        <f aca="false">((80000) * - (1 - 2^Lunes!J15))/1000</f>
        <v>-0</v>
      </c>
      <c r="K43" s="271" t="n">
        <f aca="false">((80000) * - (1 - 2^Lunes!K15))/1000</f>
        <v>-0</v>
      </c>
      <c r="L43" s="272" t="n">
        <f aca="false">((80000) * - (1 - 2^Lunes!L15))/1000</f>
        <v>-0</v>
      </c>
      <c r="M43" s="273" t="n">
        <f aca="false">((80000) * - (1 - 2^Lunes!M15))/1000</f>
        <v>-0</v>
      </c>
      <c r="N43" s="274" t="n">
        <f aca="false">((80000) * - (1 - 2^Lunes!N15))/1000</f>
        <v>-0</v>
      </c>
      <c r="O43" s="275" t="n">
        <f aca="false">((80000) * - (1 - 2^Lunes!O15))/1000</f>
        <v>-0</v>
      </c>
      <c r="P43" s="276" t="n">
        <f aca="false">((80000) * - (1 - 2^Lunes!P15))/1000</f>
        <v>-0</v>
      </c>
      <c r="Q43" s="277" t="n">
        <f aca="false">SUM(B43:P43)</f>
        <v>0</v>
      </c>
    </row>
    <row r="44" customFormat="false" ht="8.8" hidden="false" customHeight="true" outlineLevel="0" collapsed="false">
      <c r="A44" s="244" t="s">
        <v>100</v>
      </c>
      <c r="B44" s="262" t="n">
        <f aca="false">((8000000) * - (1 - 2^Lunes!B16))/1000</f>
        <v>-0</v>
      </c>
      <c r="C44" s="263" t="n">
        <f aca="false">((8000000) * - (1 - 2^Lunes!C16))/1000</f>
        <v>-0</v>
      </c>
      <c r="D44" s="264" t="n">
        <f aca="false">((8000000) * - (1 - 2^Lunes!D16))/1000</f>
        <v>-0</v>
      </c>
      <c r="E44" s="265" t="n">
        <f aca="false">((8000000) * - (1 - 2^Lunes!E16))/1000</f>
        <v>-0</v>
      </c>
      <c r="F44" s="266" t="n">
        <f aca="false">((8000000) * - (1 - 2^Lunes!F16))/1000</f>
        <v>-0</v>
      </c>
      <c r="G44" s="267" t="n">
        <f aca="false">((8000000) * - (1 - 2^Lunes!G16))/1000</f>
        <v>-0</v>
      </c>
      <c r="H44" s="268" t="n">
        <f aca="false">((8000000) * - (1 - 2^Lunes!H16))/1000</f>
        <v>-0</v>
      </c>
      <c r="I44" s="269" t="n">
        <f aca="false">((8000000) * - (1 - 2^Lunes!I16))/1000</f>
        <v>-0</v>
      </c>
      <c r="J44" s="270" t="n">
        <f aca="false">((8000000) * - (1 - 2^Lunes!J16))/1000</f>
        <v>-0</v>
      </c>
      <c r="K44" s="271" t="n">
        <f aca="false">((8000000) * - (1 - 2^Lunes!K16))/1000</f>
        <v>-0</v>
      </c>
      <c r="L44" s="272" t="n">
        <f aca="false">((8000000) * - (1 - 2^Lunes!L16))/1000</f>
        <v>-0</v>
      </c>
      <c r="M44" s="273" t="n">
        <f aca="false">((8000000) * - (1 - 2^Lunes!M16))/1000</f>
        <v>-0</v>
      </c>
      <c r="N44" s="274" t="n">
        <f aca="false">((8000000) * - (1 - 2^Lunes!N16))/1000</f>
        <v>-0</v>
      </c>
      <c r="O44" s="275" t="n">
        <f aca="false">((8000000) * - (1 - 2^Lunes!O16))/1000</f>
        <v>-0</v>
      </c>
      <c r="P44" s="276" t="n">
        <f aca="false">((8000000) * - (1 - 2^Lunes!P16))/1000</f>
        <v>-0</v>
      </c>
      <c r="Q44" s="277" t="n">
        <f aca="false">SUM(B44:P44)</f>
        <v>0</v>
      </c>
    </row>
    <row r="45" customFormat="false" ht="8.8" hidden="false" customHeight="true" outlineLevel="0" collapsed="false">
      <c r="A45" s="278" t="s">
        <v>5</v>
      </c>
      <c r="B45" s="279" t="n">
        <f aca="false">SUM(B37:B44)</f>
        <v>0</v>
      </c>
      <c r="C45" s="279" t="n">
        <f aca="false">SUM(C37:C44)</f>
        <v>0</v>
      </c>
      <c r="D45" s="279" t="n">
        <f aca="false">SUM(D37:D44)</f>
        <v>0</v>
      </c>
      <c r="E45" s="279" t="n">
        <f aca="false">SUM(E37:E44)</f>
        <v>0</v>
      </c>
      <c r="F45" s="279" t="n">
        <f aca="false">SUM(F37:F44)</f>
        <v>0</v>
      </c>
      <c r="G45" s="279" t="n">
        <f aca="false">SUM(G37:G44)</f>
        <v>0</v>
      </c>
      <c r="H45" s="279" t="n">
        <f aca="false">SUM(H37:H44)</f>
        <v>0</v>
      </c>
      <c r="I45" s="279" t="n">
        <f aca="false">SUM(I37:I44)</f>
        <v>0</v>
      </c>
      <c r="J45" s="279" t="n">
        <f aca="false">SUM(J37:J44)</f>
        <v>0</v>
      </c>
      <c r="K45" s="279" t="n">
        <f aca="false">SUM(K37:K44)</f>
        <v>0</v>
      </c>
      <c r="L45" s="279" t="n">
        <f aca="false">SUM(L37:L44)</f>
        <v>0</v>
      </c>
      <c r="M45" s="279" t="n">
        <f aca="false">SUM(M37:M44)</f>
        <v>0</v>
      </c>
      <c r="N45" s="279" t="n">
        <f aca="false">SUM(N37:N44)</f>
        <v>0</v>
      </c>
      <c r="O45" s="279" t="n">
        <f aca="false">SUM(O37:O44)</f>
        <v>0</v>
      </c>
      <c r="P45" s="279" t="n">
        <f aca="false">SUM(P37:P44)</f>
        <v>0</v>
      </c>
      <c r="Q45" s="282" t="n">
        <f aca="false">SUM(Q37:Q44)</f>
        <v>0</v>
      </c>
    </row>
    <row r="46" customFormat="false" ht="8.8" hidden="false" customHeight="true" outlineLevel="0" collapsed="false">
      <c r="A46" s="261" t="s">
        <v>363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</row>
    <row r="47" customFormat="false" ht="8.8" hidden="false" customHeight="true" outlineLevel="0" collapsed="false">
      <c r="A47" s="244" t="s">
        <v>85</v>
      </c>
      <c r="B47" s="262" t="n">
        <f aca="false">(2000*(SUM(Planètes!B54+Lunes!B33))/1000)</f>
        <v>0</v>
      </c>
      <c r="C47" s="263" t="n">
        <f aca="false">(2000*(SUM(Planètes!C54+Lunes!C33))/1000)</f>
        <v>0</v>
      </c>
      <c r="D47" s="264" t="n">
        <f aca="false">(2000*(SUM(Planètes!D54+Lunes!D33))/1000)</f>
        <v>0</v>
      </c>
      <c r="E47" s="265" t="n">
        <f aca="false">(2000*(SUM(Planètes!E54+Lunes!E33))/1000)</f>
        <v>0</v>
      </c>
      <c r="F47" s="266" t="n">
        <f aca="false">(2000*(SUM(Planètes!F54+Lunes!F33))/1000)</f>
        <v>0</v>
      </c>
      <c r="G47" s="267" t="n">
        <f aca="false">(2000*(SUM(Planètes!G54+Lunes!G33))/1000)</f>
        <v>0</v>
      </c>
      <c r="H47" s="268" t="n">
        <f aca="false">(2000*(SUM(Planètes!H54+Lunes!H33))/1000)</f>
        <v>0</v>
      </c>
      <c r="I47" s="269" t="n">
        <f aca="false">(2000*(SUM(Planètes!I54+Lunes!I33))/1000)</f>
        <v>0</v>
      </c>
      <c r="J47" s="270" t="n">
        <f aca="false">(2000*(SUM(Planètes!J54+Lunes!J33))/1000)</f>
        <v>0</v>
      </c>
      <c r="K47" s="271" t="n">
        <f aca="false">(2000*(SUM(Planètes!K54+Lunes!K33))/1000)</f>
        <v>0</v>
      </c>
      <c r="L47" s="272" t="n">
        <f aca="false">(2000*(SUM(Planètes!L54+Lunes!L33))/1000)</f>
        <v>0</v>
      </c>
      <c r="M47" s="273" t="n">
        <f aca="false">(2000*(SUM(Planètes!M54+Lunes!M33))/1000)</f>
        <v>0</v>
      </c>
      <c r="N47" s="274" t="n">
        <f aca="false">(2000*(SUM(Planètes!N54+Lunes!N33))/1000)</f>
        <v>0</v>
      </c>
      <c r="O47" s="275" t="n">
        <f aca="false">(2000*(SUM(Planètes!O54+Lunes!O33))/1000)</f>
        <v>0</v>
      </c>
      <c r="P47" s="276" t="n">
        <f aca="false">(2000*(SUM(Planètes!P54+Lunes!P33))/1000)</f>
        <v>0</v>
      </c>
      <c r="Q47" s="281" t="n">
        <f aca="false">SUM(B47:P47)</f>
        <v>0</v>
      </c>
    </row>
    <row r="48" customFormat="false" ht="8.8" hidden="false" customHeight="true" outlineLevel="0" collapsed="false">
      <c r="A48" s="244" t="s">
        <v>86</v>
      </c>
      <c r="B48" s="262" t="n">
        <f aca="false">(2000*(SUM(Planètes!B55+Lunes!B34))/1000)</f>
        <v>0</v>
      </c>
      <c r="C48" s="263" t="n">
        <f aca="false">(2000*(SUM(Planètes!C55+Lunes!C34))/1000)</f>
        <v>0</v>
      </c>
      <c r="D48" s="264" t="n">
        <f aca="false">(2000*(SUM(Planètes!D55+Lunes!D34))/1000)</f>
        <v>0</v>
      </c>
      <c r="E48" s="265" t="n">
        <f aca="false">(2000*(SUM(Planètes!E55+Lunes!E34))/1000)</f>
        <v>0</v>
      </c>
      <c r="F48" s="266" t="n">
        <f aca="false">(2000*(SUM(Planètes!F55+Lunes!F34))/1000)</f>
        <v>0</v>
      </c>
      <c r="G48" s="267" t="n">
        <f aca="false">(2000*(SUM(Planètes!G55+Lunes!G34))/1000)</f>
        <v>0</v>
      </c>
      <c r="H48" s="268" t="n">
        <f aca="false">(2000*(SUM(Planètes!H55+Lunes!H34))/1000)</f>
        <v>0</v>
      </c>
      <c r="I48" s="269" t="n">
        <f aca="false">(2000*(SUM(Planètes!I55+Lunes!I34))/1000)</f>
        <v>0</v>
      </c>
      <c r="J48" s="270" t="n">
        <f aca="false">(2000*(SUM(Planètes!J55+Lunes!J34))/1000)</f>
        <v>0</v>
      </c>
      <c r="K48" s="271" t="n">
        <f aca="false">(2000*(SUM(Planètes!K55+Lunes!K34))/1000)</f>
        <v>0</v>
      </c>
      <c r="L48" s="272" t="n">
        <f aca="false">(2000*(SUM(Planètes!L55+Lunes!L34))/1000)</f>
        <v>0</v>
      </c>
      <c r="M48" s="273" t="n">
        <f aca="false">(2000*(SUM(Planètes!M55+Lunes!M34))/1000)</f>
        <v>0</v>
      </c>
      <c r="N48" s="274" t="n">
        <f aca="false">(2000*(SUM(Planètes!N55+Lunes!N34))/1000)</f>
        <v>0</v>
      </c>
      <c r="O48" s="275" t="n">
        <f aca="false">(2000*(SUM(Planètes!O55+Lunes!O34))/1000)</f>
        <v>0</v>
      </c>
      <c r="P48" s="276" t="n">
        <f aca="false">(2000*(SUM(Planètes!P55+Lunes!P34))/1000)</f>
        <v>0</v>
      </c>
      <c r="Q48" s="281" t="n">
        <f aca="false">SUM(B48:P48)</f>
        <v>0</v>
      </c>
    </row>
    <row r="49" customFormat="false" ht="8.8" hidden="false" customHeight="true" outlineLevel="0" collapsed="false">
      <c r="A49" s="244" t="s">
        <v>87</v>
      </c>
      <c r="B49" s="262" t="n">
        <f aca="false">(8000*(SUM(Planètes!B56+Lunes!B35))/1000)</f>
        <v>0</v>
      </c>
      <c r="C49" s="263" t="n">
        <f aca="false">(8000*(SUM(Planètes!C56+Lunes!C35))/1000)</f>
        <v>0</v>
      </c>
      <c r="D49" s="264" t="n">
        <f aca="false">(8000*(SUM(Planètes!D56+Lunes!D35))/1000)</f>
        <v>0</v>
      </c>
      <c r="E49" s="265" t="n">
        <f aca="false">(8000*(SUM(Planètes!E56+Lunes!E35))/1000)</f>
        <v>0</v>
      </c>
      <c r="F49" s="266" t="n">
        <f aca="false">(8000*(SUM(Planètes!F56+Lunes!F35))/1000)</f>
        <v>0</v>
      </c>
      <c r="G49" s="267" t="n">
        <f aca="false">(8000*(SUM(Planètes!G56+Lunes!G35))/1000)</f>
        <v>0</v>
      </c>
      <c r="H49" s="268" t="n">
        <f aca="false">(8000*(SUM(Planètes!H56+Lunes!H35))/1000)</f>
        <v>0</v>
      </c>
      <c r="I49" s="269" t="n">
        <f aca="false">(8000*(SUM(Planètes!I56+Lunes!I35))/1000)</f>
        <v>0</v>
      </c>
      <c r="J49" s="270" t="n">
        <f aca="false">(8000*(SUM(Planètes!J56+Lunes!J35))/1000)</f>
        <v>0</v>
      </c>
      <c r="K49" s="271" t="n">
        <f aca="false">(8000*(SUM(Planètes!K56+Lunes!K35))/1000)</f>
        <v>0</v>
      </c>
      <c r="L49" s="272" t="n">
        <f aca="false">(8000*(SUM(Planètes!L56+Lunes!L35))/1000)</f>
        <v>0</v>
      </c>
      <c r="M49" s="273" t="n">
        <f aca="false">(8000*(SUM(Planètes!M56+Lunes!M35))/1000)</f>
        <v>0</v>
      </c>
      <c r="N49" s="274" t="n">
        <f aca="false">(8000*(SUM(Planètes!N56+Lunes!N35))/1000)</f>
        <v>0</v>
      </c>
      <c r="O49" s="275" t="n">
        <f aca="false">(8000*(SUM(Planètes!O56+Lunes!O35))/1000)</f>
        <v>0</v>
      </c>
      <c r="P49" s="276" t="n">
        <f aca="false">(8000*(SUM(Planètes!P56+Lunes!P35))/1000)</f>
        <v>0</v>
      </c>
      <c r="Q49" s="281" t="n">
        <f aca="false">SUM(B49:P49)</f>
        <v>0</v>
      </c>
    </row>
    <row r="50" customFormat="false" ht="8.8" hidden="false" customHeight="true" outlineLevel="0" collapsed="false">
      <c r="A50" s="244" t="s">
        <v>88</v>
      </c>
      <c r="B50" s="262" t="n">
        <f aca="false">(37000*(SUM(Planètes!B57+Lunes!B36))/1000)</f>
        <v>0</v>
      </c>
      <c r="C50" s="263" t="n">
        <f aca="false">(37000*(SUM(Planètes!C57+Lunes!C36))/1000)</f>
        <v>0</v>
      </c>
      <c r="D50" s="264" t="n">
        <f aca="false">(37000*(SUM(Planètes!D57+Lunes!D36))/1000)</f>
        <v>0</v>
      </c>
      <c r="E50" s="265" t="n">
        <f aca="false">(37000*(SUM(Planètes!E57+Lunes!E36))/1000)</f>
        <v>0</v>
      </c>
      <c r="F50" s="266" t="n">
        <f aca="false">(37000*(SUM(Planètes!F57+Lunes!F36))/1000)</f>
        <v>0</v>
      </c>
      <c r="G50" s="267" t="n">
        <f aca="false">(37000*(SUM(Planètes!G57+Lunes!G36))/1000)</f>
        <v>0</v>
      </c>
      <c r="H50" s="268" t="n">
        <f aca="false">(37000*(SUM(Planètes!H57+Lunes!H36))/1000)</f>
        <v>0</v>
      </c>
      <c r="I50" s="269" t="n">
        <f aca="false">(37000*(SUM(Planètes!I57+Lunes!I36))/1000)</f>
        <v>0</v>
      </c>
      <c r="J50" s="270" t="n">
        <f aca="false">(37000*(SUM(Planètes!J57+Lunes!J36))/1000)</f>
        <v>0</v>
      </c>
      <c r="K50" s="271" t="n">
        <f aca="false">(37000*(SUM(Planètes!K57+Lunes!K36))/1000)</f>
        <v>0</v>
      </c>
      <c r="L50" s="272" t="n">
        <f aca="false">(37000*(SUM(Planètes!L57+Lunes!L36))/1000)</f>
        <v>0</v>
      </c>
      <c r="M50" s="273" t="n">
        <f aca="false">(37000*(SUM(Planètes!M57+Lunes!M36))/1000)</f>
        <v>0</v>
      </c>
      <c r="N50" s="274" t="n">
        <f aca="false">(37000*(SUM(Planètes!N57+Lunes!N36))/1000)</f>
        <v>0</v>
      </c>
      <c r="O50" s="275" t="n">
        <f aca="false">(37000*(SUM(Planètes!O57+Lunes!O36))/1000)</f>
        <v>0</v>
      </c>
      <c r="P50" s="276" t="n">
        <f aca="false">(37000*(SUM(Planètes!P57+Lunes!P36))/1000)</f>
        <v>0</v>
      </c>
      <c r="Q50" s="281" t="n">
        <f aca="false">SUM(B50:P50)</f>
        <v>0</v>
      </c>
    </row>
    <row r="51" customFormat="false" ht="8.8" hidden="false" customHeight="true" outlineLevel="0" collapsed="false">
      <c r="A51" s="244" t="s">
        <v>25</v>
      </c>
      <c r="B51" s="262" t="n">
        <f aca="false">(8000*(SUM(Planètes!B58+Lunes!B37))/1000)</f>
        <v>0</v>
      </c>
      <c r="C51" s="263" t="n">
        <f aca="false">(8000*(SUM(Planètes!C58+Lunes!C37))/1000)</f>
        <v>0</v>
      </c>
      <c r="D51" s="264" t="n">
        <f aca="false">(8000*(SUM(Planètes!D58+Lunes!D37))/1000)</f>
        <v>0</v>
      </c>
      <c r="E51" s="265" t="n">
        <f aca="false">(8000*(SUM(Planètes!E58+Lunes!E37))/1000)</f>
        <v>0</v>
      </c>
      <c r="F51" s="266" t="n">
        <f aca="false">(8000*(SUM(Planètes!F58+Lunes!F37))/1000)</f>
        <v>0</v>
      </c>
      <c r="G51" s="267" t="n">
        <f aca="false">(8000*(SUM(Planètes!G58+Lunes!G37))/1000)</f>
        <v>0</v>
      </c>
      <c r="H51" s="268" t="n">
        <f aca="false">(8000*(SUM(Planètes!H58+Lunes!H37))/1000)</f>
        <v>0</v>
      </c>
      <c r="I51" s="269" t="n">
        <f aca="false">(8000*(SUM(Planètes!I58+Lunes!I37))/1000)</f>
        <v>0</v>
      </c>
      <c r="J51" s="270" t="n">
        <f aca="false">(8000*(SUM(Planètes!J58+Lunes!J37))/1000)</f>
        <v>0</v>
      </c>
      <c r="K51" s="271" t="n">
        <f aca="false">(8000*(SUM(Planètes!K58+Lunes!K37))/1000)</f>
        <v>0</v>
      </c>
      <c r="L51" s="272" t="n">
        <f aca="false">(8000*(SUM(Planètes!L58+Lunes!L37))/1000)</f>
        <v>0</v>
      </c>
      <c r="M51" s="273" t="n">
        <f aca="false">(8000*(SUM(Planètes!M58+Lunes!M37))/1000)</f>
        <v>0</v>
      </c>
      <c r="N51" s="274" t="n">
        <f aca="false">(8000*(SUM(Planètes!N58+Lunes!N37))/1000)</f>
        <v>0</v>
      </c>
      <c r="O51" s="275" t="n">
        <f aca="false">(8000*(SUM(Planètes!O58+Lunes!O37))/1000)</f>
        <v>0</v>
      </c>
      <c r="P51" s="276" t="n">
        <f aca="false">(8000*(SUM(Planètes!P58+Lunes!P37))/1000)</f>
        <v>0</v>
      </c>
      <c r="Q51" s="281" t="n">
        <f aca="false">SUM(B51:P51)</f>
        <v>0</v>
      </c>
    </row>
    <row r="52" customFormat="false" ht="8.8" hidden="false" customHeight="true" outlineLevel="0" collapsed="false">
      <c r="A52" s="244" t="s">
        <v>27</v>
      </c>
      <c r="B52" s="262" t="n">
        <f aca="false">(130000*(SUM(Planètes!B59+Lunes!B38))/1000)</f>
        <v>0</v>
      </c>
      <c r="C52" s="263" t="n">
        <f aca="false">(130000*(SUM(Planètes!C59+Lunes!C38))/1000)</f>
        <v>0</v>
      </c>
      <c r="D52" s="264" t="n">
        <f aca="false">(130000*(SUM(Planètes!D59+Lunes!D38))/1000)</f>
        <v>0</v>
      </c>
      <c r="E52" s="265" t="n">
        <f aca="false">(130000*(SUM(Planètes!E59+Lunes!E38))/1000)</f>
        <v>0</v>
      </c>
      <c r="F52" s="266" t="n">
        <f aca="false">(130000*(SUM(Planètes!F59+Lunes!F38))/1000)</f>
        <v>0</v>
      </c>
      <c r="G52" s="267" t="n">
        <f aca="false">(130000*(SUM(Planètes!G59+Lunes!G38))/1000)</f>
        <v>0</v>
      </c>
      <c r="H52" s="268" t="n">
        <f aca="false">(130000*(SUM(Planètes!H59+Lunes!H38))/1000)</f>
        <v>0</v>
      </c>
      <c r="I52" s="269" t="n">
        <f aca="false">(130000*(SUM(Planètes!I59+Lunes!I38))/1000)</f>
        <v>0</v>
      </c>
      <c r="J52" s="270" t="n">
        <f aca="false">(130000*(SUM(Planètes!J59+Lunes!J38))/1000)</f>
        <v>0</v>
      </c>
      <c r="K52" s="271" t="n">
        <f aca="false">(130000*(SUM(Planètes!K59+Lunes!K38))/1000)</f>
        <v>0</v>
      </c>
      <c r="L52" s="272" t="n">
        <f aca="false">(130000*(SUM(Planètes!L59+Lunes!L38))/1000)</f>
        <v>0</v>
      </c>
      <c r="M52" s="273" t="n">
        <f aca="false">(130000*(SUM(Planètes!M59+Lunes!M38))/1000)</f>
        <v>0</v>
      </c>
      <c r="N52" s="274" t="n">
        <f aca="false">(130000*(SUM(Planètes!N59+Lunes!N38))/1000)</f>
        <v>0</v>
      </c>
      <c r="O52" s="275" t="n">
        <f aca="false">(130000*(SUM(Planètes!O59+Lunes!O38))/1000)</f>
        <v>0</v>
      </c>
      <c r="P52" s="276" t="n">
        <f aca="false">(130000*(SUM(Planètes!P59+Lunes!P38))/1000)</f>
        <v>0</v>
      </c>
      <c r="Q52" s="281" t="n">
        <f aca="false">SUM(B52:P52)</f>
        <v>0</v>
      </c>
    </row>
    <row r="53" customFormat="false" ht="8.8" hidden="false" customHeight="true" outlineLevel="0" collapsed="false">
      <c r="A53" s="244" t="s">
        <v>89</v>
      </c>
      <c r="B53" s="262" t="n">
        <f aca="false">(20000*(SUM(Planètes!B60+Lunes!B39))/1000)</f>
        <v>0</v>
      </c>
      <c r="C53" s="263" t="n">
        <f aca="false">(20000*(SUM(Planètes!C60+Lunes!C39))/1000)</f>
        <v>0</v>
      </c>
      <c r="D53" s="264" t="n">
        <f aca="false">(20000*(SUM(Planètes!D60+Lunes!D39))/1000)</f>
        <v>0</v>
      </c>
      <c r="E53" s="265" t="n">
        <f aca="false">(20000*(SUM(Planètes!E60+Lunes!E39))/1000)</f>
        <v>0</v>
      </c>
      <c r="F53" s="266" t="n">
        <f aca="false">(20000*(SUM(Planètes!F60+Lunes!F39))/1000)</f>
        <v>0</v>
      </c>
      <c r="G53" s="267" t="n">
        <f aca="false">(20000*(SUM(Planètes!G60+Lunes!G39))/1000)</f>
        <v>0</v>
      </c>
      <c r="H53" s="268" t="n">
        <f aca="false">(20000*(SUM(Planètes!H60+Lunes!H39))/1000)</f>
        <v>0</v>
      </c>
      <c r="I53" s="269" t="n">
        <f aca="false">(20000*(SUM(Planètes!I60+Lunes!I39))/1000)</f>
        <v>0</v>
      </c>
      <c r="J53" s="270" t="n">
        <f aca="false">(20000*(SUM(Planètes!J60+Lunes!J39))/1000)</f>
        <v>0</v>
      </c>
      <c r="K53" s="271" t="n">
        <f aca="false">(20000*(SUM(Planètes!K60+Lunes!K39))/1000)</f>
        <v>0</v>
      </c>
      <c r="L53" s="272" t="n">
        <f aca="false">(20000*(SUM(Planètes!L60+Lunes!L39))/1000)</f>
        <v>0</v>
      </c>
      <c r="M53" s="273" t="n">
        <f aca="false">(20000*(SUM(Planètes!M60+Lunes!M39))/1000)</f>
        <v>0</v>
      </c>
      <c r="N53" s="274" t="n">
        <f aca="false">(20000*(SUM(Planètes!N60+Lunes!N39))/1000)</f>
        <v>0</v>
      </c>
      <c r="O53" s="275" t="n">
        <f aca="false">(20000*(SUM(Planètes!O60+Lunes!O39))/1000)</f>
        <v>0</v>
      </c>
      <c r="P53" s="276" t="n">
        <f aca="false">(20000*(SUM(Planètes!P60+Lunes!P39))/1000)</f>
        <v>0</v>
      </c>
      <c r="Q53" s="281" t="n">
        <f aca="false">SUM(B53:P53)</f>
        <v>0</v>
      </c>
    </row>
    <row r="54" customFormat="false" ht="8.8" hidden="false" customHeight="true" outlineLevel="0" collapsed="false">
      <c r="A54" s="244" t="s">
        <v>90</v>
      </c>
      <c r="B54" s="262" t="n">
        <f aca="false">(100000*(SUM(Planètes!B61+Lunes!B40))/1000)</f>
        <v>0</v>
      </c>
      <c r="C54" s="263" t="n">
        <f aca="false">(100000*(SUM(Planètes!C61+Lunes!C40))/1000)</f>
        <v>0</v>
      </c>
      <c r="D54" s="264" t="n">
        <f aca="false">(100000*(SUM(Planètes!D61+Lunes!D40))/1000)</f>
        <v>0</v>
      </c>
      <c r="E54" s="265" t="n">
        <f aca="false">(100000*(SUM(Planètes!E61+Lunes!E40))/1000)</f>
        <v>0</v>
      </c>
      <c r="F54" s="266" t="n">
        <f aca="false">(100000*(SUM(Planètes!F61+Lunes!F40))/1000)</f>
        <v>0</v>
      </c>
      <c r="G54" s="267" t="n">
        <f aca="false">(100000*(SUM(Planètes!G61+Lunes!G40))/1000)</f>
        <v>0</v>
      </c>
      <c r="H54" s="268" t="n">
        <f aca="false">(100000*(SUM(Planètes!H61+Lunes!H40))/1000)</f>
        <v>0</v>
      </c>
      <c r="I54" s="269" t="n">
        <f aca="false">(100000*(SUM(Planètes!I61+Lunes!I40))/1000)</f>
        <v>0</v>
      </c>
      <c r="J54" s="270" t="n">
        <f aca="false">(100000*(SUM(Planètes!J61+Lunes!J40))/1000)</f>
        <v>0</v>
      </c>
      <c r="K54" s="271" t="n">
        <f aca="false">(100000*(SUM(Planètes!K61+Lunes!K40))/1000)</f>
        <v>0</v>
      </c>
      <c r="L54" s="272" t="n">
        <f aca="false">(100000*(SUM(Planètes!L61+Lunes!L40))/1000)</f>
        <v>0</v>
      </c>
      <c r="M54" s="273" t="n">
        <f aca="false">(100000*(SUM(Planètes!M61+Lunes!M40))/1000)</f>
        <v>0</v>
      </c>
      <c r="N54" s="274" t="n">
        <f aca="false">(100000*(SUM(Planètes!N61+Lunes!N40))/1000)</f>
        <v>0</v>
      </c>
      <c r="O54" s="275" t="n">
        <f aca="false">(100000*(SUM(Planètes!O61+Lunes!O40))/1000)</f>
        <v>0</v>
      </c>
      <c r="P54" s="276" t="n">
        <f aca="false">(100000*(SUM(Planètes!P61+Lunes!P40))/1000)</f>
        <v>0</v>
      </c>
      <c r="Q54" s="281" t="n">
        <f aca="false">SUM(B54:P54)</f>
        <v>0</v>
      </c>
    </row>
    <row r="55" customFormat="false" ht="8.8" hidden="false" customHeight="true" outlineLevel="0" collapsed="false">
      <c r="A55" s="244" t="s">
        <v>92</v>
      </c>
      <c r="B55" s="262" t="n">
        <f aca="false">(25000*Planètes!B63)/1000</f>
        <v>0</v>
      </c>
      <c r="C55" s="263" t="n">
        <f aca="false">(25000*Planètes!C63)/1000</f>
        <v>0</v>
      </c>
      <c r="D55" s="264" t="n">
        <f aca="false">(25000*Planètes!D63)/1000</f>
        <v>0</v>
      </c>
      <c r="E55" s="265" t="n">
        <f aca="false">(25000*Planètes!E63)/1000</f>
        <v>0</v>
      </c>
      <c r="F55" s="266" t="n">
        <f aca="false">(25000*Planètes!F63)/1000</f>
        <v>0</v>
      </c>
      <c r="G55" s="267" t="n">
        <f aca="false">(25000*Planètes!G63)/1000</f>
        <v>0</v>
      </c>
      <c r="H55" s="268" t="n">
        <f aca="false">(25000*Planètes!H63)/1000</f>
        <v>0</v>
      </c>
      <c r="I55" s="269" t="n">
        <f aca="false">(25000*Planètes!I63)/1000</f>
        <v>0</v>
      </c>
      <c r="J55" s="270" t="n">
        <f aca="false">(25000*Planètes!J63)/1000</f>
        <v>0</v>
      </c>
      <c r="K55" s="271" t="n">
        <f aca="false">(25000*Planètes!K63)/1000</f>
        <v>0</v>
      </c>
      <c r="L55" s="272" t="n">
        <f aca="false">(25000*Planètes!L63)/1000</f>
        <v>0</v>
      </c>
      <c r="M55" s="273" t="n">
        <f aca="false">(25000*Planètes!M63)/1000</f>
        <v>0</v>
      </c>
      <c r="N55" s="274" t="n">
        <f aca="false">(25000*Planètes!N63)/1000</f>
        <v>0</v>
      </c>
      <c r="O55" s="275" t="n">
        <f aca="false">(25000*Planètes!O63)/1000</f>
        <v>0</v>
      </c>
      <c r="P55" s="276" t="n">
        <f aca="false">(25000*Planètes!P63)/1000</f>
        <v>0</v>
      </c>
      <c r="Q55" s="281" t="n">
        <f aca="false">SUM(B55:P55)</f>
        <v>0</v>
      </c>
    </row>
    <row r="56" customFormat="false" ht="8.8" hidden="false" customHeight="true" outlineLevel="0" collapsed="false">
      <c r="A56" s="244" t="s">
        <v>91</v>
      </c>
      <c r="B56" s="262" t="n">
        <f aca="false">(10000*Planètes!B62)/1000</f>
        <v>0</v>
      </c>
      <c r="C56" s="263" t="n">
        <f aca="false">(10000*Planètes!C62)/1000</f>
        <v>0</v>
      </c>
      <c r="D56" s="264" t="n">
        <f aca="false">(10000*Planètes!D62)/1000</f>
        <v>0</v>
      </c>
      <c r="E56" s="265" t="n">
        <f aca="false">(10000*Planètes!E62)/1000</f>
        <v>0</v>
      </c>
      <c r="F56" s="266" t="n">
        <f aca="false">(10000*Planètes!F62)/1000</f>
        <v>0</v>
      </c>
      <c r="G56" s="267" t="n">
        <f aca="false">(10000*Planètes!G62)/1000</f>
        <v>0</v>
      </c>
      <c r="H56" s="268" t="n">
        <f aca="false">(10000*Planètes!H62)/1000</f>
        <v>0</v>
      </c>
      <c r="I56" s="269" t="n">
        <f aca="false">(10000*Planètes!I62)/1000</f>
        <v>0</v>
      </c>
      <c r="J56" s="270" t="n">
        <f aca="false">(10000*Planètes!J62)/1000</f>
        <v>0</v>
      </c>
      <c r="K56" s="271" t="n">
        <f aca="false">(10000*Planètes!K62)/1000</f>
        <v>0</v>
      </c>
      <c r="L56" s="272" t="n">
        <f aca="false">(10000*Planètes!L62)/1000</f>
        <v>0</v>
      </c>
      <c r="M56" s="273" t="n">
        <f aca="false">(10000*Planètes!M62)/1000</f>
        <v>0</v>
      </c>
      <c r="N56" s="274" t="n">
        <f aca="false">(10000*Planètes!N62)/1000</f>
        <v>0</v>
      </c>
      <c r="O56" s="275" t="n">
        <f aca="false">(10000*Planètes!O62)/1000</f>
        <v>0</v>
      </c>
      <c r="P56" s="276" t="n">
        <f aca="false">(10000*Planètes!P62)/1000</f>
        <v>0</v>
      </c>
      <c r="Q56" s="281" t="n">
        <f aca="false">SUM(B56:P56)</f>
        <v>0</v>
      </c>
    </row>
    <row r="57" customFormat="false" ht="8.8" hidden="false" customHeight="true" outlineLevel="0" collapsed="false">
      <c r="A57" s="278" t="s">
        <v>5</v>
      </c>
      <c r="B57" s="279" t="n">
        <f aca="false">SUM(B47:B56)</f>
        <v>0</v>
      </c>
      <c r="C57" s="279" t="n">
        <f aca="false">SUM(C47:C56)</f>
        <v>0</v>
      </c>
      <c r="D57" s="279" t="n">
        <f aca="false">SUM(D47:D56)</f>
        <v>0</v>
      </c>
      <c r="E57" s="279" t="n">
        <f aca="false">SUM(E47:E56)</f>
        <v>0</v>
      </c>
      <c r="F57" s="279" t="n">
        <f aca="false">SUM(F47:F56)</f>
        <v>0</v>
      </c>
      <c r="G57" s="279" t="n">
        <f aca="false">SUM(G47:G56)</f>
        <v>0</v>
      </c>
      <c r="H57" s="279" t="n">
        <f aca="false">SUM(H47:H56)</f>
        <v>0</v>
      </c>
      <c r="I57" s="279" t="n">
        <f aca="false">SUM(I47:I56)</f>
        <v>0</v>
      </c>
      <c r="J57" s="279" t="n">
        <f aca="false">SUM(J47:J56)</f>
        <v>0</v>
      </c>
      <c r="K57" s="279" t="n">
        <f aca="false">SUM(K47:K56)</f>
        <v>0</v>
      </c>
      <c r="L57" s="279" t="n">
        <f aca="false">SUM(L47:L56)</f>
        <v>0</v>
      </c>
      <c r="M57" s="279" t="n">
        <f aca="false">SUM(M47:M56)</f>
        <v>0</v>
      </c>
      <c r="N57" s="279" t="n">
        <f aca="false">SUM(N47:N56)</f>
        <v>0</v>
      </c>
      <c r="O57" s="279" t="n">
        <f aca="false">SUM(O47:O56)</f>
        <v>0</v>
      </c>
      <c r="P57" s="279" t="n">
        <f aca="false">SUM(P47:P56)</f>
        <v>0</v>
      </c>
      <c r="Q57" s="280" t="n">
        <f aca="false">SUM(Q47:Q56)</f>
        <v>0</v>
      </c>
    </row>
    <row r="58" customFormat="false" ht="8.8" hidden="false" customHeight="true" outlineLevel="0" collapsed="false">
      <c r="A58" s="278" t="s">
        <v>364</v>
      </c>
      <c r="B58" s="279" t="n">
        <f aca="false">SUM(B19,B35,B45,B57)</f>
        <v>0</v>
      </c>
      <c r="C58" s="279" t="n">
        <f aca="false">SUM(C19,C35,C45,C57)</f>
        <v>0</v>
      </c>
      <c r="D58" s="279" t="n">
        <f aca="false">SUM(D19,D35,D45,D57)</f>
        <v>0</v>
      </c>
      <c r="E58" s="279" t="n">
        <f aca="false">SUM(E19,E35,E45,E57)</f>
        <v>0</v>
      </c>
      <c r="F58" s="279" t="n">
        <f aca="false">SUM(F19,F35,F45,F57)</f>
        <v>0</v>
      </c>
      <c r="G58" s="279" t="n">
        <f aca="false">SUM(G19,G35,G45,G57)</f>
        <v>0</v>
      </c>
      <c r="H58" s="279" t="n">
        <f aca="false">SUM(H19,H35,H45,H57)</f>
        <v>0</v>
      </c>
      <c r="I58" s="279" t="n">
        <f aca="false">SUM(I19,I35,I45,I57)</f>
        <v>0</v>
      </c>
      <c r="J58" s="279" t="n">
        <f aca="false">SUM(J19,J35,J45,J57)</f>
        <v>0</v>
      </c>
      <c r="K58" s="279" t="n">
        <f aca="false">SUM(K19,K35,K45,K57)</f>
        <v>0</v>
      </c>
      <c r="L58" s="279" t="n">
        <f aca="false">SUM(L19,L35,L45,L57)</f>
        <v>0</v>
      </c>
      <c r="M58" s="279" t="n">
        <f aca="false">SUM(M19,M35,M45,M57)</f>
        <v>0</v>
      </c>
      <c r="N58" s="279" t="n">
        <f aca="false">SUM(N19,N35,N45,N57)</f>
        <v>0</v>
      </c>
      <c r="O58" s="279" t="n">
        <f aca="false">SUM(O19,O35,O45,O57)</f>
        <v>0</v>
      </c>
      <c r="P58" s="279" t="n">
        <f aca="false">SUM(P19,P35,P45,P57)</f>
        <v>0</v>
      </c>
      <c r="Q58" s="280" t="n">
        <f aca="false">SUM(Q45,Q35,Q19,Q57)</f>
        <v>0</v>
      </c>
    </row>
    <row r="59" customFormat="false" ht="8.8" hidden="false" customHeight="true" outlineLevel="0" collapsed="false">
      <c r="A59" s="261" t="s">
        <v>365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</row>
    <row r="60" customFormat="false" ht="8.8" hidden="false" customHeight="true" outlineLevel="0" collapsed="false">
      <c r="A60" s="283" t="s">
        <v>19</v>
      </c>
      <c r="B60" s="283" t="s">
        <v>27</v>
      </c>
      <c r="C60" s="283" t="s">
        <v>25</v>
      </c>
      <c r="D60" s="283" t="s">
        <v>29</v>
      </c>
      <c r="E60" s="283" t="s">
        <v>30</v>
      </c>
      <c r="F60" s="283" t="s">
        <v>32</v>
      </c>
      <c r="G60" s="283" t="s">
        <v>34</v>
      </c>
      <c r="H60" s="283" t="s">
        <v>36</v>
      </c>
      <c r="I60" s="283" t="s">
        <v>38</v>
      </c>
      <c r="J60" s="283" t="s">
        <v>40</v>
      </c>
      <c r="K60" s="283" t="s">
        <v>366</v>
      </c>
      <c r="L60" s="283" t="s">
        <v>46</v>
      </c>
      <c r="M60" s="283" t="s">
        <v>367</v>
      </c>
      <c r="N60" s="283" t="s">
        <v>52</v>
      </c>
      <c r="O60" s="283" t="s">
        <v>50</v>
      </c>
      <c r="P60" s="283"/>
      <c r="Q60" s="284" t="s">
        <v>5</v>
      </c>
    </row>
    <row r="61" customFormat="false" ht="8.8" hidden="false" customHeight="true" outlineLevel="0" collapsed="false">
      <c r="A61" s="285" t="n">
        <f aca="false">((1200) * - (1 - 2^Planètes!T13))/1000</f>
        <v>-0</v>
      </c>
      <c r="B61" s="285" t="n">
        <f aca="false">((7000) * - (1 - 2^Planètes!T15))/1000</f>
        <v>-0</v>
      </c>
      <c r="C61" s="285" t="n">
        <f aca="false">((1400) * - (1 - 2^Planètes!T14))/1000</f>
        <v>-0</v>
      </c>
      <c r="D61" s="285" t="n">
        <f aca="false">((1000) * - (1 - 2^Planètes!T16))/1000</f>
        <v>-0</v>
      </c>
      <c r="E61" s="285" t="n">
        <f aca="false">((800) * - (1 - 2^Planètes!T17))/1000</f>
        <v>-0</v>
      </c>
      <c r="F61" s="285" t="n">
        <f aca="false">((1000) * - (1 - 2^Planètes!T18))/1000</f>
        <v>-0</v>
      </c>
      <c r="G61" s="285" t="n">
        <f aca="false">((1400) * - (1 - 2^Planètes!T19))/1000</f>
        <v>-0</v>
      </c>
      <c r="H61" s="285" t="n">
        <f aca="false">((1000) * - (1 - 2^Planètes!T20))/1000</f>
        <v>-0</v>
      </c>
      <c r="I61" s="285" t="n">
        <f aca="false">((16000) * - ((1-1.75^Planètes!T21) / 0.75))/1000</f>
        <v>-0</v>
      </c>
      <c r="J61" s="285" t="n">
        <f aca="false">((800000) * - (1 - 2^Planètes!T22))/1000</f>
        <v>-0</v>
      </c>
      <c r="K61" s="285" t="n">
        <f aca="false">((1000) * - (1 - 2^Planètes!T24))/1000</f>
        <v>-0</v>
      </c>
      <c r="L61" s="285" t="n">
        <f aca="false">((6600) * - (1 - 2^Planètes!T25))/1000</f>
        <v>-0</v>
      </c>
      <c r="M61" s="285" t="n">
        <f aca="false">((36000) * - (1 - 2^Planètes!T26))/1000</f>
        <v>-0</v>
      </c>
      <c r="N61" s="285" t="n">
        <f aca="false">((300) * - (1 - 2^Planètes!T28))/1000</f>
        <v>-0</v>
      </c>
      <c r="O61" s="285" t="n">
        <f aca="false">((6000) * - (1 - 2^Planètes!T27))/1000</f>
        <v>-0</v>
      </c>
      <c r="P61" s="285"/>
      <c r="Q61" s="280" t="n">
        <f aca="false">SUM(A61:N61,O61)</f>
        <v>0</v>
      </c>
    </row>
    <row r="62" customFormat="false" ht="8.8" hidden="false" customHeight="true" outlineLevel="0" collapsed="false">
      <c r="B62" s="286"/>
      <c r="D62" s="286"/>
      <c r="E62" s="286"/>
      <c r="F62" s="286"/>
      <c r="G62" s="287" t="s">
        <v>17</v>
      </c>
      <c r="H62" s="287"/>
      <c r="I62" s="286"/>
      <c r="J62" s="286"/>
      <c r="K62" s="286"/>
      <c r="L62" s="286"/>
      <c r="M62" s="286"/>
      <c r="Q62" s="286"/>
    </row>
    <row r="63" customFormat="false" ht="8.8" hidden="false" customHeight="true" outlineLevel="0" collapsed="false">
      <c r="B63" s="286"/>
      <c r="D63" s="286"/>
      <c r="E63" s="286"/>
      <c r="F63" s="286"/>
      <c r="G63" s="288" t="n">
        <f aca="false">SUM(Q19,Q35,Q45,Q57,Q61)</f>
        <v>0</v>
      </c>
      <c r="H63" s="288"/>
      <c r="I63" s="286"/>
      <c r="J63" s="286"/>
      <c r="K63" s="286"/>
      <c r="L63" s="286"/>
      <c r="M63" s="286"/>
      <c r="Q63" s="286"/>
    </row>
  </sheetData>
  <mergeCells count="7">
    <mergeCell ref="A3:Q3"/>
    <mergeCell ref="A20:Q20"/>
    <mergeCell ref="A36:Q36"/>
    <mergeCell ref="A46:Q46"/>
    <mergeCell ref="A59:Q59"/>
    <mergeCell ref="G62:H62"/>
    <mergeCell ref="G63:H6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462660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2014-08-31T15:23:39Z</dcterms:created>
  <dc:creator>Nicolas </dc:creator>
  <dc:language>fr-FR</dc:language>
  <cp:lastPrinted>2016-03-05T21:36:16Z</cp:lastPrinted>
  <dcterms:modified xsi:type="dcterms:W3CDTF">2017-07-12T20:39:50Z</dcterms:modified>
  <cp:revision>1536</cp:revision>
</cp:coreProperties>
</file>