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9180" windowHeight="4500" activeTab="1"/>
  </bookViews>
  <sheets>
    <sheet name="ModeD'emploi" sheetId="1" r:id="rId1"/>
    <sheet name="CalculsParametresShadow125" sheetId="2" r:id="rId2"/>
  </sheets>
  <definedNames>
    <definedName name="_xlnm.Print_Area" localSheetId="0">'ModeD''emploi'!$A$1:$E$62</definedName>
  </definedNames>
  <calcPr fullCalcOnLoad="1"/>
</workbook>
</file>

<file path=xl/comments2.xml><?xml version="1.0" encoding="utf-8"?>
<comments xmlns="http://schemas.openxmlformats.org/spreadsheetml/2006/main">
  <authors>
    <author> </author>
  </authors>
  <commentList>
    <comment ref="B21" authorId="0">
      <text>
        <r>
          <rPr>
            <b/>
            <sz val="8"/>
            <rFont val="Tahoma"/>
            <family val="0"/>
          </rPr>
          <t xml:space="preserve"> Entrer un nbre de tours moteur de 1 t/mn à 13 000 t/mn.</t>
        </r>
      </text>
    </comment>
    <comment ref="D21" authorId="0">
      <text>
        <r>
          <rPr>
            <b/>
            <sz val="8"/>
            <rFont val="Tahoma"/>
            <family val="0"/>
          </rPr>
          <t xml:space="preserve"> Entrer un rapport de boite de 1 à 5.</t>
        </r>
      </text>
    </comment>
    <comment ref="E21" authorId="0">
      <text>
        <r>
          <rPr>
            <b/>
            <sz val="8"/>
            <rFont val="Tahoma"/>
            <family val="0"/>
          </rPr>
          <t xml:space="preserve"> Entrer un nbre de dents pour le pignon de sortie de boite de vitesse, de 12 dts à 16
 dts</t>
        </r>
      </text>
    </comment>
    <comment ref="F21" authorId="0">
      <text>
        <r>
          <rPr>
            <b/>
            <sz val="8"/>
            <rFont val="Tahoma"/>
            <family val="0"/>
          </rPr>
          <t>Entrer un nbre de dents pour la couronne arrière, de 37 dts à 45 dts.</t>
        </r>
      </text>
    </comment>
    <comment ref="B14" authorId="0">
      <text>
        <r>
          <rPr>
            <b/>
            <sz val="8"/>
            <rFont val="Tahoma"/>
            <family val="0"/>
          </rPr>
          <t xml:space="preserve"> Entrer un nbre de tours moteur de 1 t/mn à 13 000 t/mn.</t>
        </r>
        <r>
          <rPr>
            <sz val="8"/>
            <rFont val="Tahoma"/>
            <family val="0"/>
          </rPr>
          <t xml:space="preserve">
</t>
        </r>
      </text>
    </comment>
    <comment ref="L14" authorId="0">
      <text>
        <r>
          <rPr>
            <b/>
            <sz val="8"/>
            <rFont val="Tahoma"/>
            <family val="0"/>
          </rPr>
          <t xml:space="preserve"> Entrer un nbre de dents pour le pignon de sortie de boite de vitesse, de 12 dts à 16 dts.</t>
        </r>
      </text>
    </comment>
    <comment ref="H14" authorId="0">
      <text>
        <r>
          <rPr>
            <b/>
            <sz val="8"/>
            <rFont val="Tahoma"/>
            <family val="0"/>
          </rPr>
          <t xml:space="preserve"> Entrer un rapport de boite de 1 à 5.</t>
        </r>
      </text>
    </comment>
    <comment ref="M14" authorId="0">
      <text>
        <r>
          <rPr>
            <b/>
            <sz val="8"/>
            <rFont val="Tahoma"/>
            <family val="0"/>
          </rPr>
          <t xml:space="preserve"> Entrer un nbre de dents pour la couronne arrière, de 37 dts à 45 dts.</t>
        </r>
      </text>
    </comment>
    <comment ref="H21" authorId="0">
      <text>
        <r>
          <rPr>
            <b/>
            <sz val="8"/>
            <rFont val="Tahoma"/>
            <family val="0"/>
          </rPr>
          <t xml:space="preserve"> Il est conseillé d'entrer le développement du pneu AR en le mesurant pratiquement et en charge, sur un sol plan, tel que décrit dans le "PetitLexique".
 Si vous êtes en "monte" d'origine entrer, dans cette cellule, 1,857 comme mentionné dans le "Manuel d'Atelier". C'est la base de toutes les valeurs vitesse qui y sont mentionnées.
 Vous pouvez aussi vous aider du calculateur en entrant la référence de votre pneu  dans la cellule "G22", sous la forme "130/90-15" ou "130/90/15" et vous obtiendrez une valeur approchée, cellule "H22", que vous reporterez dans cette cellule ("H22").
 Le développement de la roue pourra être de 1,5 à 2,5 mètres.</t>
        </r>
      </text>
    </comment>
    <comment ref="J19" authorId="0">
      <text>
        <r>
          <rPr>
            <b/>
            <sz val="8"/>
            <rFont val="Tahoma"/>
            <family val="0"/>
          </rPr>
          <t xml:space="preserve"> Pour avoir une indication de correction exacte, entrer l'erreur de votre compteur si vous la connaissez.
 Elle sera de -5% à 15%. </t>
        </r>
      </text>
    </comment>
    <comment ref="G19" authorId="0">
      <text>
        <r>
          <rPr>
            <b/>
            <sz val="8"/>
            <rFont val="Tahoma"/>
            <family val="0"/>
          </rPr>
          <t xml:space="preserve"> Vous pouvez enter dans cette cellule une référence de pneu en utilisant "/" ou "-" comme séparateur entre les différentes valeurs de la référence et le calculateur vous indiquera, cellule "H19", une valeur approchée du développement de votre pneu.
  Il vous faudra reporté cette valeur cellule "H21" ou "H22" pour qu'elle soit prise en compte dans les calculs.
  La largeur pourra être de 100 ; 110 ; 120 ; 130 ; 140 ou de 150mm.
   La hauteur de flan pourra être de 80 ; 85 ; 90 ; 95%.
  Le diamètre de la jante pourra être de 14 ; 15 ; 16 ou de 17 pouces.</t>
        </r>
      </text>
    </comment>
    <comment ref="H19" authorId="0">
      <text>
        <r>
          <rPr>
            <b/>
            <sz val="8"/>
            <color indexed="10"/>
            <rFont val="Tahoma"/>
            <family val="2"/>
          </rPr>
          <t xml:space="preserve"> La valeur indiquée ici et une valeur approximative.
 Il est conseillé d'entrer le développement du pneu AR, cellules "H21" et "H22", en le mesurant pratiquement et en charge, sur un sol plan, tel que décrit dans la feuille "ModeD'emploi".</t>
        </r>
      </text>
    </comment>
    <comment ref="R14" authorId="0">
      <text>
        <r>
          <rPr>
            <b/>
            <sz val="8"/>
            <rFont val="Tahoma"/>
            <family val="0"/>
          </rPr>
          <t xml:space="preserve"> Il est conseillé d'entrer le développement du pneu AR en le mesurant pratiquement et en charge, sur un sol plan, tel que décrit dans le "PetitLexique".
 Si vous êtes en "monte" d'origine entrer, dans cette cellule, 1,857 comme mentionné dans le "Manuel d'Atelier". C'est la base de toutes les valeurs vitesse qui y sont mentionnées.
 Vous pouvez aussi vous aider du calculateur en entrant la référence de votre pneu  dans la cellule "Q12", sous la forme "130/90-15" ou "130/90/15" et vous obtiendrez une valeur approchée, cellule "R12", que vous reporterez dans cette cellule ("R18").
 Le développement de la roue pourra être de 1,5 à 2,5 mètres.</t>
        </r>
      </text>
    </comment>
    <comment ref="Q12" authorId="0">
      <text>
        <r>
          <rPr>
            <b/>
            <sz val="8"/>
            <rFont val="Tahoma"/>
            <family val="0"/>
          </rPr>
          <t xml:space="preserve">  Vous pouvez enter dans cette cellule une référence de pneu en utilisant "/" ou "-" comme séparateur entre les différentes valeurs de la référence et le calculateur vous indiquera, cellule "R12", une valeur approchée du développement de votre pneu.
  Il vous faudra reporté cette valeur cellule "R14" ou R15" pour qu'elle soit prise en compte dans les calculs.
  La largeur pourra être de 100 ; 110 ; 120 ; 130 ; 140 ou de 150mm.
   La hauteur de flan pourra être de 80 ; 85 ; 90 ; 95%.
  Le diamètre de la jante pourra être de 14 ; 15 ; 16 ou de 17 pouces.</t>
        </r>
      </text>
    </comment>
    <comment ref="R12" authorId="0">
      <text>
        <r>
          <rPr>
            <b/>
            <sz val="8"/>
            <color indexed="10"/>
            <rFont val="Tahoma"/>
            <family val="2"/>
          </rPr>
          <t xml:space="preserve"> La valeur indiquée ici et une valeur approximative.
 Il est conseillé d'entrer le développement du pneu AR, cellules "R14" et "R15", en le mesurant pratiquement et en charge, sur un sol plan, tel que décrit dans la feuille "ModeD'emploi". </t>
        </r>
        <r>
          <rPr>
            <sz val="8"/>
            <rFont val="Tahoma"/>
            <family val="0"/>
          </rPr>
          <t xml:space="preserve">
</t>
        </r>
      </text>
    </comment>
    <comment ref="T12" authorId="0">
      <text>
        <r>
          <rPr>
            <b/>
            <sz val="8"/>
            <rFont val="Tahoma"/>
            <family val="0"/>
          </rPr>
          <t xml:space="preserve"> Pour avoir une indication de correction exacte, entrer l'erreur de votre compteur si vous la connaissez.
 Elle sera de -5% à 15%. </t>
        </r>
        <r>
          <rPr>
            <sz val="8"/>
            <rFont val="Tahoma"/>
            <family val="0"/>
          </rPr>
          <t xml:space="preserve">
</t>
        </r>
      </text>
    </comment>
    <comment ref="D22" authorId="0">
      <text>
        <r>
          <rPr>
            <b/>
            <sz val="8"/>
            <rFont val="Tahoma"/>
            <family val="0"/>
          </rPr>
          <t xml:space="preserve"> Entrer un rapport de boite de 1 à 5.</t>
        </r>
      </text>
    </comment>
    <comment ref="E22" authorId="0">
      <text>
        <r>
          <rPr>
            <b/>
            <sz val="8"/>
            <rFont val="Tahoma"/>
            <family val="0"/>
          </rPr>
          <t xml:space="preserve"> Entrer un nbre de dents pour le pignon de sortie de boite de vitesse, de 12 dts à 16 dts</t>
        </r>
      </text>
    </comment>
    <comment ref="F22" authorId="0">
      <text>
        <r>
          <rPr>
            <b/>
            <sz val="8"/>
            <rFont val="Tahoma"/>
            <family val="0"/>
          </rPr>
          <t>Entrer un nbre de dents pour la couronne arrière, de 37 dts à 45 dts.</t>
        </r>
      </text>
    </comment>
    <comment ref="H22" authorId="0">
      <text>
        <r>
          <rPr>
            <b/>
            <sz val="8"/>
            <rFont val="Tahoma"/>
            <family val="0"/>
          </rPr>
          <t xml:space="preserve"> Il est conseillé d'entrer le développement du pneu AR en le mesurant pratiquement et en charge, sur un sol plan, tel que décrit dans le "PetitLexique".
 Si vous êtes en "monte" d'origine entrer, dans cette cellule, 1,857 comme mentionné dans le "Manuel d'Atelier". C'est la base de toutes les valeurs vitesse qui y sont mentionnées.
 Vous pouvez aussi vous aider du calculateur en entrant la référence de votre pneu  dans la cellule "G22", sous la forme "130/90-15" ou "130/90/15" et vous obtiendrez une valeur approchée, cellule "H22", que vous reporterez dans cette cellule ("H22").
 Le développement de la roue pourra être de 1,5 à 2,5 mètres.</t>
        </r>
      </text>
    </comment>
    <comment ref="H15" authorId="0">
      <text>
        <r>
          <rPr>
            <b/>
            <sz val="8"/>
            <rFont val="Tahoma"/>
            <family val="0"/>
          </rPr>
          <t xml:space="preserve"> Entrer un rapport de boite de 1 à 5.</t>
        </r>
      </text>
    </comment>
    <comment ref="L15" authorId="0">
      <text>
        <r>
          <rPr>
            <b/>
            <sz val="8"/>
            <rFont val="Tahoma"/>
            <family val="0"/>
          </rPr>
          <t xml:space="preserve"> Entrer un nbre de dents pour le pignon de sortie de boite de vitesse, de 12 dts à 16 dts.</t>
        </r>
      </text>
    </comment>
    <comment ref="M15" authorId="0">
      <text>
        <r>
          <rPr>
            <b/>
            <sz val="8"/>
            <rFont val="Tahoma"/>
            <family val="0"/>
          </rPr>
          <t xml:space="preserve"> Entrer un nbre de dents pour la couronne arrière, de 37 dts à 45 dts.</t>
        </r>
      </text>
    </comment>
    <comment ref="R15" authorId="0">
      <text>
        <r>
          <rPr>
            <b/>
            <sz val="8"/>
            <rFont val="Tahoma"/>
            <family val="0"/>
          </rPr>
          <t xml:space="preserve"> Il est conseillé d'entrer le développement du pneu AR en le mesurant pratiquement et en charge, sur un sol plan, tel que décrit dans le "PetitLexique".
 Si vous êtes en "monte" d'origine entrer, dans cette cellule, 1,857 comme mentionné dans le "Manuel d'Atelier". C'est la base de toutes les valeurs vitesse qui y sont mentionnées.
 Vous pouvez aussi vous aider du calculateur en entrant la référence de votre pneu  dans la cellule "Q12", sous la forme "130/90-15" ou "130/90/15" et vous obtiendrez une valeur approchée, cellule "R12", que vous reporterez dans cette cellule ("R18").
 Le développement de la roue pourra être de 1,5 à 2,5 mètres.</t>
        </r>
      </text>
    </comment>
    <comment ref="J22" authorId="0">
      <text>
        <r>
          <rPr>
            <b/>
            <sz val="8"/>
            <rFont val="Tahoma"/>
            <family val="0"/>
          </rPr>
          <t xml:space="preserve"> Entrer une vitesse entre 0 et 160km/h.</t>
        </r>
      </text>
    </comment>
    <comment ref="T15" authorId="0">
      <text>
        <r>
          <rPr>
            <b/>
            <sz val="8"/>
            <rFont val="Tahoma"/>
            <family val="0"/>
          </rPr>
          <t xml:space="preserve"> Entrer une vitesse entre 0 et 160km/h.</t>
        </r>
      </text>
    </comment>
    <comment ref="B26" authorId="0">
      <text>
        <r>
          <rPr>
            <b/>
            <sz val="8"/>
            <rFont val="Tahoma"/>
            <family val="0"/>
          </rPr>
          <t xml:space="preserve">  Vous pouvez enter dans cette cellule une référence de pneu en utilisant "/" ou "-" comme séparateur entre les différentes valeurs de la référence et le calculateur vous indiquera, cellule "C27" la valeur du développement de votre pneu et cellule "D27" une valeur approchée qui prend en compte une charge moyenne théorique de votre moto .
  Il vous faudra reporté cette valeur cellule "R14" ou "R15" et "H21" ou "H22" pour qu'elle soit prise en compte dans les calculs.
  La largeur pourra être de 100 ; 110 ; 120 ; 130 ; 140 ou de 150mm.
   La hauteur de flan pourra être de 80 ; 85 ; 90 ou de 95%.
  Le diamètre de la jante pourra être de 14 ; 15 ; 16 ou de 17 pouces.</t>
        </r>
      </text>
    </comment>
  </commentList>
</comments>
</file>

<file path=xl/sharedStrings.xml><?xml version="1.0" encoding="utf-8"?>
<sst xmlns="http://schemas.openxmlformats.org/spreadsheetml/2006/main" count="112" uniqueCount="99">
  <si>
    <t xml:space="preserve">Exprimée en nombre de dents, elle est donnée par le constructeur.
Pour la Shadow VT125 elle est de 18/67. C'est-à-dire que le pignon du vilebrequin comporte 18 dents et que celui de l'arbre primaire de boîte de vitesses en comporte 67. </t>
  </si>
  <si>
    <t>C'est le nombre de tours qu'il faut au vilebrequin pour faire effectuer à l'arbre primaire de boîte de vitesses, 1 tour.
Elle n'a pas d'unité spécifique et se calcule à partir de la "Démultiplication primaire" donnée par le constructeur (voir chapitre précédent "démultiplication primaire").
Pour la Shadow VT125 il faudra donc 67/18=3,72 tours du moteur pour effectuer 1 tour d'arbre primaire de boîte de vitesses.
Indispensable pour calculer les vitesses de rotation des engrenages et les paramètres vitesse du véhicule.</t>
  </si>
  <si>
    <t>La Shadow VT125 est équipée d'une boîte à 5 rapports qui lui permet d'exploiter la puissance disponible d'une manière polyvalente. Voir aussi "Démultiplication pignons boîte de vitesses".</t>
  </si>
  <si>
    <t>Exprimée en "Tours minute", symbole "tr/mn", c'est le nombre de tours effectués par l'arbre secondaire de boîte de vitesses en 1 minute (60 secondes).
Elle est calculée à partir des données constructeur et tient compte de la vitesse de rotation du moteur, du rapport de démultiplication primaire et du rapport de boîte engagé.
Elle est indispensable pour calculer la vitesse moteur.</t>
  </si>
  <si>
    <r>
      <t xml:space="preserve">  Le calcul de la vitesse de nos "Belles" est réalisé par le calculateur à partir d'un capteur situé dans la boîte de vitesses sur l'arbre secondaire (vitesse sortie de boîte traduite en fréquence), avant la chaîne et la roue arrière. Les données du capteur seront ensuite traitées par le calculateur avec les valeurs constructeur (voir "Manuel d'Atelier" ou "Revue Moto Technique" N°119) de pignon/couronne de chaîne (14/41) et développement de pneu arrière (1,857m).
</t>
    </r>
    <r>
      <rPr>
        <sz val="8"/>
        <color indexed="12"/>
        <rFont val="Arial"/>
        <family val="2"/>
      </rPr>
      <t xml:space="preserve"> </t>
    </r>
    <r>
      <rPr>
        <sz val="10"/>
        <color indexed="12"/>
        <rFont val="Arial"/>
        <family val="2"/>
      </rPr>
      <t xml:space="preserve">
  Dans ces conditions, il est facilement compréhensible que tout changement apporté au nombre de dents du pignon, de la couronne de chaîne, ou aux dimensions du pneu arrière, entraînera une modification de la vitesse réelle du véhicule qui ne sera pas prise en compte par le calculateur, puisque la référence vitesse est en amont de ces modifications, sur la sortie de boîte dont la vitesse de rotation, n'étant pas affectée par ces changements, est restée la même.</t>
    </r>
  </si>
  <si>
    <t>Démultiplication pignons boîte de vitesses :</t>
  </si>
  <si>
    <t>Vitesse de rotation Arbre primaire de boîte de vitessess :</t>
  </si>
  <si>
    <t>En km/h, sert à connaître la vitesse réelle en fonction de la vitesse compteur affichée.
Calculé comme suit :
        (Vitesse réelle d'origine + Erreur compteur) - Vitesse nouvelle monte</t>
  </si>
  <si>
    <t xml:space="preserve">En km/h et nb de tours moteur.
En affichant une vitesse compteur vous pouvez facilement contrôler la relation compteur de vitesse / compte tours.
Pour une même vitesse compteur, vous pourrez constater une légère différence de résultats entre les calculs des lignes "14" et "15" (1er module) ou "21" et "22" (2ème module) si vous paramétrez une erreur compteur non nulle. Celle-ci provient du fait que dans les lignes "14" et "21" nous partons de la vitesse réelle à laquelle nous ajoutons une erreur compteur en pourcentage pour obtenir une vitesse compteur alors que dans les lignes "15" et "22" nous effectuons le calcul en sens inverse ; d'une vitesse compteur imposée nous en déduisons la vitesse réelle en soustrayant l'erreur compteur.
Afin de minimiser la différence entre ces deux modes de calcul, un coefficient correcteur a été appliqué aux résultats "Vitesse réelle" des lignes "15" et "22". Néanmoins, optimisée pour les paramètres d'origines, cette erreur peut-être non négligeable pour des valeurs extrêmes de pignon, couronne et développement de la roue arrière. </t>
  </si>
  <si>
    <t xml:space="preserve">Exprimée en nombre de dents, elle est donnée par le constructeur.
Pour la Shadow VT 125 elle est de :
     - en 1ère 12/37,
     - en seconde 15/29,
     - en troisième 21/30,
     - en quatrième 23/27,
     - en cinquième 25/25.
Le premier chiffre indique le nbre de dents de l'arbre primaire de boîte de vitesses et le deuxième chiffre le nbre de dents de l'arbre secondaire de boîte de vitesses. </t>
  </si>
  <si>
    <t>Distance parcourue pour un tour de la roue arrière. Il est tributaire des dimensions du pneu, de son gonflage, de son usure (environ 9mm de sculpture) et de la charge de la moto (écrasement du pneu).
Il peut être exprimé en mm, cm, m... par tour de roue.
     Pour un pneu en monte d'origine ---&gt; 130/90-15
                           130 = largeur du pneu.
                             90 = hauteur de flanc du pneu en % de sa largeur.
                             15 = diamètre de la jante sur laquelle il peut être monté, exprimé en pouces (diamètre du trou du pneu).
     Diamètre de jante en mm = 15x25,4=381 mm
     Diamètre total = 381+(130x90/100)x2) = 615 mm
     Circonférence  =  Diamètre total x 3,1416 = 1931,8134 mm pour 1857 mm indiqué dans le "Manuel d'Atelier".
Ce qui correspond à une différence de 24 mm sur le diamètre et 75 mm sur le développement, due à la charge sur la roue arrière. Soit 3,9% de moins sur la circonférence et bien sûr sur la vitesse pour ce seul paramètre. Ce qui est loin d'être négligeable.</t>
  </si>
  <si>
    <t xml:space="preserve">Elle est inscrite sur les flancs du pneu et peut servir à calculer sa circonférence (voir aussi "Développement Roue AR").
D'origine, la roue arrière de la Shadow est équipée d'un pneu de 130/90-15.
     Signification des inscriptions :
                           130 = largeur du pneu.
                             90 = hauteur de flanc du pneu en % de sa largeur.
                             15 = diamètre du trou du pneu en pouces (diamètre de la jante).
     Diamètre du pneu = diamètre de la jante + 2 hauteurs de flanc
     Diamètre de jante en mm = 15x25,4=381 mm
     Diamètre total = 381+(130x90/100)x2) = 615 mm
     Circonférence = Diamètre total x 3,1416 = 1931,8134 mm.
</t>
  </si>
  <si>
    <t>C'est le nombre de tours qu'il faut à l'arbre primaire de boîte de vitesses, pour faire effectuer à l'arbre secondaire de boîte de vitesses, 1 tour.
Elle n'a pas d'unité spécifique et se calcule à partir du nbre de dents de l'équipage pignon ; arbre primaire/pignon arbre secondaire.
Pour une Shadow VT 125, il faudra :
     - en 1ère   37/12=3,08 tours du pignon d'arbre primaire pour 1 tour de l'arbre secondaire,
     - en 2ième 29/15=1,93 tour du pignon d'arbre primaire pour 1 tour de l'arbre secondaire,
     - en 3ième 30/21=1,43 tour du pignon d'arbre primaire pour 1 tour de l'arbre secondaire,
     - en 4ième 27/23=1,17 tour du pignon d'arbre primaire pour 1 tour de l'arbre secondaire,
     - en 5ième 25/25=1 tour du pignon d'arbre primaire pour 1 tour de l'arbre secondaire.
Indispensable pour calculer les paramètres vitesse.</t>
  </si>
  <si>
    <r>
      <t xml:space="preserve">   Ce logiciel de calcul des paramètres "vitesse" de la Shadow VT 125 a été conçu et mis au point en collaboration avec Horace45 du forum Shadow Passion. Aussi nous vous serions reconnaissants de respecter notre travail et de ne pas le copier, modifier ou le divulguer sans notre assentiment.</t>
    </r>
    <r>
      <rPr>
        <sz val="10"/>
        <color indexed="12"/>
        <rFont val="Arial"/>
        <family val="2"/>
      </rPr>
      <t xml:space="preserve">
   J'espère qu'il permettra de répondre aux fréquentes questions que se posent certains membres du forum sur les performances de nos "Shadow 125" et les éclairera sur l'influence des modifications mécaniques que l'on peut y apporter. J'espère aussi qu'il donnera satisfaction à ceux qui aiment approfondir les questions techniques, ainsi qu'à ceux qui, plus pragmatiques, vont à l'essentiel.
  Si vous avez des suggestions ou des remarques au sujet de ce petit logiciel, vous pourrez nous les faire partager au travers de notre forum ou en "MP".
   Allain.
  </t>
    </r>
  </si>
  <si>
    <t xml:space="preserve">  Comme vous pouvez le constater, ce logiciel comporte deux modules. Le premier intitulé "Calculs complets", le second "Calculs simplifiés".
   Le premier module "Calculs complets" servira aux curieux de la mécanique qui pourront ainsi voir évoluer avec ou sans la monte d'origine, pour les 5 rapports, de nombreux paramètres moteurs en fonction de la vitesse de rotation moteur ou de la vitesse compteur. Le second module "Calculs simplifiés", va à l'essentiel pour les mêmes calculs.
  Utiliser les lignes "14" et "21" pour comparer les changements de  pignon, de couronne et de dimensions de pneumatique,  et les lignes "15" et "22"  pour avoir une indication sur la vitesse de rotation moteur en fonction d'une vitesse compteur imposée.
 </t>
  </si>
  <si>
    <t>C'est la distance parcourue en une heure par le véhicule concerné. Unité "km/h".
Calculé comme suit :
Vitesse réelle = Nbre de tours moteur théoriques divisé par le rapport de démultiplication primaire (nbre de dents pignon arbre primaire boîte de vitesses divisé par nbre de dents pignon vilebrequin) divisé par rapport vitesse engagée (nbre de dents pignon rapport engagé arbre secondaire boîte de vitesses divisé par nbre de dents pignon rapport engagé arbre primaire boîte de vitesses) divisé par rapport démultiplication pignon/couronne chaîne (nbre de dents couronne divisé par nbre de dents pignon) multiplié par le développement de la roue AR (en mètre) multiplié par 60 (t/mn convertis en t/h) divisé par 1000 (m convertis en km)</t>
  </si>
  <si>
    <t>UTILISATION DES MODULES DE CALCUL :  
   Entrez ligne "14" du module "Calculs complets" ou ligne "21", module "Calculs simplifiés", des valeurs de pignon, de couronne, de développement de pneu différentes de celles d'origine, ajustez le rapport de boîte, la vitesse de rotation moteur et vous pourrez facilement comparer les valeurs entre les paramètres modifiés et ceux donnés par le constructeur. Vous constaterez ainsi que la valeur "Vitesse de rotation sortie de boîte", de laquelle dépend la vitesse compteur, ne varie qu'en fonction de la vitesse de rotation moteur et du rapport de boîte engagé.
   Agissez de même avec les lignes "15" et "22" pour obtenir la vitesse de rotation moteur avec une vitesse compteur imposée.   
   Le modules "Calculs simplifiés" (second module), fonctionne exactement comme le premier module (Calculs complets) et donnera les mêmes résultats théoriques de corrections à appliquer mais il n'affiche que les données minimum pour comparer les différents résultats.</t>
  </si>
  <si>
    <t xml:space="preserve">  Afin de compenser l'erreur d'indication de la vitesse compteur, induite par le remplacement de certains éléments de votre moto, vous pourrez intercaler un petit module tel que le "SpeedoHealer", entre la sortie calculateur et le compteur de vitesse.
  Ce sujet a été traité dans le forum "Shadow Passion". Vous y trouverez, entre autres, une traduction française téléchargeable au format "PF" de sa notice. Pour cette raison nous avons inclus dans ce logiciel une colonne "Correctif à appliquer à la vitesse compteur (en %)". Ainsi vous aurez directement la valeur de la correction à entrer dans le module  "SeedoHealer". Pour retrouver et consulter ce post taper "Correcteur de vitesse" dans le moteur de recherche du forum "Shadow Passion". 
</t>
  </si>
  <si>
    <t>Dans le calcul du développement du pneu AR à partir de sa référence, cellules "R12" et "H22", afin d'obtenir un résultat proche de celui donné dans le "Manuel d'Atelier, j'ai choisi d'appliquer un correctif de 3,9% tel que calculé dans le paragraphe précédent, ce qui donne :
Développement = (381+(130x90/100)x2))x0,961 = 1857mm
Pour cette raison, il est préférable de faire une mesure réelle du développement de la roue arrière en procédant comme suit:
     - Choisir une surface plane, faire un repaire avec une flèche en papier collant sur sa roue arrière et une autre sur le sol.
     - Mettre un fil à plomb sur l'écrou de l'axe de la roue AR et faire correspondre les trois repères.
     - Charger la moto et faire faire cinq tours à la roue AR, en alignant le fil à plomb avec la flèche papier collée sur la roue.
     - Faire un nouveau repère sur le sol et mesurer précisément la distance séparant les deux repères sol.
     - Diviser par cinq (nbre de tours effectués), et vous avez le développement exact de votre roue arrière.</t>
  </si>
  <si>
    <t xml:space="preserve">   Les cellules vertes seront vides si les résultats des calculs qu'elles devraient afficher ne sont pas valides et les paramètres des cellules oranges modifiables, passeront alors au rouge.
   Afin de mieux visualiser les paramètres incriminés et bien que n'étant pas modifiables, les cellules vertes "B15" et "B22" pourront passer au rouge pour des valeurs extrêmes. De plus, "R12", "H19" comportent un message d'alerte qui apparaîtra avec la souris. Revoyez alors les chiffres que vous avez entrés dans les cellules paramétrables.</t>
  </si>
  <si>
    <t xml:space="preserve">C'est le nombre de tours qu'il faut au vilebrequin pour faire effectuer à la roue arrière, 1 tour.
Elle est, bien sûr, tributaire du rapport de boîte engagé et du couple pignon/couronne. Pas d'unité spécifique.
On le calcule comme suit :
(Nbre dts arbre primaire entrée boîte/Nbre dts vilebrequin)) x (Nbre dts arbre secondaire rapport boîte/Nbre dts arbre primaire rapport boîte) x (Nbre dts couronne chaîne/Nbre dts pignon chaîne)  </t>
  </si>
  <si>
    <t xml:space="preserve">Pour des raisons de sécurité routière, de variations du développement de la roue arrière et d'arguments marketing, l'indication vitesse compteur est toujours optimiste. Si l'on rajoute les erreurs occasionnées pas les différentes modifications apportées, on obtient une indication incertaine de la vitesse réelle. Pour notre sécurité, il est important de garder une vue objective de notre vitesse réelle, c'est pour cette raison qu'il est responsable de connaître la valeur de l'erreur d'affichage du compteur de vitesse.   </t>
  </si>
  <si>
    <t>Rapports de Boîte</t>
  </si>
  <si>
    <t>Exprimée en "Tours minute", symbole "tr/mn", c'est le nombre de tours effectués par la roue arrière en 1 minute (60 secondes).
Elle est calculée à partir des données telles que la vitesse de rotation du moteur, du rapport de démultiplication primaire, du rapport de boîte engagé, du rapport pignon couronne de chaîne.
Elle est indispensable pour calculer la vitesse du véhicule.</t>
  </si>
  <si>
    <t>Vitesse de rotation sortie de Boîte (t/mn) :</t>
  </si>
  <si>
    <t>C'est le temps que met le vilebrequin pour effectuer un tour.
Peu utilisée en mécanique, elle est exprimée en microseconde, milliseconde ou seconde.</t>
  </si>
  <si>
    <t xml:space="preserve">En % de la vitesse compteur affichée, sert à connaître la vitesse réelle et permet d'avoir la correction à entrer dans un "Correcteur de Vitesse" de type "SpeedoHealer".
Calculé comme suit :
         ((Vitesse réelle d'origine +Erreur compteur) - Vitesse nouvelle monte) / vitesse monte d'origine x 100 </t>
  </si>
  <si>
    <t>Démultiplcation Finale Rapport à 1</t>
  </si>
  <si>
    <t>Période moteur (temps pour 1 tour moteur) :</t>
  </si>
  <si>
    <t>Démultiplication
Pignons
Boite
de vitesse
Rapport à 1</t>
  </si>
  <si>
    <t>Démultiplication
Primaire 
Rapport
à 1</t>
  </si>
  <si>
    <t>Démultiplication primaire Rapport à 1 :</t>
  </si>
  <si>
    <t>Vitesse de rotation sortie de Boite</t>
  </si>
  <si>
    <t>Démultiplication Pignon/Couronne Rapport à 1 :</t>
  </si>
  <si>
    <t>Vitesse de rotation roue arrière (t/mn)</t>
  </si>
  <si>
    <t>130/90-15</t>
  </si>
  <si>
    <t>Références
Roue AR</t>
  </si>
  <si>
    <t>Développement
roue AR
(Circonférence)</t>
  </si>
  <si>
    <t>Démultiplication
Primaire</t>
  </si>
  <si>
    <t>Démulti
plication
Pignon/
Couronne
Rapport à 1</t>
  </si>
  <si>
    <t>Les cellules blanches sont des données constructeur</t>
  </si>
  <si>
    <t>Vitesse réelle
(Km/h)</t>
  </si>
  <si>
    <t>Démultiplication primaire :</t>
  </si>
  <si>
    <t>Rapports
de Boite</t>
  </si>
  <si>
    <t>Vitesse de rotation
Arbre primaire
boite de vitesse</t>
  </si>
  <si>
    <t>Démultiplication
Pignons
Boite
de vitesse</t>
  </si>
  <si>
    <t>Calculs simplifiés :</t>
  </si>
  <si>
    <t>Calculs complets :</t>
  </si>
  <si>
    <t>Vitesse de
rotation
 moteur
théorique
(de 1 à
13 000 tr/mn)</t>
  </si>
  <si>
    <t>Vitesse 
compteur
(Km/h)
Erreur de
-5% à 15%</t>
  </si>
  <si>
    <t>Seules les cellules Orange sont modifiables.</t>
  </si>
  <si>
    <t>Correctif
à appliquer
à la vitesse compteur
(en %)</t>
  </si>
  <si>
    <t>Correctif
à appliquer
à la vitesse compteur
(en Km/h)</t>
  </si>
  <si>
    <t>Correctif à appliquer à la vitesse compteur (en %) :</t>
  </si>
  <si>
    <t>Vitesse de rotation moteur théorique (de 1 à 13000 tr/mn) :</t>
  </si>
  <si>
    <t>Fréquence
Moteur
(Nb de tour
moteur par
Seconde en Hertz)</t>
  </si>
  <si>
    <t>Période
Moteur
(temps 
pour 1 tour moteur)</t>
  </si>
  <si>
    <t>Référence
Roue AR</t>
  </si>
  <si>
    <t>Les cellules Vert claire sont des résultats qui découlent des paramètres constructeur entrés.</t>
  </si>
  <si>
    <t>Les cellules Rouges indiquent des données incompatibles avec l'ensemble des paramètres.</t>
  </si>
  <si>
    <t>Calculs développement roue arrière :</t>
  </si>
  <si>
    <t>INFORMATIONS IMPORTANTES</t>
  </si>
  <si>
    <t>Vitesse de rotation roue arrière (t/mn) :</t>
  </si>
  <si>
    <t>Références Roue AR :</t>
  </si>
  <si>
    <t>Développement Roue AR (Circonférence) :</t>
  </si>
  <si>
    <t>Vitesse réelle (Km/h) :</t>
  </si>
  <si>
    <t>Vitesse compteur (Km/h) Erreur de -5% à 15% :</t>
  </si>
  <si>
    <t>MODE D'EMPLOI</t>
  </si>
  <si>
    <t>AVANT PROPOS</t>
  </si>
  <si>
    <t>Différence
en mm</t>
  </si>
  <si>
    <t>Démultiplication Finale Rapport à 1</t>
  </si>
  <si>
    <t>-- CALCULS VITESSE SHADOW HONDA VT125 EN FONCTION DES PIGNONS COURONNES ET DÉVELOPPEMENT PNEU ARRIÈRE --</t>
  </si>
  <si>
    <t>Différence
en %
Pour K=0,961</t>
  </si>
  <si>
    <t>Correctif à appliquer à la vitesse compteur (en Km/h) :</t>
  </si>
  <si>
    <t>Contrôle de la relation Nb de tours moteur / Vitesse :</t>
  </si>
  <si>
    <t>18/67</t>
  </si>
  <si>
    <r>
      <t>PETIT LEXIQUE DES PARAMÈTRES UTILISÉS</t>
    </r>
    <r>
      <rPr>
        <b/>
        <sz val="12"/>
        <rFont val="Arial"/>
        <family val="2"/>
      </rPr>
      <t xml:space="preserve"> </t>
    </r>
  </si>
  <si>
    <t>130/90/15</t>
  </si>
  <si>
    <t xml:space="preserve">Développement
Roue AR </t>
  </si>
  <si>
    <t>Avec correction
K=0,961</t>
  </si>
  <si>
    <t xml:space="preserve">   Bien sûr ce petit logiciel a des limites et ses indications sont théoriques. Sa principale limite étant la puissance développée par nos machines. Il ne sert à rien de vouloir monter un rapport de "pignon/couronne" plus long ou un pneu arrière avec un développement supérieur si votre moteur n'a pas la puissance nécessaire pour prendre 12 000tr/mn en 5ième.
Il faut aussi penser que le développement de la roue arrière, indispensable à un calcul exact de votre vitesse, dépend de ses dimensions, mais aussi du gonflage et du poids en charge de votre équipage.
   La méthode la plus simple et la plus précise pour le calculer, est celle mentionnée au chapitre "Développement roue arrière" de cette page.
   Dernier flou sur la correction à apporter à votre compteur pour avoir un aperçu des performances de votre engin, c'est l'erreur compteur du constructeur qui peut varier de 5 à 10%, voir plus, suivant les motos. 
     </t>
  </si>
  <si>
    <t>Diamètre</t>
  </si>
  <si>
    <t>Démultiplication pignons boîte de vitesses Rapport à 1 :</t>
  </si>
  <si>
    <t>Couronne
Arrière
(de 37 à
45 dts)</t>
  </si>
  <si>
    <t>Pignon
Sortie Boite
(de 12
à 16 dts)</t>
  </si>
  <si>
    <t>Pignon
Sortie Boite
(de 12 à
16 dts)</t>
  </si>
  <si>
    <t>Pignon Sortie Boîte (de 12 à 16 dts)</t>
  </si>
  <si>
    <r>
      <t xml:space="preserve">La Shadow VT125 est équipée d'origine, d'un pignon de chaîne sortie de boîte de 14 dents. Vous trouverez facilement des pignons de 13 et 15 dents à monter à la place du 14 dents.
Pour des raisons de cohérence, les calculs du logiciel sont limités volontairement à +/- 2 dents.
</t>
    </r>
    <r>
      <rPr>
        <u val="single"/>
        <sz val="10"/>
        <color indexed="10"/>
        <rFont val="Arial"/>
        <family val="2"/>
      </rPr>
      <t>Attention :</t>
    </r>
    <r>
      <rPr>
        <sz val="10"/>
        <color indexed="10"/>
        <rFont val="Arial"/>
        <family val="2"/>
      </rPr>
      <t xml:space="preserve">
Après toutes interventions sur le pignon de chaîne, n'oubliez pas de régler le frein arrière et la tension de chaîne. </t>
    </r>
  </si>
  <si>
    <t>Couronne Arrière (de 37 à 45 dts) :</t>
  </si>
  <si>
    <r>
      <t xml:space="preserve">La Shadow 125 est équipée d'origine, d'une couronne de 41 dents. Vous pourrez trouver facilement des couronnes avec un nombre de dents différent à monter.
Pour des raisons de cohérence, les calculs du logiciel sont limités volontairement à +/- 4 dents.
</t>
    </r>
    <r>
      <rPr>
        <u val="single"/>
        <sz val="10"/>
        <color indexed="10"/>
        <rFont val="Arial"/>
        <family val="2"/>
      </rPr>
      <t>Attention :</t>
    </r>
    <r>
      <rPr>
        <sz val="10"/>
        <color indexed="10"/>
        <rFont val="Arial"/>
        <family val="2"/>
      </rPr>
      <t xml:space="preserve">
Après toutes interventions sur la couronne arrière de chaîne, n'oubliez pas de régler le frein arrière et la tension de chaîne.</t>
    </r>
    <r>
      <rPr>
        <sz val="10"/>
        <rFont val="Arial"/>
        <family val="0"/>
      </rPr>
      <t xml:space="preserve"> </t>
    </r>
  </si>
  <si>
    <t>Couronne
Arrière
(de 37
à 45 dts)</t>
  </si>
  <si>
    <t xml:space="preserve">   Les cellules :
          -  Nbre de tours moteur : ............."B14" 1er module ; "B21" 2ème module,
          -  Ref. pneu : .............................."Q12" 1er module ; "G21" 2ème module,
          -  Erreur compteur : ....................."T12" 1er module ; "J19" 2ème module, 
          -  Rapports  boîte  de  vitesses : ..."H14" et "H15" 1er module ; "D21" et "D22" 2ème module, 
          -  Pignon de chaîne : ..................."L14" et "L15" 1er module ;  "E21" et "E22" 2ème module,
          -  Couronne de chaîne : ..............."M14" et "M15" 1er module ; "F21" et "F22" 2ème module,
          -  Développement pneu arrière : ... "R14" et "R15" 1er module ; "H21" et "H22" 2ème module,
          -  Vitesse compteur : ..................."T15" 1er module ; "J22" 2ème module.
sont normalement de couleur orange. Elles sont les seules à comporter des paramètres modifiables et deviennent rouges si les chiffres que vous y entrez sont incohérents et ne permettent pas d'effectuer un calcul valide. Passez votre souris dessus et vous obtiendrez des conseils pour leur utilisation.</t>
  </si>
  <si>
    <t xml:space="preserve">Ne seront pris en compte par ce module de calcul du développement des pneumatiques, que ceux ayant une largeur de 100, 110, 120, 130, 140  ou 150mm, une hauteur de flanc correspondant à 80 ; 85 ; 90 ou 95% de la largeur du pneu et pouvant se montant sur des jantes d'un diamètre de 14, 15, 16 ou 17 pouces. Et pour les cellules R14 ; R15 et H21 ; H22, les pneumatiques ayant un développement de 1,5 à 2,5 m.
Ce paramètre est indispensable pour le calcul de la vitesse réelle, c'est pourquoi il faut y apporter un soin tout particulier.  </t>
  </si>
  <si>
    <t>140/90-14</t>
  </si>
  <si>
    <t>Fréquence moteur (Nb de tours moteur par Seconde en Hertz):</t>
  </si>
  <si>
    <t>Exprimée en "Tours minute", symbole "tr/mn", c'est le nombre de tours effectués par l'arbre primaire de boîte de vitesses en 1 minute (60 secondes).
Elle est calculée à partir des données constructeur et tient compte de la vitesse de rotation du moteur et du rapport de démultiplication primaire.
Sur la Shadow VT125, elle se calcule comme suit :
      Nbre de tours moteur / (Nbre de dents arbre primaire de boîte de vitesses / Nbre de dents pignon vilebrequin)
Elle est indispensable pour calculer la vitesse moteur.</t>
  </si>
  <si>
    <r>
      <t>Exprimée en "Tours minute", symbole "tr/mn", c'est le nombre de tours effectués par le vilebrequin en 1 minute (60 secondes).
Elle se mesure avec un instrument dédié, en fréquence ou en tours/minute (fréquence x 60).
Elle est indispensable pour tous les calculs et réglages moteur ainsi que pour une conduite plus technique.</t>
    </r>
    <r>
      <rPr>
        <sz val="8"/>
        <rFont val="Arial"/>
        <family val="2"/>
      </rPr>
      <t xml:space="preserve">
</t>
    </r>
    <r>
      <rPr>
        <sz val="10"/>
        <rFont val="Arial"/>
        <family val="0"/>
      </rPr>
      <t xml:space="preserve">
La vitesse de rotation du moteur de la Shadow 125 est comprise entre 1 500 tr/mn, régime de ralenti préconisé et 12 000 tr/mn, régime maximum. Afin d'éviter la casse par emballement du régime moteur sur les rapports courts, un limiteur a été monté sur cette moto, il se déclanchera aux alentours de 12 500tr/mn.
Mais cette vitesse de rotation est théorique. J'entends par théorique que l'on pourra sûrement, sans problème, avec une machine en bon état atteindre en charge les 12 000 tours sur les rapports 1 et 2, mais en fonction de la puissance demandée, forte pente, charge importante, il en sera autrement pour les trois autres rapports. Donc, certaines vitesses annoncées dans les calculs, avec par exemple le montage d'un rapport pignon/couronne ou un développement du pneumatique arrière plus long, ne pourront jamais être atteintes.</t>
    </r>
    <r>
      <rPr>
        <sz val="8"/>
        <rFont val="Arial"/>
        <family val="2"/>
      </rPr>
      <t xml:space="preserve">
</t>
    </r>
    <r>
      <rPr>
        <sz val="10"/>
        <rFont val="Arial"/>
        <family val="0"/>
      </rPr>
      <t xml:space="preserve">
</t>
    </r>
  </si>
  <si>
    <t>C'est le nombre de tours qu'il faut au pignon de sortie de boîte pour faire effectuer à la couronne, solidaire de la roue arrière, 1 tour.
Elle n'a pas d'unité spécifique et se calcule avec l'équipage pignon, couronne soit : nbre dts couronne/ nbre dts pignon.
Pour une Shadow VT125 d'origine, il faudra 41/14=2,93 tours du pignon de sortie de boîte pour que la couronne et donc la roue arrière, effectue 1 tour.
Indispensable pour calculer les paramètres vitesse.</t>
  </si>
  <si>
    <t>Exprimée en "Hertz", symbole "Hz", c'est le nombre de tours effectués par le vilebrequin en 1 seconde.
Il se calcule en divisant le nombre de tours moteur minute par 60 pour l'avoir en seconde.
On peut la mesurer avec un fréquencemètre et une sonde connectée au capteur d'allumage, à un signal bougie ou bobine...
Attention, suivant le type de moteur (2 ou 4 temps) et la prise du signal (capteur d'allumage, bougie, bobine...) il faudra en tenir compte dans l'interprétation des résultats.
La fréquence moteur est indispensable pour étalonner les compte-tours et effectuer les réglages moteur.</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</si>
</sst>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0.00\ &quot;t/mn&quot;"/>
    <numFmt numFmtId="175" formatCode="#,##0.00\ &quot;Km/h&quot;"/>
    <numFmt numFmtId="176" formatCode="#,##0.00\ &quot;Km&quot;"/>
    <numFmt numFmtId="177" formatCode="#,##0.000000\ &quot;Km&quot;"/>
    <numFmt numFmtId="178" formatCode="#,##0.000000\ &quot;m&quot;"/>
    <numFmt numFmtId="179" formatCode="#,##0.0000\ &quot;m&quot;"/>
    <numFmt numFmtId="180" formatCode="#,##0.000\ &quot;m&quot;"/>
    <numFmt numFmtId="181" formatCode="#,##0.00\ &quot;Hz&quot;"/>
    <numFmt numFmtId="182" formatCode="#,##0\ &quot;t/mn&quot;"/>
    <numFmt numFmtId="183" formatCode="#,##0.00\ &quot;S/Tr&quot;"/>
    <numFmt numFmtId="184" formatCode="#,##0.00\ &quot;s/tr&quot;"/>
    <numFmt numFmtId="185" formatCode="#,##0.00\ &quot;s&quot;"/>
    <numFmt numFmtId="186" formatCode="#,##0.0000\ &quot;s&quot;"/>
    <numFmt numFmtId="187" formatCode="#,##0.000\ &quot;s&quot;"/>
    <numFmt numFmtId="188" formatCode="0.0%"/>
    <numFmt numFmtId="189" formatCode="#,##0.000\ &quot;t/mn&quot;"/>
    <numFmt numFmtId="190" formatCode="#,##0.0000\ &quot;Km/h&quot;"/>
    <numFmt numFmtId="191" formatCode="0.0000"/>
    <numFmt numFmtId="192" formatCode="0.000"/>
    <numFmt numFmtId="193" formatCode="#,##0\ &quot;mm&quot;"/>
  </numFmts>
  <fonts count="56">
    <font>
      <sz val="10"/>
      <name val="Arial"/>
      <family val="0"/>
    </font>
    <font>
      <b/>
      <sz val="10"/>
      <name val="Arial"/>
      <family val="2"/>
    </font>
    <font>
      <b/>
      <sz val="14"/>
      <name val="Arial"/>
      <family val="2"/>
    </font>
    <font>
      <sz val="11"/>
      <name val="Times New Roman"/>
      <family val="1"/>
    </font>
    <font>
      <b/>
      <i/>
      <u val="single"/>
      <sz val="14"/>
      <name val="Arial"/>
      <family val="2"/>
    </font>
    <font>
      <sz val="8"/>
      <name val="Arial"/>
      <family val="0"/>
    </font>
    <font>
      <b/>
      <u val="single"/>
      <sz val="10"/>
      <name val="Arial"/>
      <family val="2"/>
    </font>
    <font>
      <b/>
      <sz val="12"/>
      <name val="Arial"/>
      <family val="2"/>
    </font>
    <font>
      <sz val="8"/>
      <name val="Tahoma"/>
      <family val="0"/>
    </font>
    <font>
      <b/>
      <sz val="8"/>
      <name val="Tahoma"/>
      <family val="0"/>
    </font>
    <font>
      <b/>
      <sz val="8"/>
      <color indexed="10"/>
      <name val="Tahoma"/>
      <family val="2"/>
    </font>
    <font>
      <b/>
      <u val="single"/>
      <sz val="16"/>
      <color indexed="48"/>
      <name val="Arial"/>
      <family val="2"/>
    </font>
    <font>
      <sz val="10"/>
      <color indexed="48"/>
      <name val="Arial"/>
      <family val="0"/>
    </font>
    <font>
      <u val="single"/>
      <sz val="10"/>
      <color indexed="10"/>
      <name val="Arial"/>
      <family val="2"/>
    </font>
    <font>
      <sz val="10"/>
      <color indexed="10"/>
      <name val="Arial"/>
      <family val="2"/>
    </font>
    <font>
      <sz val="10"/>
      <color indexed="12"/>
      <name val="Arial"/>
      <family val="2"/>
    </font>
    <font>
      <b/>
      <sz val="10"/>
      <color indexed="12"/>
      <name val="Arial"/>
      <family val="2"/>
    </font>
    <font>
      <sz val="8"/>
      <color indexed="12"/>
      <name val="Arial"/>
      <family val="2"/>
    </font>
    <font>
      <b/>
      <u val="single"/>
      <sz val="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5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thin"/>
      <right style="thin"/>
      <top>
        <color indexed="63"/>
      </top>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color indexed="63"/>
      </right>
      <top style="thin"/>
      <bottom style="medium"/>
    </border>
    <border>
      <left style="thin"/>
      <right style="thin"/>
      <top style="medium"/>
      <bottom>
        <color indexed="63"/>
      </bottom>
    </border>
    <border>
      <left style="thin"/>
      <right>
        <color indexed="63"/>
      </right>
      <top style="medium"/>
      <bottom>
        <color indexed="63"/>
      </bottom>
    </border>
    <border>
      <left style="medium"/>
      <right style="thin"/>
      <top style="medium"/>
      <bottom style="medium"/>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medium"/>
      <top>
        <color indexed="63"/>
      </top>
      <bottom style="thin"/>
    </border>
    <border>
      <left style="thin"/>
      <right style="medium"/>
      <top style="medium"/>
      <bottom style="medium"/>
    </border>
    <border>
      <left style="medium"/>
      <right style="medium"/>
      <top style="medium"/>
      <bottom style="thin"/>
    </border>
    <border>
      <left style="medium"/>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thin"/>
      <top style="medium"/>
      <bottom style="thin"/>
    </border>
    <border>
      <left style="thin"/>
      <right style="medium"/>
      <top style="medium"/>
      <bottom style="thin"/>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93">
    <xf numFmtId="0" fontId="0" fillId="0" borderId="0" xfId="0" applyAlignment="1">
      <alignment/>
    </xf>
    <xf numFmtId="180" fontId="0" fillId="33" borderId="10" xfId="0" applyNumberFormat="1" applyFill="1" applyBorder="1" applyAlignment="1" applyProtection="1">
      <alignment horizontal="center"/>
      <protection hidden="1" locked="0"/>
    </xf>
    <xf numFmtId="0" fontId="1" fillId="33" borderId="10" xfId="0" applyFont="1" applyFill="1" applyBorder="1" applyAlignment="1" applyProtection="1">
      <alignment horizontal="center"/>
      <protection hidden="1" locked="0"/>
    </xf>
    <xf numFmtId="1" fontId="1" fillId="33" borderId="10" xfId="0" applyNumberFormat="1" applyFont="1" applyFill="1" applyBorder="1" applyAlignment="1" applyProtection="1">
      <alignment horizontal="center"/>
      <protection hidden="1" locked="0"/>
    </xf>
    <xf numFmtId="182" fontId="1" fillId="33" borderId="10" xfId="0" applyNumberFormat="1" applyFont="1" applyFill="1" applyBorder="1" applyAlignment="1" applyProtection="1">
      <alignment/>
      <protection hidden="1" locked="0"/>
    </xf>
    <xf numFmtId="188" fontId="1" fillId="33" borderId="10" xfId="0" applyNumberFormat="1" applyFont="1" applyFill="1" applyBorder="1" applyAlignment="1" applyProtection="1">
      <alignment horizontal="center" vertical="center" wrapText="1"/>
      <protection hidden="1" locked="0"/>
    </xf>
    <xf numFmtId="1" fontId="0" fillId="0" borderId="11" xfId="0" applyNumberFormat="1" applyFill="1" applyBorder="1" applyAlignment="1" applyProtection="1">
      <alignment horizontal="center"/>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0" fontId="0" fillId="34" borderId="16" xfId="0" applyFill="1" applyBorder="1" applyAlignment="1" applyProtection="1">
      <alignment/>
      <protection hidden="1"/>
    </xf>
    <xf numFmtId="0" fontId="0" fillId="33" borderId="17" xfId="0" applyFill="1" applyBorder="1" applyAlignment="1" applyProtection="1">
      <alignment/>
      <protection hidden="1"/>
    </xf>
    <xf numFmtId="0" fontId="0" fillId="33" borderId="18" xfId="0" applyFill="1" applyBorder="1" applyAlignment="1" applyProtection="1">
      <alignment/>
      <protection hidden="1"/>
    </xf>
    <xf numFmtId="0" fontId="0" fillId="33" borderId="19" xfId="0" applyFill="1" applyBorder="1" applyAlignment="1" applyProtection="1">
      <alignment/>
      <protection hidden="1"/>
    </xf>
    <xf numFmtId="181" fontId="1" fillId="35" borderId="10" xfId="0" applyNumberFormat="1" applyFont="1" applyFill="1" applyBorder="1" applyAlignment="1" applyProtection="1">
      <alignment horizontal="center"/>
      <protection hidden="1"/>
    </xf>
    <xf numFmtId="175" fontId="1" fillId="35" borderId="20" xfId="0" applyNumberFormat="1" applyFont="1" applyFill="1" applyBorder="1" applyAlignment="1" applyProtection="1">
      <alignment horizontal="center"/>
      <protection hidden="1"/>
    </xf>
    <xf numFmtId="0" fontId="0" fillId="35" borderId="12" xfId="0" applyFill="1" applyBorder="1" applyAlignment="1" applyProtection="1">
      <alignment/>
      <protection hidden="1"/>
    </xf>
    <xf numFmtId="0" fontId="0" fillId="35" borderId="13" xfId="0" applyFill="1" applyBorder="1" applyAlignment="1" applyProtection="1">
      <alignment/>
      <protection hidden="1"/>
    </xf>
    <xf numFmtId="0" fontId="0" fillId="35" borderId="20" xfId="0" applyFill="1" applyBorder="1" applyAlignment="1" applyProtection="1">
      <alignment/>
      <protection hidden="1"/>
    </xf>
    <xf numFmtId="0" fontId="0" fillId="0" borderId="21" xfId="0" applyFill="1" applyBorder="1" applyAlignment="1" applyProtection="1">
      <alignment horizontal="center"/>
      <protection hidden="1"/>
    </xf>
    <xf numFmtId="0" fontId="0" fillId="0" borderId="22" xfId="0" applyFill="1" applyBorder="1" applyAlignment="1" applyProtection="1" quotePrefix="1">
      <alignment horizontal="center"/>
      <protection hidden="1"/>
    </xf>
    <xf numFmtId="174" fontId="0" fillId="35" borderId="23" xfId="0" applyNumberFormat="1" applyFill="1" applyBorder="1" applyAlignment="1" applyProtection="1">
      <alignment horizontal="center"/>
      <protection hidden="1"/>
    </xf>
    <xf numFmtId="0" fontId="1" fillId="0" borderId="24" xfId="0" applyFont="1" applyFill="1" applyBorder="1" applyAlignment="1" applyProtection="1">
      <alignment horizontal="center" vertical="center" wrapText="1"/>
      <protection hidden="1"/>
    </xf>
    <xf numFmtId="0" fontId="0" fillId="0" borderId="25" xfId="0" applyFill="1" applyBorder="1" applyAlignment="1" applyProtection="1">
      <alignment horizontal="center"/>
      <protection hidden="1"/>
    </xf>
    <xf numFmtId="0" fontId="1" fillId="0" borderId="26" xfId="0" applyFont="1" applyFill="1" applyBorder="1" applyAlignment="1" applyProtection="1">
      <alignment horizontal="center" vertical="center" wrapText="1"/>
      <protection hidden="1"/>
    </xf>
    <xf numFmtId="0" fontId="1" fillId="0" borderId="27" xfId="0" applyFont="1" applyFill="1" applyBorder="1" applyAlignment="1" applyProtection="1">
      <alignment horizontal="center" vertical="center" wrapText="1"/>
      <protection hidden="1"/>
    </xf>
    <xf numFmtId="0" fontId="1" fillId="0" borderId="28" xfId="0" applyFont="1" applyFill="1" applyBorder="1" applyAlignment="1" applyProtection="1">
      <alignment horizontal="center" vertical="center" wrapText="1"/>
      <protection hidden="1"/>
    </xf>
    <xf numFmtId="0" fontId="1" fillId="33" borderId="10" xfId="0" applyFont="1" applyFill="1" applyBorder="1" applyAlignment="1" applyProtection="1">
      <alignment horizontal="center" vertical="center" wrapText="1"/>
      <protection hidden="1" locked="0"/>
    </xf>
    <xf numFmtId="180" fontId="1" fillId="35" borderId="10" xfId="0" applyNumberFormat="1" applyFont="1" applyFill="1" applyBorder="1" applyAlignment="1" applyProtection="1">
      <alignment horizontal="center" vertical="center" wrapText="1"/>
      <protection hidden="1"/>
    </xf>
    <xf numFmtId="0" fontId="1" fillId="0" borderId="29" xfId="0" applyFont="1" applyFill="1" applyBorder="1" applyAlignment="1" applyProtection="1">
      <alignment horizontal="center" vertical="center" wrapText="1"/>
      <protection hidden="1"/>
    </xf>
    <xf numFmtId="0" fontId="0" fillId="36" borderId="0" xfId="0" applyFill="1" applyAlignment="1" applyProtection="1">
      <alignment/>
      <protection hidden="1"/>
    </xf>
    <xf numFmtId="0" fontId="0" fillId="36" borderId="0" xfId="0" applyFill="1" applyBorder="1" applyAlignment="1" applyProtection="1">
      <alignment/>
      <protection hidden="1"/>
    </xf>
    <xf numFmtId="0" fontId="0" fillId="36" borderId="0" xfId="0" applyFill="1" applyAlignment="1" applyProtection="1" quotePrefix="1">
      <alignment/>
      <protection hidden="1"/>
    </xf>
    <xf numFmtId="0" fontId="4" fillId="36" borderId="0" xfId="0" applyFont="1" applyFill="1" applyAlignment="1" applyProtection="1">
      <alignment vertical="center"/>
      <protection hidden="1"/>
    </xf>
    <xf numFmtId="0" fontId="0" fillId="36" borderId="0" xfId="0" applyFont="1" applyFill="1" applyBorder="1" applyAlignment="1" applyProtection="1">
      <alignment/>
      <protection hidden="1"/>
    </xf>
    <xf numFmtId="0" fontId="0" fillId="36" borderId="0" xfId="0" applyFont="1" applyFill="1" applyAlignment="1" applyProtection="1">
      <alignment/>
      <protection hidden="1"/>
    </xf>
    <xf numFmtId="175" fontId="0" fillId="36" borderId="0" xfId="0" applyNumberFormat="1" applyFill="1" applyBorder="1" applyAlignment="1" applyProtection="1" quotePrefix="1">
      <alignment horizontal="right"/>
      <protection hidden="1"/>
    </xf>
    <xf numFmtId="10" fontId="0" fillId="36" borderId="0" xfId="0" applyNumberFormat="1" applyFill="1" applyAlignment="1" applyProtection="1">
      <alignment/>
      <protection hidden="1"/>
    </xf>
    <xf numFmtId="10" fontId="0" fillId="36" borderId="0" xfId="0" applyNumberFormat="1" applyFill="1" applyBorder="1" applyAlignment="1" applyProtection="1">
      <alignment/>
      <protection hidden="1"/>
    </xf>
    <xf numFmtId="2" fontId="0" fillId="36" borderId="0" xfId="0" applyNumberFormat="1" applyFill="1" applyBorder="1" applyAlignment="1" applyProtection="1">
      <alignment/>
      <protection hidden="1"/>
    </xf>
    <xf numFmtId="0" fontId="0" fillId="36" borderId="0" xfId="0" applyFill="1" applyBorder="1" applyAlignment="1" applyProtection="1">
      <alignment horizontal="center"/>
      <protection hidden="1"/>
    </xf>
    <xf numFmtId="192" fontId="0" fillId="36" borderId="0" xfId="0" applyNumberFormat="1" applyFill="1" applyAlignment="1" applyProtection="1">
      <alignment/>
      <protection hidden="1"/>
    </xf>
    <xf numFmtId="0" fontId="0" fillId="36" borderId="0" xfId="0" applyFill="1" applyBorder="1" applyAlignment="1" applyProtection="1">
      <alignment horizontal="center" wrapText="1"/>
      <protection hidden="1"/>
    </xf>
    <xf numFmtId="0" fontId="0" fillId="36" borderId="0" xfId="0" applyFill="1" applyAlignment="1" applyProtection="1">
      <alignment horizontal="left"/>
      <protection hidden="1"/>
    </xf>
    <xf numFmtId="10" fontId="0" fillId="36" borderId="0" xfId="0" applyNumberFormat="1" applyFill="1" applyAlignment="1" applyProtection="1">
      <alignment horizontal="right"/>
      <protection hidden="1"/>
    </xf>
    <xf numFmtId="0" fontId="1" fillId="36" borderId="0" xfId="0" applyFont="1" applyFill="1" applyBorder="1" applyAlignment="1" applyProtection="1">
      <alignment horizontal="center" vertical="center" wrapText="1"/>
      <protection hidden="1"/>
    </xf>
    <xf numFmtId="0" fontId="3" fillId="36" borderId="0" xfId="0" applyFont="1" applyFill="1" applyAlignment="1" applyProtection="1">
      <alignment/>
      <protection hidden="1"/>
    </xf>
    <xf numFmtId="0" fontId="0" fillId="36" borderId="13" xfId="0" applyFill="1" applyBorder="1" applyAlignment="1" applyProtection="1">
      <alignment/>
      <protection hidden="1"/>
    </xf>
    <xf numFmtId="0" fontId="0" fillId="36" borderId="20" xfId="0" applyFill="1" applyBorder="1" applyAlignment="1" applyProtection="1">
      <alignment/>
      <protection hidden="1"/>
    </xf>
    <xf numFmtId="0" fontId="0" fillId="36" borderId="0" xfId="0" applyFill="1" applyAlignment="1">
      <alignment/>
    </xf>
    <xf numFmtId="0" fontId="0" fillId="36" borderId="0" xfId="0" applyFill="1" applyBorder="1" applyAlignment="1">
      <alignment/>
    </xf>
    <xf numFmtId="0" fontId="0" fillId="36" borderId="0" xfId="0" applyNumberFormat="1" applyFill="1" applyAlignment="1">
      <alignment vertical="top" wrapText="1"/>
    </xf>
    <xf numFmtId="49" fontId="15" fillId="36" borderId="0" xfId="0" applyNumberFormat="1" applyFont="1" applyFill="1" applyBorder="1" applyAlignment="1">
      <alignment vertical="top" wrapText="1"/>
    </xf>
    <xf numFmtId="0" fontId="0" fillId="36" borderId="16" xfId="0" applyFill="1" applyBorder="1" applyAlignment="1">
      <alignment/>
    </xf>
    <xf numFmtId="0" fontId="11" fillId="36" borderId="30" xfId="0" applyFont="1" applyFill="1" applyBorder="1" applyAlignment="1">
      <alignment horizontal="center" vertical="center"/>
    </xf>
    <xf numFmtId="0" fontId="11" fillId="36" borderId="31" xfId="0" applyFont="1" applyFill="1" applyBorder="1" applyAlignment="1">
      <alignment horizontal="center" vertical="center"/>
    </xf>
    <xf numFmtId="0" fontId="15" fillId="36" borderId="0" xfId="0" applyNumberFormat="1" applyFont="1" applyFill="1" applyBorder="1" applyAlignment="1">
      <alignment horizontal="justify" vertical="top" wrapText="1"/>
    </xf>
    <xf numFmtId="49" fontId="15" fillId="36" borderId="14" xfId="0" applyNumberFormat="1" applyFont="1" applyFill="1" applyBorder="1" applyAlignment="1">
      <alignment vertical="top" wrapText="1"/>
    </xf>
    <xf numFmtId="49" fontId="15" fillId="36" borderId="16" xfId="0" applyNumberFormat="1" applyFont="1" applyFill="1" applyBorder="1" applyAlignment="1">
      <alignment vertical="top" wrapText="1"/>
    </xf>
    <xf numFmtId="49" fontId="12" fillId="36" borderId="0" xfId="0" applyNumberFormat="1" applyFont="1" applyFill="1" applyBorder="1" applyAlignment="1">
      <alignment vertical="top" wrapText="1"/>
    </xf>
    <xf numFmtId="0" fontId="0" fillId="36" borderId="14" xfId="0" applyFill="1" applyBorder="1" applyAlignment="1">
      <alignment/>
    </xf>
    <xf numFmtId="0" fontId="0" fillId="36" borderId="0" xfId="0" applyNumberFormat="1" applyFill="1" applyBorder="1" applyAlignment="1">
      <alignment horizontal="justify" vertical="top" wrapText="1"/>
    </xf>
    <xf numFmtId="49" fontId="6" fillId="36" borderId="31" xfId="0" applyNumberFormat="1" applyFont="1" applyFill="1" applyBorder="1" applyAlignment="1">
      <alignment vertical="justify" wrapText="1"/>
    </xf>
    <xf numFmtId="0" fontId="0" fillId="36" borderId="30" xfId="0" applyFill="1" applyBorder="1" applyAlignment="1">
      <alignment/>
    </xf>
    <xf numFmtId="0" fontId="0" fillId="36" borderId="31" xfId="0" applyNumberFormat="1" applyFill="1" applyBorder="1" applyAlignment="1">
      <alignment vertical="top" wrapText="1"/>
    </xf>
    <xf numFmtId="49" fontId="6" fillId="36" borderId="31" xfId="0" applyNumberFormat="1" applyFont="1" applyFill="1" applyBorder="1" applyAlignment="1">
      <alignment vertical="justify"/>
    </xf>
    <xf numFmtId="0" fontId="0" fillId="36" borderId="30" xfId="0" applyNumberFormat="1" applyFill="1" applyBorder="1" applyAlignment="1">
      <alignment vertical="top" wrapText="1"/>
    </xf>
    <xf numFmtId="0" fontId="0" fillId="36" borderId="0" xfId="0" applyNumberFormat="1" applyFill="1" applyBorder="1" applyAlignment="1">
      <alignment vertical="top" wrapText="1"/>
    </xf>
    <xf numFmtId="0" fontId="0" fillId="36" borderId="31" xfId="0" applyNumberFormat="1" applyFill="1" applyBorder="1" applyAlignment="1">
      <alignment horizontal="justify" vertical="top" wrapText="1"/>
    </xf>
    <xf numFmtId="0" fontId="0" fillId="36" borderId="31" xfId="0" applyFill="1" applyBorder="1" applyAlignment="1">
      <alignment vertical="top" wrapText="1"/>
    </xf>
    <xf numFmtId="49" fontId="6" fillId="36" borderId="30" xfId="0" applyNumberFormat="1" applyFont="1" applyFill="1" applyBorder="1" applyAlignment="1">
      <alignment vertical="justify"/>
    </xf>
    <xf numFmtId="49" fontId="6" fillId="36" borderId="0" xfId="0" applyNumberFormat="1" applyFont="1" applyFill="1" applyBorder="1" applyAlignment="1">
      <alignment vertical="justify"/>
    </xf>
    <xf numFmtId="0" fontId="0" fillId="36" borderId="31" xfId="0" applyFill="1" applyBorder="1" applyAlignment="1">
      <alignment/>
    </xf>
    <xf numFmtId="0" fontId="0" fillId="36" borderId="15" xfId="0" applyFill="1" applyBorder="1" applyAlignment="1">
      <alignment/>
    </xf>
    <xf numFmtId="0" fontId="0" fillId="36" borderId="16" xfId="0" applyNumberFormat="1" applyFill="1" applyBorder="1" applyAlignment="1">
      <alignment vertical="top" wrapText="1"/>
    </xf>
    <xf numFmtId="2" fontId="0" fillId="35" borderId="22" xfId="0" applyNumberFormat="1" applyFill="1" applyBorder="1" applyAlignment="1" applyProtection="1">
      <alignment horizontal="center"/>
      <protection hidden="1"/>
    </xf>
    <xf numFmtId="0" fontId="0" fillId="0" borderId="0" xfId="0" applyFill="1" applyAlignment="1">
      <alignment/>
    </xf>
    <xf numFmtId="49" fontId="6" fillId="0" borderId="31" xfId="0" applyNumberFormat="1" applyFont="1" applyFill="1" applyBorder="1" applyAlignment="1">
      <alignment vertical="justify"/>
    </xf>
    <xf numFmtId="0" fontId="2" fillId="36" borderId="0" xfId="0" applyFont="1" applyFill="1" applyAlignment="1" applyProtection="1" quotePrefix="1">
      <alignment/>
      <protection hidden="1"/>
    </xf>
    <xf numFmtId="191" fontId="0" fillId="35" borderId="23" xfId="0" applyNumberFormat="1" applyFill="1" applyBorder="1" applyAlignment="1" applyProtection="1">
      <alignment horizontal="center"/>
      <protection hidden="1"/>
    </xf>
    <xf numFmtId="191" fontId="0" fillId="35" borderId="24" xfId="0" applyNumberFormat="1" applyFill="1" applyBorder="1" applyAlignment="1" applyProtection="1">
      <alignment horizontal="center"/>
      <protection hidden="1"/>
    </xf>
    <xf numFmtId="0" fontId="19" fillId="36" borderId="0" xfId="45" applyFill="1" applyBorder="1" applyAlignment="1" applyProtection="1">
      <alignment horizontal="left" vertical="center"/>
      <protection hidden="1"/>
    </xf>
    <xf numFmtId="0" fontId="0" fillId="36" borderId="0" xfId="0" applyFill="1" applyBorder="1" applyAlignment="1">
      <alignment horizontal="justify" vertical="top" wrapText="1"/>
    </xf>
    <xf numFmtId="0" fontId="0" fillId="36" borderId="0" xfId="0" applyFill="1" applyBorder="1" applyAlignment="1">
      <alignment vertical="top" wrapText="1"/>
    </xf>
    <xf numFmtId="0" fontId="0" fillId="36" borderId="15" xfId="0" applyNumberFormat="1" applyFill="1" applyBorder="1" applyAlignment="1">
      <alignment horizontal="justify" vertical="top" wrapText="1"/>
    </xf>
    <xf numFmtId="10" fontId="0" fillId="36" borderId="0" xfId="0" applyNumberFormat="1" applyFill="1" applyAlignment="1" applyProtection="1" quotePrefix="1">
      <alignment/>
      <protection hidden="1"/>
    </xf>
    <xf numFmtId="0" fontId="7" fillId="36" borderId="31" xfId="0" applyFont="1" applyFill="1" applyBorder="1" applyAlignment="1">
      <alignment horizontal="center" vertical="center"/>
    </xf>
    <xf numFmtId="0" fontId="18" fillId="36" borderId="30" xfId="0" applyFont="1" applyFill="1" applyBorder="1" applyAlignment="1">
      <alignment horizontal="center" vertical="center"/>
    </xf>
    <xf numFmtId="0" fontId="7" fillId="36" borderId="0" xfId="0" applyFont="1" applyFill="1" applyBorder="1" applyAlignment="1">
      <alignment horizontal="center" vertical="center"/>
    </xf>
    <xf numFmtId="174" fontId="0" fillId="35" borderId="23" xfId="0" applyNumberFormat="1" applyFill="1" applyBorder="1" applyAlignment="1" applyProtection="1" quotePrefix="1">
      <alignment horizontal="center"/>
      <protection hidden="1"/>
    </xf>
    <xf numFmtId="0" fontId="0" fillId="36" borderId="0" xfId="0" applyNumberFormat="1" applyFill="1" applyBorder="1" applyAlignment="1" applyProtection="1">
      <alignment horizontal="center"/>
      <protection hidden="1"/>
    </xf>
    <xf numFmtId="174" fontId="0" fillId="35" borderId="23" xfId="0" applyNumberFormat="1" applyFill="1" applyBorder="1" applyAlignment="1" applyProtection="1">
      <alignment horizontal="right"/>
      <protection hidden="1"/>
    </xf>
    <xf numFmtId="181" fontId="0" fillId="35" borderId="32" xfId="0" applyNumberFormat="1" applyFont="1" applyFill="1" applyBorder="1" applyAlignment="1" applyProtection="1">
      <alignment horizontal="center"/>
      <protection hidden="1"/>
    </xf>
    <xf numFmtId="182" fontId="1" fillId="35" borderId="10" xfId="0" applyNumberFormat="1" applyFont="1" applyFill="1" applyBorder="1" applyAlignment="1" applyProtection="1">
      <alignment horizontal="right"/>
      <protection hidden="1"/>
    </xf>
    <xf numFmtId="175" fontId="1" fillId="33" borderId="20" xfId="0" applyNumberFormat="1" applyFont="1" applyFill="1" applyBorder="1" applyAlignment="1" applyProtection="1">
      <alignment horizontal="center"/>
      <protection hidden="1" locked="0"/>
    </xf>
    <xf numFmtId="175" fontId="1" fillId="33" borderId="10" xfId="0" applyNumberFormat="1" applyFont="1" applyFill="1" applyBorder="1" applyAlignment="1" applyProtection="1">
      <alignment horizontal="center"/>
      <protection hidden="1" locked="0"/>
    </xf>
    <xf numFmtId="187" fontId="0" fillId="35" borderId="22" xfId="0" applyNumberFormat="1" applyFont="1" applyFill="1" applyBorder="1" applyAlignment="1" applyProtection="1">
      <alignment horizontal="center"/>
      <protection hidden="1"/>
    </xf>
    <xf numFmtId="181" fontId="1" fillId="35" borderId="28" xfId="0" applyNumberFormat="1" applyFont="1" applyFill="1" applyBorder="1" applyAlignment="1" applyProtection="1">
      <alignment horizontal="center"/>
      <protection hidden="1"/>
    </xf>
    <xf numFmtId="0" fontId="11" fillId="36" borderId="14" xfId="0" applyFont="1" applyFill="1" applyBorder="1" applyAlignment="1">
      <alignment horizontal="center" vertical="center"/>
    </xf>
    <xf numFmtId="0" fontId="11" fillId="36" borderId="16" xfId="0" applyFont="1" applyFill="1" applyBorder="1" applyAlignment="1">
      <alignment horizontal="center" vertical="center"/>
    </xf>
    <xf numFmtId="2" fontId="0" fillId="36" borderId="0" xfId="0" applyNumberFormat="1" applyFill="1" applyAlignment="1" applyProtection="1" quotePrefix="1">
      <alignment horizontal="right"/>
      <protection hidden="1"/>
    </xf>
    <xf numFmtId="0" fontId="0" fillId="36" borderId="0" xfId="0" applyFill="1" applyBorder="1" applyAlignment="1" applyProtection="1">
      <alignment horizontal="right"/>
      <protection hidden="1"/>
    </xf>
    <xf numFmtId="0" fontId="0" fillId="36" borderId="0" xfId="0" applyFill="1" applyBorder="1" applyAlignment="1" applyProtection="1" quotePrefix="1">
      <alignment horizontal="right"/>
      <protection hidden="1"/>
    </xf>
    <xf numFmtId="9" fontId="0" fillId="36" borderId="0" xfId="0" applyNumberFormat="1" applyFill="1" applyAlignment="1" applyProtection="1">
      <alignment/>
      <protection hidden="1"/>
    </xf>
    <xf numFmtId="10" fontId="0" fillId="36" borderId="0" xfId="0" applyNumberFormat="1" applyFill="1" applyAlignment="1" applyProtection="1">
      <alignment horizontal="left"/>
      <protection hidden="1"/>
    </xf>
    <xf numFmtId="10" fontId="0" fillId="36" borderId="0" xfId="0" applyNumberFormat="1" applyFill="1" applyBorder="1" applyAlignment="1" applyProtection="1">
      <alignment horizontal="left"/>
      <protection hidden="1"/>
    </xf>
    <xf numFmtId="0" fontId="0" fillId="36" borderId="0" xfId="0" applyFill="1" applyAlignment="1" applyProtection="1">
      <alignment horizontal="center"/>
      <protection hidden="1"/>
    </xf>
    <xf numFmtId="0" fontId="0" fillId="36" borderId="0" xfId="0" applyFill="1" applyAlignment="1" applyProtection="1" quotePrefix="1">
      <alignment horizontal="right"/>
      <protection hidden="1"/>
    </xf>
    <xf numFmtId="0" fontId="0" fillId="36" borderId="0" xfId="0" applyFill="1" applyAlignment="1" applyProtection="1">
      <alignment horizontal="right"/>
      <protection hidden="1"/>
    </xf>
    <xf numFmtId="175" fontId="1" fillId="35" borderId="28" xfId="0" applyNumberFormat="1" applyFont="1" applyFill="1" applyBorder="1" applyAlignment="1" applyProtection="1">
      <alignment horizontal="right"/>
      <protection hidden="1"/>
    </xf>
    <xf numFmtId="175" fontId="1" fillId="35" borderId="23" xfId="0" applyNumberFormat="1" applyFont="1" applyFill="1" applyBorder="1" applyAlignment="1" applyProtection="1">
      <alignment horizontal="right"/>
      <protection hidden="1"/>
    </xf>
    <xf numFmtId="10" fontId="1" fillId="35" borderId="20" xfId="0" applyNumberFormat="1" applyFont="1" applyFill="1" applyBorder="1" applyAlignment="1" applyProtection="1">
      <alignment horizontal="center"/>
      <protection hidden="1"/>
    </xf>
    <xf numFmtId="180" fontId="0" fillId="0" borderId="33" xfId="0" applyNumberFormat="1" applyFill="1" applyBorder="1" applyAlignment="1" applyProtection="1">
      <alignment horizontal="center"/>
      <protection hidden="1"/>
    </xf>
    <xf numFmtId="175" fontId="1" fillId="35" borderId="28" xfId="0" applyNumberFormat="1" applyFont="1" applyFill="1" applyBorder="1" applyAlignment="1" applyProtection="1">
      <alignment horizontal="center"/>
      <protection hidden="1"/>
    </xf>
    <xf numFmtId="175" fontId="1" fillId="35" borderId="24" xfId="0" applyNumberFormat="1" applyFont="1" applyFill="1" applyBorder="1" applyAlignment="1" applyProtection="1">
      <alignment horizontal="center"/>
      <protection hidden="1"/>
    </xf>
    <xf numFmtId="10" fontId="1" fillId="35" borderId="34" xfId="0" applyNumberFormat="1" applyFont="1" applyFill="1" applyBorder="1" applyAlignment="1" applyProtection="1">
      <alignment horizontal="center"/>
      <protection hidden="1"/>
    </xf>
    <xf numFmtId="10" fontId="1" fillId="35" borderId="35" xfId="0" applyNumberFormat="1" applyFont="1" applyFill="1" applyBorder="1" applyAlignment="1" applyProtection="1">
      <alignment horizontal="center"/>
      <protection hidden="1"/>
    </xf>
    <xf numFmtId="182" fontId="1" fillId="35" borderId="36" xfId="0" applyNumberFormat="1" applyFont="1" applyFill="1" applyBorder="1" applyAlignment="1" applyProtection="1">
      <alignment/>
      <protection hidden="1"/>
    </xf>
    <xf numFmtId="0" fontId="1" fillId="36" borderId="14" xfId="0" applyFont="1" applyFill="1" applyBorder="1" applyAlignment="1" applyProtection="1">
      <alignment horizontal="center"/>
      <protection hidden="1"/>
    </xf>
    <xf numFmtId="10" fontId="1" fillId="36" borderId="0" xfId="0" applyNumberFormat="1" applyFont="1" applyFill="1" applyBorder="1" applyAlignment="1" applyProtection="1">
      <alignment horizontal="center"/>
      <protection hidden="1"/>
    </xf>
    <xf numFmtId="175" fontId="1" fillId="0" borderId="0" xfId="0" applyNumberFormat="1" applyFont="1" applyFill="1" applyBorder="1" applyAlignment="1" applyProtection="1" quotePrefix="1">
      <alignment horizontal="center"/>
      <protection hidden="1"/>
    </xf>
    <xf numFmtId="2" fontId="0" fillId="36" borderId="0" xfId="0" applyNumberFormat="1" applyFill="1" applyAlignment="1" applyProtection="1" quotePrefix="1">
      <alignment/>
      <protection hidden="1"/>
    </xf>
    <xf numFmtId="192" fontId="0" fillId="36" borderId="0" xfId="0" applyNumberFormat="1" applyFill="1" applyAlignment="1" applyProtection="1">
      <alignment horizontal="right"/>
      <protection hidden="1"/>
    </xf>
    <xf numFmtId="0" fontId="1" fillId="36" borderId="27" xfId="0" applyFont="1" applyFill="1" applyBorder="1" applyAlignment="1" applyProtection="1">
      <alignment horizontal="center" vertical="center" wrapText="1"/>
      <protection hidden="1"/>
    </xf>
    <xf numFmtId="0" fontId="1" fillId="36" borderId="15" xfId="0" applyFont="1" applyFill="1" applyBorder="1" applyAlignment="1" applyProtection="1">
      <alignment horizontal="center" vertical="center" wrapText="1"/>
      <protection hidden="1"/>
    </xf>
    <xf numFmtId="0" fontId="1" fillId="36" borderId="26" xfId="0" applyFont="1" applyFill="1" applyBorder="1" applyAlignment="1" applyProtection="1">
      <alignment horizontal="center" vertical="center" wrapText="1"/>
      <protection hidden="1"/>
    </xf>
    <xf numFmtId="0" fontId="0" fillId="36" borderId="0" xfId="0" applyFill="1" applyBorder="1" applyAlignment="1" applyProtection="1" quotePrefix="1">
      <alignment/>
      <protection hidden="1"/>
    </xf>
    <xf numFmtId="181" fontId="0" fillId="35" borderId="37" xfId="0" applyNumberFormat="1" applyFont="1" applyFill="1" applyBorder="1" applyAlignment="1" applyProtection="1">
      <alignment horizontal="center"/>
      <protection hidden="1"/>
    </xf>
    <xf numFmtId="182" fontId="1" fillId="35" borderId="38" xfId="0" applyNumberFormat="1" applyFont="1" applyFill="1" applyBorder="1" applyAlignment="1" applyProtection="1">
      <alignment/>
      <protection hidden="1"/>
    </xf>
    <xf numFmtId="187" fontId="0" fillId="35" borderId="39" xfId="0" applyNumberFormat="1" applyFill="1" applyBorder="1" applyAlignment="1" applyProtection="1">
      <alignment horizontal="center"/>
      <protection hidden="1"/>
    </xf>
    <xf numFmtId="0" fontId="0" fillId="0" borderId="39" xfId="0" applyFill="1" applyBorder="1" applyAlignment="1" applyProtection="1" quotePrefix="1">
      <alignment horizontal="center"/>
      <protection hidden="1"/>
    </xf>
    <xf numFmtId="191" fontId="0" fillId="35" borderId="26" xfId="0" applyNumberFormat="1" applyFill="1" applyBorder="1" applyAlignment="1" applyProtection="1">
      <alignment horizontal="center"/>
      <protection hidden="1"/>
    </xf>
    <xf numFmtId="174" fontId="0" fillId="35" borderId="26" xfId="0" applyNumberFormat="1" applyFill="1" applyBorder="1" applyAlignment="1" applyProtection="1">
      <alignment/>
      <protection hidden="1"/>
    </xf>
    <xf numFmtId="1" fontId="0" fillId="0" borderId="26" xfId="0" applyNumberFormat="1" applyBorder="1" applyAlignment="1" applyProtection="1">
      <alignment horizontal="center"/>
      <protection hidden="1"/>
    </xf>
    <xf numFmtId="174" fontId="0" fillId="35" borderId="23" xfId="0" applyNumberFormat="1" applyFill="1" applyBorder="1" applyAlignment="1" applyProtection="1">
      <alignment/>
      <protection hidden="1"/>
    </xf>
    <xf numFmtId="0" fontId="0" fillId="0" borderId="26" xfId="0" applyFill="1" applyBorder="1" applyAlignment="1" applyProtection="1" quotePrefix="1">
      <alignment horizontal="center"/>
      <protection hidden="1"/>
    </xf>
    <xf numFmtId="0" fontId="0" fillId="0" borderId="26" xfId="0" applyFill="1" applyBorder="1" applyAlignment="1" applyProtection="1">
      <alignment horizontal="center"/>
      <protection hidden="1"/>
    </xf>
    <xf numFmtId="0" fontId="0" fillId="36" borderId="26" xfId="0" applyFill="1" applyBorder="1" applyAlignment="1" applyProtection="1">
      <alignment horizontal="center"/>
      <protection hidden="1"/>
    </xf>
    <xf numFmtId="2" fontId="0" fillId="35" borderId="26" xfId="0" applyNumberFormat="1" applyFill="1" applyBorder="1" applyAlignment="1" applyProtection="1">
      <alignment horizontal="center"/>
      <protection hidden="1"/>
    </xf>
    <xf numFmtId="174" fontId="0" fillId="35" borderId="26" xfId="0" applyNumberFormat="1" applyFill="1" applyBorder="1" applyAlignment="1" applyProtection="1">
      <alignment horizontal="center"/>
      <protection hidden="1"/>
    </xf>
    <xf numFmtId="0" fontId="0" fillId="36" borderId="26" xfId="0" applyFill="1" applyBorder="1" applyAlignment="1" applyProtection="1" quotePrefix="1">
      <alignment horizontal="center"/>
      <protection hidden="1"/>
    </xf>
    <xf numFmtId="180" fontId="0" fillId="36" borderId="40" xfId="0" applyNumberFormat="1" applyFill="1" applyBorder="1" applyAlignment="1" applyProtection="1">
      <alignment horizontal="center"/>
      <protection hidden="1"/>
    </xf>
    <xf numFmtId="175" fontId="1" fillId="35" borderId="37" xfId="0" applyNumberFormat="1" applyFont="1" applyFill="1" applyBorder="1" applyAlignment="1" applyProtection="1">
      <alignment horizontal="right"/>
      <protection hidden="1"/>
    </xf>
    <xf numFmtId="175" fontId="1" fillId="35" borderId="27" xfId="0" applyNumberFormat="1" applyFont="1" applyFill="1" applyBorder="1" applyAlignment="1" applyProtection="1">
      <alignment horizontal="right"/>
      <protection hidden="1"/>
    </xf>
    <xf numFmtId="175" fontId="1" fillId="35" borderId="26" xfId="0" applyNumberFormat="1" applyFont="1" applyFill="1" applyBorder="1" applyAlignment="1" applyProtection="1">
      <alignment horizontal="right"/>
      <protection hidden="1"/>
    </xf>
    <xf numFmtId="10" fontId="1" fillId="35" borderId="19" xfId="0" applyNumberFormat="1" applyFont="1" applyFill="1" applyBorder="1" applyAlignment="1" applyProtection="1">
      <alignment horizontal="center"/>
      <protection hidden="1"/>
    </xf>
    <xf numFmtId="0" fontId="0" fillId="0" borderId="28" xfId="0" applyFill="1" applyBorder="1" applyAlignment="1" applyProtection="1" quotePrefix="1">
      <alignment horizontal="center"/>
      <protection hidden="1"/>
    </xf>
    <xf numFmtId="0" fontId="1" fillId="36" borderId="12" xfId="0" applyFont="1" applyFill="1" applyBorder="1" applyAlignment="1" applyProtection="1">
      <alignment horizontal="center"/>
      <protection hidden="1"/>
    </xf>
    <xf numFmtId="175" fontId="1" fillId="35" borderId="22" xfId="0" applyNumberFormat="1" applyFont="1" applyFill="1" applyBorder="1" applyAlignment="1" applyProtection="1">
      <alignment horizontal="center"/>
      <protection hidden="1"/>
    </xf>
    <xf numFmtId="0" fontId="1" fillId="36" borderId="41"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0" fillId="36" borderId="0" xfId="0" applyFill="1" applyAlignment="1" applyProtection="1">
      <alignment wrapText="1"/>
      <protection hidden="1"/>
    </xf>
    <xf numFmtId="2" fontId="0" fillId="36" borderId="0" xfId="0" applyNumberFormat="1" applyFill="1" applyBorder="1" applyAlignment="1" applyProtection="1" quotePrefix="1">
      <alignment horizontal="left"/>
      <protection hidden="1"/>
    </xf>
    <xf numFmtId="2" fontId="0" fillId="36" borderId="0" xfId="0" applyNumberFormat="1" applyFill="1" applyBorder="1" applyAlignment="1" applyProtection="1">
      <alignment horizontal="center"/>
      <protection hidden="1"/>
    </xf>
    <xf numFmtId="0" fontId="0" fillId="36" borderId="0" xfId="0" applyFill="1" applyBorder="1" applyAlignment="1" applyProtection="1" quotePrefix="1">
      <alignment horizontal="left"/>
      <protection hidden="1"/>
    </xf>
    <xf numFmtId="0" fontId="0" fillId="36" borderId="0" xfId="0" applyNumberFormat="1" applyFill="1" applyBorder="1" applyAlignment="1" applyProtection="1" quotePrefix="1">
      <alignment horizontal="left"/>
      <protection hidden="1"/>
    </xf>
    <xf numFmtId="192" fontId="0" fillId="36" borderId="0" xfId="0" applyNumberFormat="1" applyFill="1" applyBorder="1" applyAlignment="1" applyProtection="1" quotePrefix="1">
      <alignment/>
      <protection hidden="1"/>
    </xf>
    <xf numFmtId="1" fontId="0" fillId="36" borderId="0" xfId="0" applyNumberFormat="1" applyFill="1" applyBorder="1" applyAlignment="1" applyProtection="1">
      <alignment/>
      <protection hidden="1"/>
    </xf>
    <xf numFmtId="0" fontId="1" fillId="0" borderId="0" xfId="0" applyFont="1" applyFill="1" applyBorder="1" applyAlignment="1" applyProtection="1">
      <alignment horizontal="center" vertical="center" wrapText="1"/>
      <protection hidden="1"/>
    </xf>
    <xf numFmtId="193" fontId="0" fillId="0" borderId="42" xfId="0" applyNumberFormat="1" applyBorder="1" applyAlignment="1" applyProtection="1">
      <alignment horizontal="center"/>
      <protection hidden="1"/>
    </xf>
    <xf numFmtId="181" fontId="0" fillId="36" borderId="0" xfId="0" applyNumberFormat="1" applyFill="1" applyBorder="1" applyAlignment="1" applyProtection="1">
      <alignment/>
      <protection hidden="1"/>
    </xf>
    <xf numFmtId="180" fontId="0" fillId="36" borderId="0" xfId="0" applyNumberFormat="1" applyFill="1" applyAlignment="1" applyProtection="1" quotePrefix="1">
      <alignment/>
      <protection hidden="1"/>
    </xf>
    <xf numFmtId="0" fontId="1" fillId="0" borderId="0" xfId="0" applyFont="1" applyFill="1" applyBorder="1" applyAlignment="1" applyProtection="1">
      <alignment horizontal="center" vertical="center" wrapText="1"/>
      <protection hidden="1" locked="0"/>
    </xf>
    <xf numFmtId="193" fontId="0" fillId="0" borderId="24" xfId="0" applyNumberFormat="1" applyBorder="1" applyAlignment="1" applyProtection="1">
      <alignment horizontal="center"/>
      <protection hidden="1"/>
    </xf>
    <xf numFmtId="2" fontId="0" fillId="36" borderId="0" xfId="0" applyNumberFormat="1" applyFill="1" applyAlignment="1" applyProtection="1">
      <alignment horizontal="left"/>
      <protection hidden="1"/>
    </xf>
    <xf numFmtId="10" fontId="0" fillId="0" borderId="0" xfId="0" applyNumberFormat="1" applyFill="1" applyBorder="1" applyAlignment="1" applyProtection="1">
      <alignment horizontal="left"/>
      <protection hidden="1"/>
    </xf>
    <xf numFmtId="0" fontId="1" fillId="0" borderId="35" xfId="0" applyFont="1" applyFill="1" applyBorder="1" applyAlignment="1" applyProtection="1">
      <alignment horizontal="center" vertical="center" wrapText="1"/>
      <protection hidden="1"/>
    </xf>
    <xf numFmtId="10" fontId="0" fillId="0" borderId="43" xfId="0" applyNumberFormat="1" applyBorder="1" applyAlignment="1" applyProtection="1">
      <alignment horizontal="center"/>
      <protection hidden="1"/>
    </xf>
    <xf numFmtId="10" fontId="0" fillId="0" borderId="35" xfId="0" applyNumberFormat="1" applyBorder="1" applyAlignment="1" applyProtection="1">
      <alignment horizontal="center"/>
      <protection hidden="1"/>
    </xf>
    <xf numFmtId="49" fontId="6" fillId="37" borderId="30" xfId="0" applyNumberFormat="1" applyFont="1" applyFill="1" applyBorder="1" applyAlignment="1">
      <alignment vertical="justify"/>
    </xf>
    <xf numFmtId="49" fontId="6" fillId="37" borderId="0" xfId="0" applyNumberFormat="1" applyFont="1" applyFill="1" applyBorder="1" applyAlignment="1">
      <alignment vertical="justify"/>
    </xf>
    <xf numFmtId="0" fontId="15" fillId="36" borderId="15" xfId="0" applyNumberFormat="1" applyFont="1" applyFill="1" applyBorder="1" applyAlignment="1">
      <alignment horizontal="justify" vertical="top" wrapText="1"/>
    </xf>
    <xf numFmtId="0" fontId="15" fillId="36" borderId="0" xfId="0" applyNumberFormat="1" applyFont="1" applyFill="1" applyBorder="1" applyAlignment="1">
      <alignment horizontal="justify" vertical="top" wrapText="1"/>
    </xf>
    <xf numFmtId="49" fontId="6" fillId="37" borderId="30" xfId="0" applyNumberFormat="1" applyFont="1" applyFill="1" applyBorder="1" applyAlignment="1">
      <alignment vertical="justify" wrapText="1"/>
    </xf>
    <xf numFmtId="49" fontId="6" fillId="37" borderId="0" xfId="0" applyNumberFormat="1" applyFont="1" applyFill="1" applyBorder="1" applyAlignment="1">
      <alignment vertical="justify" wrapText="1"/>
    </xf>
    <xf numFmtId="0" fontId="11" fillId="36" borderId="17" xfId="0" applyFont="1" applyFill="1" applyBorder="1" applyAlignment="1">
      <alignment horizontal="center" vertical="center"/>
    </xf>
    <xf numFmtId="0" fontId="11" fillId="36" borderId="18" xfId="0" applyFont="1" applyFill="1" applyBorder="1" applyAlignment="1">
      <alignment horizontal="center" vertical="center"/>
    </xf>
    <xf numFmtId="0" fontId="11" fillId="36" borderId="19" xfId="0" applyFont="1" applyFill="1" applyBorder="1" applyAlignment="1">
      <alignment horizontal="center" vertical="center"/>
    </xf>
    <xf numFmtId="0" fontId="18"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6" fillId="36" borderId="15" xfId="0" applyNumberFormat="1" applyFont="1" applyFill="1" applyBorder="1" applyAlignment="1">
      <alignment horizontal="justify" vertical="top" wrapText="1"/>
    </xf>
    <xf numFmtId="0" fontId="1" fillId="0" borderId="19" xfId="0" applyFont="1" applyFill="1" applyBorder="1" applyAlignment="1" applyProtection="1">
      <alignment horizontal="center" vertical="center" wrapText="1"/>
      <protection hidden="1"/>
    </xf>
    <xf numFmtId="0" fontId="1" fillId="0" borderId="16" xfId="0" applyFont="1" applyFill="1" applyBorder="1" applyAlignment="1" applyProtection="1">
      <alignment horizontal="center" vertical="center" wrapText="1"/>
      <protection hidden="1"/>
    </xf>
    <xf numFmtId="0" fontId="1" fillId="0" borderId="39" xfId="0" applyFont="1" applyFill="1" applyBorder="1" applyAlignment="1" applyProtection="1">
      <alignment horizontal="center" vertical="center" wrapText="1"/>
      <protection hidden="1"/>
    </xf>
    <xf numFmtId="0" fontId="1" fillId="0" borderId="44" xfId="0" applyFont="1" applyFill="1" applyBorder="1" applyAlignment="1" applyProtection="1">
      <alignment horizontal="center" vertical="center" wrapText="1"/>
      <protection hidden="1"/>
    </xf>
    <xf numFmtId="0" fontId="1" fillId="0" borderId="26" xfId="0" applyFont="1" applyFill="1" applyBorder="1" applyAlignment="1" applyProtection="1">
      <alignment horizontal="center" vertical="center" wrapText="1"/>
      <protection hidden="1"/>
    </xf>
    <xf numFmtId="0" fontId="1" fillId="0" borderId="41" xfId="0" applyFont="1" applyFill="1" applyBorder="1" applyAlignment="1" applyProtection="1">
      <alignment horizontal="center" vertical="center" wrapText="1"/>
      <protection hidden="1"/>
    </xf>
    <xf numFmtId="0" fontId="1" fillId="0" borderId="45" xfId="0" applyFont="1" applyFill="1" applyBorder="1" applyAlignment="1" applyProtection="1">
      <alignment horizontal="center" vertical="center" wrapText="1"/>
      <protection hidden="1"/>
    </xf>
    <xf numFmtId="0" fontId="1" fillId="0" borderId="37" xfId="0" applyFont="1" applyFill="1" applyBorder="1" applyAlignment="1" applyProtection="1">
      <alignment horizontal="center" vertical="center" wrapText="1"/>
      <protection hidden="1"/>
    </xf>
    <xf numFmtId="0" fontId="1" fillId="0" borderId="46" xfId="0" applyFont="1" applyFill="1" applyBorder="1" applyAlignment="1" applyProtection="1">
      <alignment horizontal="center" vertical="center" wrapText="1"/>
      <protection hidden="1"/>
    </xf>
    <xf numFmtId="0" fontId="1" fillId="0" borderId="27" xfId="0" applyFont="1" applyFill="1" applyBorder="1" applyAlignment="1" applyProtection="1">
      <alignment horizontal="center" vertical="center" wrapText="1"/>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1">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ont>
        <color auto="1"/>
      </font>
      <fill>
        <patternFill>
          <bgColor indexed="10"/>
        </patternFill>
      </fill>
    </dxf>
    <dxf>
      <fill>
        <patternFill>
          <bgColor indexed="42"/>
        </patternFill>
      </fill>
    </dxf>
    <dxf>
      <fill>
        <patternFill>
          <bgColor indexed="53"/>
        </patternFill>
      </fill>
    </dxf>
    <dxf>
      <fill>
        <patternFill>
          <bgColor indexed="10"/>
        </patternFill>
      </fill>
    </dxf>
    <dxf>
      <fill>
        <patternFill>
          <bgColor indexed="47"/>
        </patternFill>
      </fill>
    </dxf>
    <dxf>
      <fill>
        <patternFill>
          <bgColor indexed="10"/>
        </patternFill>
      </fill>
    </dxf>
    <dxf>
      <fill>
        <patternFill>
          <bgColor indexed="47"/>
        </patternFill>
      </fill>
    </dxf>
    <dxf>
      <font>
        <color indexed="42"/>
      </font>
    </dxf>
    <dxf>
      <font>
        <color indexed="27"/>
      </font>
    </dxf>
    <dxf>
      <font>
        <color indexed="42"/>
      </font>
    </dxf>
    <dxf>
      <font>
        <color indexed="9"/>
      </font>
    </dxf>
    <dxf>
      <fill>
        <patternFill>
          <bgColor indexed="10"/>
        </patternFill>
      </fill>
    </dxf>
    <dxf>
      <fill>
        <patternFill>
          <bgColor indexed="10"/>
        </patternFill>
      </fill>
    </dxf>
    <dxf>
      <fill>
        <patternFill>
          <bgColor indexed="47"/>
        </patternFill>
      </fill>
    </dxf>
    <dxf>
      <fill>
        <patternFill>
          <bgColor indexed="29"/>
        </patternFill>
      </fill>
    </dxf>
    <dxf>
      <fill>
        <patternFill>
          <bgColor indexed="42"/>
        </patternFill>
      </fill>
    </dxf>
    <dxf>
      <fill>
        <patternFill>
          <bgColor indexed="10"/>
        </patternFill>
      </fill>
    </dxf>
    <dxf>
      <fill>
        <patternFill>
          <bgColor indexed="42"/>
        </patternFill>
      </fill>
    </dxf>
    <dxf>
      <font>
        <color indexed="42"/>
      </font>
    </dxf>
    <dxf>
      <font>
        <color indexed="42"/>
      </font>
    </dxf>
    <dxf>
      <font>
        <color indexed="42"/>
      </font>
    </dxf>
    <dxf>
      <font>
        <color indexed="42"/>
      </font>
    </dxf>
    <dxf>
      <font>
        <color indexed="42"/>
      </font>
    </dxf>
    <dxf>
      <font>
        <color indexed="4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62"/>
  <sheetViews>
    <sheetView zoomScaleSheetLayoutView="100" zoomScalePageLayoutView="0" workbookViewId="0" topLeftCell="A40">
      <selection activeCell="F42" sqref="F42"/>
    </sheetView>
  </sheetViews>
  <sheetFormatPr defaultColWidth="11.421875" defaultRowHeight="12.75"/>
  <cols>
    <col min="1" max="1" width="0.71875" style="50" customWidth="1"/>
    <col min="2" max="2" width="0.9921875" style="50" customWidth="1"/>
    <col min="3" max="3" width="4.00390625" style="50" customWidth="1"/>
    <col min="4" max="4" width="102.8515625" style="50" customWidth="1"/>
    <col min="5" max="5" width="1.28515625" style="50" customWidth="1"/>
    <col min="6" max="16384" width="11.421875" style="50" customWidth="1"/>
  </cols>
  <sheetData>
    <row r="1" ht="7.5" customHeight="1" thickBot="1"/>
    <row r="2" spans="2:5" ht="37.5" customHeight="1">
      <c r="B2" s="176" t="s">
        <v>61</v>
      </c>
      <c r="C2" s="177"/>
      <c r="D2" s="177"/>
      <c r="E2" s="178"/>
    </row>
    <row r="3" spans="2:5" ht="174.75" customHeight="1" thickBot="1">
      <c r="B3" s="61"/>
      <c r="C3" s="182" t="s">
        <v>13</v>
      </c>
      <c r="D3" s="182"/>
      <c r="E3" s="54"/>
    </row>
    <row r="4" spans="2:5" ht="9" customHeight="1" thickBot="1">
      <c r="B4" s="53"/>
      <c r="C4" s="53"/>
      <c r="D4" s="53"/>
      <c r="E4" s="53"/>
    </row>
    <row r="5" spans="1:5" ht="30" customHeight="1">
      <c r="A5" s="51"/>
      <c r="B5" s="176" t="s">
        <v>68</v>
      </c>
      <c r="C5" s="177"/>
      <c r="D5" s="177"/>
      <c r="E5" s="178"/>
    </row>
    <row r="6" spans="1:5" ht="125.25" customHeight="1">
      <c r="A6" s="51"/>
      <c r="B6" s="55"/>
      <c r="C6" s="173" t="s">
        <v>4</v>
      </c>
      <c r="D6" s="173"/>
      <c r="E6" s="56"/>
    </row>
    <row r="7" spans="1:5" ht="86.25" customHeight="1">
      <c r="A7" s="51"/>
      <c r="B7" s="55"/>
      <c r="C7" s="173" t="s">
        <v>17</v>
      </c>
      <c r="D7" s="173"/>
      <c r="E7" s="56"/>
    </row>
    <row r="8" spans="2:5" ht="126" customHeight="1" thickBot="1">
      <c r="B8" s="58"/>
      <c r="C8" s="172" t="s">
        <v>80</v>
      </c>
      <c r="D8" s="172"/>
      <c r="E8" s="59"/>
    </row>
    <row r="9" spans="2:5" ht="9" customHeight="1" thickBot="1">
      <c r="B9" s="53"/>
      <c r="C9" s="53"/>
      <c r="D9" s="53"/>
      <c r="E9" s="60"/>
    </row>
    <row r="10" spans="2:5" ht="30" customHeight="1">
      <c r="B10" s="176" t="s">
        <v>67</v>
      </c>
      <c r="C10" s="177"/>
      <c r="D10" s="177"/>
      <c r="E10" s="178"/>
    </row>
    <row r="11" spans="2:5" ht="89.25" customHeight="1">
      <c r="B11" s="55"/>
      <c r="C11" s="173" t="s">
        <v>14</v>
      </c>
      <c r="D11" s="173"/>
      <c r="E11" s="56"/>
    </row>
    <row r="12" spans="2:5" ht="156" customHeight="1">
      <c r="B12" s="55"/>
      <c r="C12" s="173" t="s">
        <v>91</v>
      </c>
      <c r="D12" s="173"/>
      <c r="E12" s="56"/>
    </row>
    <row r="13" spans="2:5" ht="71.25" customHeight="1">
      <c r="B13" s="55"/>
      <c r="C13" s="173" t="s">
        <v>19</v>
      </c>
      <c r="D13" s="173"/>
      <c r="E13" s="56"/>
    </row>
    <row r="14" spans="2:5" ht="133.5" customHeight="1" thickBot="1">
      <c r="B14" s="99"/>
      <c r="C14" s="172" t="s">
        <v>16</v>
      </c>
      <c r="D14" s="172"/>
      <c r="E14" s="100"/>
    </row>
    <row r="15" spans="2:5" ht="25.5" customHeight="1" thickBot="1">
      <c r="B15" s="57"/>
      <c r="C15" s="57"/>
      <c r="D15" s="57"/>
      <c r="E15" s="62"/>
    </row>
    <row r="16" spans="2:5" ht="39" customHeight="1">
      <c r="B16" s="179" t="s">
        <v>76</v>
      </c>
      <c r="C16" s="180"/>
      <c r="D16" s="180"/>
      <c r="E16" s="181"/>
    </row>
    <row r="17" spans="2:5" ht="14.25" customHeight="1">
      <c r="B17" s="174" t="s">
        <v>74</v>
      </c>
      <c r="C17" s="175"/>
      <c r="D17" s="175"/>
      <c r="E17" s="87"/>
    </row>
    <row r="18" spans="2:5" ht="140.25" customHeight="1">
      <c r="B18" s="88"/>
      <c r="C18" s="89"/>
      <c r="D18" s="62" t="s">
        <v>8</v>
      </c>
      <c r="E18" s="87"/>
    </row>
    <row r="19" spans="2:5" ht="14.25" customHeight="1">
      <c r="B19" s="174" t="s">
        <v>73</v>
      </c>
      <c r="C19" s="175"/>
      <c r="D19" s="175"/>
      <c r="E19" s="63"/>
    </row>
    <row r="20" spans="2:5" ht="47.25" customHeight="1">
      <c r="B20" s="64"/>
      <c r="C20" s="51"/>
      <c r="D20" s="62" t="s">
        <v>7</v>
      </c>
      <c r="E20" s="65"/>
    </row>
    <row r="21" spans="2:5" ht="14.25" customHeight="1">
      <c r="B21" s="174" t="s">
        <v>53</v>
      </c>
      <c r="C21" s="175"/>
      <c r="D21" s="175"/>
      <c r="E21" s="66"/>
    </row>
    <row r="22" spans="2:5" ht="61.5" customHeight="1">
      <c r="B22" s="64"/>
      <c r="C22" s="51"/>
      <c r="D22" s="62" t="s">
        <v>26</v>
      </c>
      <c r="E22" s="65"/>
    </row>
    <row r="23" spans="2:7" s="77" customFormat="1" ht="14.25" customHeight="1">
      <c r="B23" s="174" t="s">
        <v>88</v>
      </c>
      <c r="C23" s="175"/>
      <c r="D23" s="175"/>
      <c r="E23" s="78"/>
      <c r="F23" s="50"/>
      <c r="G23" s="50"/>
    </row>
    <row r="24" spans="2:5" ht="73.5" customHeight="1">
      <c r="B24" s="64"/>
      <c r="C24" s="51"/>
      <c r="D24" s="62" t="s">
        <v>89</v>
      </c>
      <c r="E24" s="65"/>
    </row>
    <row r="25" spans="2:5" ht="14.25" customHeight="1">
      <c r="B25" s="170" t="s">
        <v>70</v>
      </c>
      <c r="C25" s="171"/>
      <c r="D25" s="171"/>
      <c r="E25" s="66"/>
    </row>
    <row r="26" spans="2:5" ht="73.5" customHeight="1">
      <c r="B26" s="71"/>
      <c r="C26" s="72"/>
      <c r="D26" s="83" t="s">
        <v>20</v>
      </c>
      <c r="E26" s="66"/>
    </row>
    <row r="27" spans="2:5" ht="14.25" customHeight="1">
      <c r="B27" s="170" t="s">
        <v>5</v>
      </c>
      <c r="C27" s="171"/>
      <c r="D27" s="171"/>
      <c r="E27" s="66"/>
    </row>
    <row r="28" spans="2:5" ht="123.75" customHeight="1">
      <c r="B28" s="64"/>
      <c r="C28" s="51"/>
      <c r="D28" s="62" t="s">
        <v>9</v>
      </c>
      <c r="E28" s="65"/>
    </row>
    <row r="29" spans="2:5" ht="14.25" customHeight="1">
      <c r="B29" s="170" t="s">
        <v>82</v>
      </c>
      <c r="C29" s="171"/>
      <c r="D29" s="171"/>
      <c r="E29" s="66"/>
    </row>
    <row r="30" spans="1:5" ht="162.75" customHeight="1">
      <c r="A30" s="52"/>
      <c r="B30" s="67"/>
      <c r="C30" s="68"/>
      <c r="D30" s="62" t="s">
        <v>12</v>
      </c>
      <c r="E30" s="65"/>
    </row>
    <row r="31" spans="1:5" ht="14.25" customHeight="1">
      <c r="A31" s="52"/>
      <c r="B31" s="170" t="s">
        <v>33</v>
      </c>
      <c r="C31" s="171"/>
      <c r="D31" s="171"/>
      <c r="E31" s="66"/>
    </row>
    <row r="32" spans="1:5" ht="89.25" customHeight="1">
      <c r="A32" s="52"/>
      <c r="B32" s="64"/>
      <c r="C32" s="51"/>
      <c r="D32" s="62" t="s">
        <v>97</v>
      </c>
      <c r="E32" s="65"/>
    </row>
    <row r="33" spans="2:5" ht="14.25" customHeight="1">
      <c r="B33" s="170" t="s">
        <v>42</v>
      </c>
      <c r="C33" s="171"/>
      <c r="D33" s="171"/>
      <c r="E33" s="66"/>
    </row>
    <row r="34" spans="2:5" ht="48" customHeight="1">
      <c r="B34" s="64"/>
      <c r="C34" s="51"/>
      <c r="D34" s="62" t="s">
        <v>0</v>
      </c>
      <c r="E34" s="69"/>
    </row>
    <row r="35" spans="2:5" ht="14.25" customHeight="1">
      <c r="B35" s="170" t="s">
        <v>31</v>
      </c>
      <c r="C35" s="171"/>
      <c r="D35" s="171"/>
      <c r="E35" s="66"/>
    </row>
    <row r="36" spans="2:5" ht="78" customHeight="1">
      <c r="B36" s="64"/>
      <c r="C36" s="51"/>
      <c r="D36" s="62" t="s">
        <v>1</v>
      </c>
      <c r="E36" s="65"/>
    </row>
    <row r="37" spans="2:5" ht="15.75" customHeight="1">
      <c r="B37" s="170" t="s">
        <v>64</v>
      </c>
      <c r="C37" s="171"/>
      <c r="D37" s="171"/>
      <c r="E37" s="66"/>
    </row>
    <row r="38" spans="2:5" ht="172.5" customHeight="1">
      <c r="B38" s="71"/>
      <c r="C38" s="72"/>
      <c r="D38" s="62" t="s">
        <v>10</v>
      </c>
      <c r="E38" s="66"/>
    </row>
    <row r="39" spans="2:5" ht="135.75" customHeight="1">
      <c r="B39" s="71"/>
      <c r="C39" s="72"/>
      <c r="D39" s="62" t="s">
        <v>18</v>
      </c>
      <c r="E39" s="66"/>
    </row>
    <row r="40" spans="2:5" ht="89.25" customHeight="1">
      <c r="B40" s="64"/>
      <c r="C40" s="51"/>
      <c r="D40" s="62" t="s">
        <v>92</v>
      </c>
      <c r="E40" s="65"/>
    </row>
    <row r="41" spans="2:5" ht="15.75" customHeight="1">
      <c r="B41" s="170" t="s">
        <v>94</v>
      </c>
      <c r="C41" s="171"/>
      <c r="D41" s="171"/>
      <c r="E41" s="66"/>
    </row>
    <row r="42" spans="2:5" ht="85.5" customHeight="1">
      <c r="B42" s="64"/>
      <c r="C42" s="51"/>
      <c r="D42" s="62" t="s">
        <v>98</v>
      </c>
      <c r="E42" s="65"/>
    </row>
    <row r="43" spans="2:5" ht="14.25" customHeight="1">
      <c r="B43" s="170" t="s">
        <v>28</v>
      </c>
      <c r="C43" s="171"/>
      <c r="D43" s="171"/>
      <c r="E43" s="66"/>
    </row>
    <row r="44" spans="2:5" ht="35.25" customHeight="1">
      <c r="B44" s="64"/>
      <c r="C44" s="51"/>
      <c r="D44" s="83" t="s">
        <v>25</v>
      </c>
      <c r="E44" s="70"/>
    </row>
    <row r="45" spans="2:5" ht="14.25" customHeight="1">
      <c r="B45" s="170" t="s">
        <v>86</v>
      </c>
      <c r="C45" s="171"/>
      <c r="D45" s="171"/>
      <c r="E45" s="66"/>
    </row>
    <row r="46" spans="2:5" ht="74.25" customHeight="1">
      <c r="B46" s="64"/>
      <c r="C46" s="51"/>
      <c r="D46" s="83" t="s">
        <v>87</v>
      </c>
      <c r="E46" s="70"/>
    </row>
    <row r="47" spans="2:5" ht="14.25" customHeight="1">
      <c r="B47" s="170" t="s">
        <v>22</v>
      </c>
      <c r="C47" s="171"/>
      <c r="D47" s="171"/>
      <c r="E47" s="66"/>
    </row>
    <row r="48" spans="2:5" ht="34.5" customHeight="1">
      <c r="B48" s="71"/>
      <c r="C48" s="72"/>
      <c r="D48" s="83" t="s">
        <v>2</v>
      </c>
      <c r="E48" s="70"/>
    </row>
    <row r="49" spans="2:5" ht="15.75" customHeight="1">
      <c r="B49" s="170" t="s">
        <v>63</v>
      </c>
      <c r="C49" s="171"/>
      <c r="D49" s="171"/>
      <c r="E49" s="66"/>
    </row>
    <row r="50" spans="2:5" ht="136.5" customHeight="1">
      <c r="B50" s="71"/>
      <c r="C50" s="72"/>
      <c r="D50" s="84" t="s">
        <v>11</v>
      </c>
      <c r="E50" s="70"/>
    </row>
    <row r="51" spans="2:5" ht="14.25" customHeight="1">
      <c r="B51" s="170" t="s">
        <v>66</v>
      </c>
      <c r="C51" s="171"/>
      <c r="D51" s="171"/>
      <c r="E51" s="66"/>
    </row>
    <row r="52" spans="2:5" ht="74.25" customHeight="1">
      <c r="B52" s="71"/>
      <c r="C52" s="72"/>
      <c r="D52" s="83" t="s">
        <v>21</v>
      </c>
      <c r="E52" s="70"/>
    </row>
    <row r="53" spans="2:5" ht="14.25" customHeight="1">
      <c r="B53" s="170" t="s">
        <v>6</v>
      </c>
      <c r="C53" s="171"/>
      <c r="D53" s="171"/>
      <c r="E53" s="66"/>
    </row>
    <row r="54" spans="2:5" ht="99.75" customHeight="1">
      <c r="B54" s="64"/>
      <c r="C54" s="51"/>
      <c r="D54" s="83" t="s">
        <v>95</v>
      </c>
      <c r="E54" s="73"/>
    </row>
    <row r="55" spans="2:5" ht="14.25" customHeight="1">
      <c r="B55" s="170" t="s">
        <v>54</v>
      </c>
      <c r="C55" s="171"/>
      <c r="D55" s="171"/>
      <c r="E55" s="66"/>
    </row>
    <row r="56" spans="2:5" ht="181.5" customHeight="1">
      <c r="B56" s="64"/>
      <c r="C56" s="51"/>
      <c r="D56" s="83" t="s">
        <v>96</v>
      </c>
      <c r="E56" s="70"/>
    </row>
    <row r="57" spans="2:5" ht="14.25" customHeight="1">
      <c r="B57" s="170" t="s">
        <v>62</v>
      </c>
      <c r="C57" s="171"/>
      <c r="D57" s="171"/>
      <c r="E57" s="66"/>
    </row>
    <row r="58" spans="2:5" ht="74.25" customHeight="1">
      <c r="B58" s="71"/>
      <c r="C58" s="72"/>
      <c r="D58" s="83" t="s">
        <v>23</v>
      </c>
      <c r="E58" s="66"/>
    </row>
    <row r="59" spans="2:5" ht="14.25" customHeight="1">
      <c r="B59" s="170" t="s">
        <v>24</v>
      </c>
      <c r="C59" s="171"/>
      <c r="D59" s="171"/>
      <c r="E59" s="66"/>
    </row>
    <row r="60" spans="2:5" ht="73.5" customHeight="1">
      <c r="B60" s="64"/>
      <c r="C60" s="51"/>
      <c r="D60" s="83" t="s">
        <v>3</v>
      </c>
      <c r="E60" s="73"/>
    </row>
    <row r="61" spans="2:5" ht="14.25" customHeight="1">
      <c r="B61" s="170" t="s">
        <v>65</v>
      </c>
      <c r="C61" s="171"/>
      <c r="D61" s="171"/>
      <c r="E61" s="66"/>
    </row>
    <row r="62" spans="2:5" ht="111.75" customHeight="1" thickBot="1">
      <c r="B62" s="61"/>
      <c r="C62" s="74"/>
      <c r="D62" s="85" t="s">
        <v>15</v>
      </c>
      <c r="E62" s="75"/>
    </row>
  </sheetData>
  <sheetProtection password="DB0F" sheet="1" objects="1" scenarios="1" selectLockedCells="1"/>
  <mergeCells count="34">
    <mergeCell ref="B21:D21"/>
    <mergeCell ref="B25:D25"/>
    <mergeCell ref="B2:E2"/>
    <mergeCell ref="B16:E16"/>
    <mergeCell ref="B5:E5"/>
    <mergeCell ref="B10:E10"/>
    <mergeCell ref="C3:D3"/>
    <mergeCell ref="C8:D8"/>
    <mergeCell ref="C6:D6"/>
    <mergeCell ref="C7:D7"/>
    <mergeCell ref="C11:D11"/>
    <mergeCell ref="C12:D12"/>
    <mergeCell ref="B59:D59"/>
    <mergeCell ref="B45:D45"/>
    <mergeCell ref="B43:D43"/>
    <mergeCell ref="C13:D13"/>
    <mergeCell ref="B17:D17"/>
    <mergeCell ref="B61:D61"/>
    <mergeCell ref="B55:D55"/>
    <mergeCell ref="B53:D53"/>
    <mergeCell ref="B57:D57"/>
    <mergeCell ref="B51:D51"/>
    <mergeCell ref="B47:D47"/>
    <mergeCell ref="B49:D49"/>
    <mergeCell ref="B27:D27"/>
    <mergeCell ref="B41:D41"/>
    <mergeCell ref="C14:D14"/>
    <mergeCell ref="B37:D37"/>
    <mergeCell ref="B31:D31"/>
    <mergeCell ref="B29:D29"/>
    <mergeCell ref="B35:D35"/>
    <mergeCell ref="B33:D33"/>
    <mergeCell ref="B19:D19"/>
    <mergeCell ref="B23:D23"/>
  </mergeCells>
  <printOptions/>
  <pageMargins left="0.18" right="0.18" top="0.32" bottom="0.59" header="0.27" footer="0.4921259845"/>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W40"/>
  <sheetViews>
    <sheetView tabSelected="1" zoomScalePageLayoutView="0" workbookViewId="0" topLeftCell="A7">
      <selection activeCell="K6" sqref="K6"/>
    </sheetView>
  </sheetViews>
  <sheetFormatPr defaultColWidth="11.421875" defaultRowHeight="12.75"/>
  <cols>
    <col min="1" max="1" width="2.140625" style="31" customWidth="1"/>
    <col min="2" max="2" width="12.28125" style="31" customWidth="1"/>
    <col min="3" max="3" width="11.140625" style="31" customWidth="1"/>
    <col min="4" max="4" width="9.8515625" style="31" customWidth="1"/>
    <col min="5" max="5" width="10.7109375" style="31" customWidth="1"/>
    <col min="6" max="6" width="10.421875" style="31" customWidth="1"/>
    <col min="7" max="7" width="12.140625" style="31" customWidth="1"/>
    <col min="8" max="8" width="9.421875" style="31" customWidth="1"/>
    <col min="9" max="9" width="13.00390625" style="31" customWidth="1"/>
    <col min="10" max="10" width="13.140625" style="31" customWidth="1"/>
    <col min="11" max="11" width="12.140625" style="31" customWidth="1"/>
    <col min="12" max="12" width="11.421875" style="31" customWidth="1"/>
    <col min="13" max="13" width="10.7109375" style="31" customWidth="1"/>
    <col min="14" max="14" width="11.28125" style="31" customWidth="1"/>
    <col min="15" max="15" width="9.00390625" style="31" customWidth="1"/>
    <col min="16" max="16" width="13.8515625" style="31" customWidth="1"/>
    <col min="17" max="17" width="12.421875" style="31" customWidth="1"/>
    <col min="18" max="18" width="10.421875" style="31" customWidth="1"/>
    <col min="19" max="19" width="13.28125" style="32" customWidth="1"/>
    <col min="20" max="20" width="13.28125" style="31" customWidth="1"/>
    <col min="21" max="21" width="11.7109375" style="31" customWidth="1"/>
    <col min="22" max="16384" width="11.421875" style="31" customWidth="1"/>
  </cols>
  <sheetData>
    <row r="1" ht="12.75">
      <c r="T1" s="104"/>
    </row>
    <row r="2" ht="12.75">
      <c r="S2" s="102"/>
    </row>
    <row r="3" spans="2:19" ht="18">
      <c r="B3" s="79" t="s">
        <v>71</v>
      </c>
      <c r="S3" s="102"/>
    </row>
    <row r="4" spans="19:22" ht="13.5" thickBot="1">
      <c r="S4" s="102"/>
      <c r="T4" s="107"/>
      <c r="U4" s="107"/>
      <c r="V4" s="107"/>
    </row>
    <row r="5" spans="2:22" ht="13.5" thickBot="1">
      <c r="B5" s="7" t="s">
        <v>40</v>
      </c>
      <c r="C5" s="8"/>
      <c r="D5" s="8"/>
      <c r="E5" s="8"/>
      <c r="F5" s="48"/>
      <c r="G5" s="48"/>
      <c r="H5" s="48"/>
      <c r="I5" s="49"/>
      <c r="S5" s="103"/>
      <c r="T5" s="108"/>
      <c r="U5" s="108"/>
      <c r="V5" s="108"/>
    </row>
    <row r="6" spans="2:22" ht="13.5" thickBot="1">
      <c r="B6" s="12" t="s">
        <v>50</v>
      </c>
      <c r="C6" s="13"/>
      <c r="D6" s="13"/>
      <c r="E6" s="13"/>
      <c r="F6" s="13"/>
      <c r="G6" s="13"/>
      <c r="H6" s="13"/>
      <c r="I6" s="14"/>
      <c r="S6" s="103"/>
      <c r="T6" s="108"/>
      <c r="U6" s="109"/>
      <c r="V6" s="108"/>
    </row>
    <row r="7" spans="2:22" ht="13.5" thickBot="1">
      <c r="B7" s="17" t="s">
        <v>58</v>
      </c>
      <c r="C7" s="18"/>
      <c r="D7" s="18"/>
      <c r="E7" s="18"/>
      <c r="F7" s="18"/>
      <c r="G7" s="18"/>
      <c r="H7" s="18"/>
      <c r="I7" s="19"/>
      <c r="K7" s="33"/>
      <c r="M7" s="33"/>
      <c r="S7" s="103"/>
      <c r="T7" s="108"/>
      <c r="U7" s="108"/>
      <c r="V7" s="108"/>
    </row>
    <row r="8" spans="2:22" ht="13.5" thickBot="1">
      <c r="B8" s="9" t="s">
        <v>59</v>
      </c>
      <c r="C8" s="10"/>
      <c r="D8" s="10"/>
      <c r="E8" s="10"/>
      <c r="F8" s="10"/>
      <c r="G8" s="10"/>
      <c r="H8" s="10"/>
      <c r="I8" s="11"/>
      <c r="M8" s="33"/>
      <c r="S8" s="103"/>
      <c r="T8" s="108"/>
      <c r="U8" s="108"/>
      <c r="V8" s="108"/>
    </row>
    <row r="9" spans="2:21" ht="12.75">
      <c r="B9" s="32"/>
      <c r="C9" s="32"/>
      <c r="D9" s="32"/>
      <c r="E9" s="32"/>
      <c r="F9" s="32"/>
      <c r="G9" s="32"/>
      <c r="H9" s="32"/>
      <c r="I9" s="32"/>
      <c r="J9" s="33"/>
      <c r="M9" s="33"/>
      <c r="S9" s="155"/>
      <c r="U9" s="33"/>
    </row>
    <row r="10" spans="2:22" ht="20.25" customHeight="1" thickBot="1">
      <c r="B10" s="34" t="s">
        <v>47</v>
      </c>
      <c r="D10" s="107"/>
      <c r="E10" s="107"/>
      <c r="F10" s="107"/>
      <c r="G10" s="107"/>
      <c r="H10" s="107"/>
      <c r="I10" s="107"/>
      <c r="J10" s="107"/>
      <c r="K10" s="107"/>
      <c r="L10" s="107"/>
      <c r="M10" s="107"/>
      <c r="N10" s="107"/>
      <c r="O10" s="107"/>
      <c r="P10" s="107"/>
      <c r="Q10" s="107"/>
      <c r="R10" s="107"/>
      <c r="S10" s="41"/>
      <c r="T10" s="107"/>
      <c r="U10" s="107"/>
      <c r="V10" s="107"/>
    </row>
    <row r="11" spans="2:23" ht="70.5" customHeight="1" thickBot="1">
      <c r="B11" s="190" t="s">
        <v>48</v>
      </c>
      <c r="C11" s="187" t="s">
        <v>55</v>
      </c>
      <c r="D11" s="187" t="s">
        <v>56</v>
      </c>
      <c r="E11" s="187" t="s">
        <v>38</v>
      </c>
      <c r="F11" s="187" t="s">
        <v>30</v>
      </c>
      <c r="G11" s="192" t="s">
        <v>44</v>
      </c>
      <c r="H11" s="25" t="s">
        <v>43</v>
      </c>
      <c r="I11" s="187" t="s">
        <v>45</v>
      </c>
      <c r="J11" s="187" t="s">
        <v>29</v>
      </c>
      <c r="K11" s="187" t="s">
        <v>32</v>
      </c>
      <c r="L11" s="187" t="s">
        <v>84</v>
      </c>
      <c r="M11" s="187" t="s">
        <v>83</v>
      </c>
      <c r="N11" s="187" t="s">
        <v>39</v>
      </c>
      <c r="O11" s="187" t="s">
        <v>27</v>
      </c>
      <c r="P11" s="187" t="s">
        <v>34</v>
      </c>
      <c r="Q11" s="25" t="s">
        <v>36</v>
      </c>
      <c r="R11" s="25" t="s">
        <v>37</v>
      </c>
      <c r="S11" s="126" t="s">
        <v>41</v>
      </c>
      <c r="T11" s="23" t="s">
        <v>49</v>
      </c>
      <c r="U11" s="185" t="s">
        <v>52</v>
      </c>
      <c r="V11" s="183" t="s">
        <v>51</v>
      </c>
      <c r="W11" s="43"/>
    </row>
    <row r="12" spans="1:23" s="32" customFormat="1" ht="12.75" customHeight="1" thickBot="1">
      <c r="A12" s="35"/>
      <c r="B12" s="191"/>
      <c r="C12" s="188"/>
      <c r="D12" s="188"/>
      <c r="E12" s="188"/>
      <c r="F12" s="188"/>
      <c r="G12" s="189"/>
      <c r="H12" s="150"/>
      <c r="I12" s="188"/>
      <c r="J12" s="188"/>
      <c r="K12" s="188"/>
      <c r="L12" s="188"/>
      <c r="M12" s="188"/>
      <c r="N12" s="188"/>
      <c r="O12" s="188"/>
      <c r="P12" s="189"/>
      <c r="Q12" s="28" t="s">
        <v>35</v>
      </c>
      <c r="R12" s="29">
        <f>IF(OR(AND(MID(Q12,4,1)&lt;&gt;"-",(MID(Q12,4,1)&lt;&gt;"/")),AND(MID(Q12,7,1)&lt;&gt;"-",MID(Q12,7,1)&lt;&gt;"/"),AND(VALUE(MID(Q12,1,3))&lt;&gt;100,VALUE(MID(Q12,1,3))&lt;&gt;110,VALUE(MID(Q12,1,3))&lt;&gt;120,VALUE(MID(Q12,1,3))&lt;&gt;130,VALUE(MID(Q12,1,3))&lt;&gt;140,VALUE(MID(Q12,1,3))&lt;&gt;150),AND(VALUE(MID(Q12,5,2))&lt;&gt;80,VALUE(MID(Q12,5,2))&lt;&gt;85,VALUE(MID(Q12,5,2))&lt;&gt;90,VALUE(MID(Q12,5,2))&lt;&gt;95),VALUE(MID(Q12,8,2))&lt;14,VALUE(MID(Q12,8,2))&gt;17),"",(MID(Q12,8,2)*25.4+MID(Q12,1,3)*(MID(Q12,5,2))*2/100)*3.1416/1000*0.961)</f>
        <v>1.856732724</v>
      </c>
      <c r="S12" s="125"/>
      <c r="T12" s="5">
        <v>0.1</v>
      </c>
      <c r="U12" s="186"/>
      <c r="V12" s="184"/>
      <c r="W12" s="43"/>
    </row>
    <row r="13" spans="1:22" ht="13.5" thickBot="1">
      <c r="A13" s="35"/>
      <c r="B13" s="129">
        <f>IF(OR(B14&lt;1,B14&gt;13000,H14&lt;1,H14&gt;5,L14&lt;12,L14&gt;16,M14&lt;37,M14&gt;45,R14&lt;1.5,R14&gt;2.5,T12&lt;-5%,T12&gt;15%),"",B14)</f>
        <v>12000</v>
      </c>
      <c r="C13" s="128">
        <f>IF(OR(B13&lt;1,B13&gt;13000,$T$12&lt;-5%,$T$12&gt;15%),"",B13/60)</f>
        <v>200</v>
      </c>
      <c r="D13" s="130">
        <f>IF(OR(B13&lt;1,B13&gt;13000,$T$12&lt;-5%,$T$12&gt;15%),"",1/C13)</f>
        <v>0.005</v>
      </c>
      <c r="E13" s="131" t="s">
        <v>75</v>
      </c>
      <c r="F13" s="132">
        <f>IF(OR(B13&lt;1,B13&gt;13000,$T$12&lt;-5%,$T$12&gt;15%),"",67/18)</f>
        <v>3.7222222222222223</v>
      </c>
      <c r="G13" s="133">
        <f>IF(OR(B13&lt;1,B13&gt;13000,$T$12&lt;-5%,$T$12&gt;15%),"",B13/(67/18))</f>
        <v>3223.880597014925</v>
      </c>
      <c r="H13" s="134">
        <f>IF(OR(B13&lt;1,B13&gt;13000,$T$12&lt;-5%,$T$12&gt;15%),"",H14)</f>
        <v>5</v>
      </c>
      <c r="I13" s="136" t="str">
        <f>IF(OR($B$14&lt;1,$B$14&gt;13000,$T$12&lt;-5%,$T$12&gt;15%),"",I14)</f>
        <v>25/25</v>
      </c>
      <c r="J13" s="132">
        <f>IF(OR(B13&lt;1,B13&gt;13000,$T$12&lt;-5%,$T$12&gt;15%),"",J14)</f>
        <v>1</v>
      </c>
      <c r="K13" s="133">
        <f>IF(OR(B13&lt;1,B13&gt;13000,$T$12&lt;-5%,$T$12&gt;15%),"",G13/J13)</f>
        <v>3223.880597014925</v>
      </c>
      <c r="L13" s="137">
        <v>14</v>
      </c>
      <c r="M13" s="138">
        <v>41</v>
      </c>
      <c r="N13" s="139">
        <f>IF(OR(B13&lt;1,B13&gt;13000,$T$12&lt;-5%,$T$12&gt;15%),"",M13/L13)</f>
        <v>2.9285714285714284</v>
      </c>
      <c r="O13" s="132">
        <f>IF(OR(B13&lt;1,B13&gt;13000,$T$12&lt;-5%,$T$12&gt;15%),"",B13/(B13/F13/J13/N13))</f>
        <v>10.900793650793652</v>
      </c>
      <c r="P13" s="140">
        <f>IF(OR(B13&lt;1,B13&gt;13000,$T$12&lt;-5%,$T$12&gt;15%),"",K13/N13)</f>
        <v>1100.8372770294866</v>
      </c>
      <c r="Q13" s="141" t="s">
        <v>35</v>
      </c>
      <c r="R13" s="142">
        <v>1.857</v>
      </c>
      <c r="S13" s="143">
        <f>IF(OR(B13&lt;1,B13&gt;13000,$T$12&lt;-5%,$T$12&gt;15%),"",IF(H13=5,(B13/(67/18))/(M13/L13)*1.857*60/1000,IF(H13=4,(B13/(67/18))/(27/23)/(M13/L13)*1.857*60/1000,IF(H13=3,(B13/(67/18))/(30/21)/(M13/L13)*1.857*60/1000,IF(H13=2,(B13/(67/18))/(29/15)/(M13/L13)*1.857*60/1000,IF(H13=1,(B13/(67/18))/(37/12)/(M13/L13)*1.857*60/1000))))))</f>
        <v>122.6552894066254</v>
      </c>
      <c r="T13" s="144">
        <f>IF(OR(B13&lt;1,B13&gt;13000,$T$12&lt;-5%,$T$12&gt;15%),"",S13*(1+T12))</f>
        <v>134.92081834728796</v>
      </c>
      <c r="U13" s="145">
        <f>IF(OR(B13&lt;1,B13&gt;13000,$T$12&lt;-5%,$T$12&gt;15%),"",S13-T13)</f>
        <v>-12.265528940662563</v>
      </c>
      <c r="V13" s="146">
        <f>IF(OR(B13&lt;1,B13&gt;13000,$T$12&lt;-5%,$T$12&gt;15%),"",(S13-T13)/ABS(S13))</f>
        <v>-0.10000000000000019</v>
      </c>
    </row>
    <row r="14" spans="2:23" ht="13.5" thickBot="1">
      <c r="B14" s="4">
        <v>12000</v>
      </c>
      <c r="C14" s="98">
        <f>IF(OR(B14&lt;1,B14&gt;13000,H14&lt;1,H14&gt;5,L14&lt;12,L14&gt;16,M14&lt;37,M14&gt;45,R14&lt;1.5,R14&gt;2.5,T12&lt;-5%,T12&gt;15%),"",B14/60)</f>
        <v>200</v>
      </c>
      <c r="D14" s="97">
        <f>IF(OR(B14&lt;1,B14&gt;13000,H14&lt;1,H14&gt;5,L14&lt;12,L14&gt;16,M14&lt;37,M14&gt;45,R14&lt;1.5,R14&gt;2.5,T12&lt;-5%,T12&gt;15%),"",1/C14)</f>
        <v>0.005</v>
      </c>
      <c r="E14" s="21" t="s">
        <v>75</v>
      </c>
      <c r="F14" s="81">
        <f>IF(OR(B14&lt;1,B14&gt;13000,H14&lt;1,H14&gt;5,L14&lt;12,L14&gt;16,M14&lt;37,M14&gt;45,R14&lt;1.5,R14&gt;2.5,T12&lt;-5%,T12&gt;15%),"",67/18)</f>
        <v>3.7222222222222223</v>
      </c>
      <c r="G14" s="135">
        <f>IF(OR(B14&lt;1,B14&gt;13000,H14&lt;1,H14&gt;5,L14&lt;12,L14&gt;16,M14&lt;37,M14&gt;45,R14&lt;1.5,R14&gt;2.5,T12&lt;-5%,T12&gt;15%),"",B14/(67/18))</f>
        <v>3223.880597014925</v>
      </c>
      <c r="H14" s="3">
        <v>5</v>
      </c>
      <c r="I14" s="147" t="str">
        <f>IF(OR(B14&lt;1,B14&gt;13000,H14&lt;1,H14&gt;5,L14&lt;12,L14&gt;16,M14&lt;37,M14&gt;45,R14&lt;1.5,R14&gt;2.5,T12&lt;-5%,T12&gt;15%),"",IF(H14=5,"25/25",IF(H14=4,"23/27",IF(H14=3,"21/30",IF(H14=2,"15/29",IF(H14=1,"12/37"))))))</f>
        <v>25/25</v>
      </c>
      <c r="J14" s="80">
        <f>IF(OR(B14&lt;1,B14&gt;13000,H14&lt;1,H14&gt;5,L14&lt;12,L16&gt;18,M14&lt;37,M14&gt;45,R14&lt;1.5,R14&gt;2.5,T12&lt;-5%,T12&gt;15%),"",IF(H14=5,25/25,IF(H14=4,27/23,IF(H14=3,30/21,IF(H14=2,29/15,IF(H14=1,37/12))))))</f>
        <v>1</v>
      </c>
      <c r="K14" s="22">
        <f>IF(OR(B14&lt;1,B14&gt;13000,H14&lt;1,H14&gt;5,L14&lt;12,L14&gt;16,M14&lt;37,M14&gt;45,R14&lt;1.5,R14&gt;2.5,T12&lt;-5%,T12&gt;15%),"",G14/J14)</f>
        <v>3223.880597014925</v>
      </c>
      <c r="L14" s="2">
        <v>14</v>
      </c>
      <c r="M14" s="2">
        <v>41</v>
      </c>
      <c r="N14" s="76">
        <f>IF(OR(B14&lt;1,B14&gt;13000,H14&lt;1,H14&gt;5,L14&lt;12,L14&gt;16,M14&lt;37,M14&gt;45,R14&lt;1.5,R14&gt;2.5,T12&lt;-5%,T12&gt;15%),"",M14/L14)</f>
        <v>2.9285714285714284</v>
      </c>
      <c r="O14" s="81">
        <f>IF(OR(B14&lt;1,B14&gt;13000,H14&lt;1,H14&gt;5,L14&lt;12,L14&gt;16,M14&lt;37,M14&gt;45,R14&lt;1.5,R14&gt;2.5,T12&lt;-5%,T12&gt;15%),"",B14/(B14/F14/J14/N14))</f>
        <v>10.900793650793652</v>
      </c>
      <c r="P14" s="22">
        <f>IF(OR(B14&lt;1,B14&gt;13000,H14&lt;1,H14&gt;5,L14&lt;12,L16&gt;18,M14&lt;37,M14&gt;45,R14&lt;1.5,R14&gt;2.5,T12&lt;-5%,T12&gt;15%),"",K14/N14)</f>
        <v>1100.8372770294866</v>
      </c>
      <c r="Q14" s="148" t="str">
        <f>IF(OR(LEN(Q12)&lt;&gt;9,Q12=""),"",IF(R14=1.857,"130/90-15",IF(ROUND(R12,3)=R14,Q12,"")))</f>
        <v>130/90-15</v>
      </c>
      <c r="R14" s="1">
        <v>1.857</v>
      </c>
      <c r="S14" s="114">
        <f>IF(OR(B14&lt;1,B14&gt;13000,H14&lt;1,H14&gt;5,L14&lt;12,L14&gt;16,M14&lt;37,M14&gt;45,R14&lt;1.5,R14&gt;2.5,$T$12&lt;-5%,$T$12&gt;15%),"",IF(H14=5,(B14/(67/18))/(M14/L14)*R14*60/1000,IF(H14=4,(B14/(67/18))/(27/23)/(M14/L14)*R14*60/1000,IF(H14=3,(B14/(67/18))/(30/21)/(M14/L14)*R14*60/1000,IF(H14=2,(B14/(67/18))/(29/15)/(M14/L14)*R14*60/1000,IF(H14=1,(B14/(67/18))/(37/12)/(M14/L14)*R14*60/1000))))))</f>
        <v>122.6552894066254</v>
      </c>
      <c r="T14" s="149">
        <f>IF(OR(B14&lt;1,B14&gt;13000,H14&lt;1,H14&gt;5,L14&lt;12,L14&gt;16,M14&lt;37,M14&gt;45,R14&lt;1.5,R14&gt;2.5,$T$12&lt;-5%,$T$12&gt;15%),"",IF(H14=5,(B14/(67/18))/(41/14)*1.857*60/1000+(S14*T12),IF(H14=4,(B14/(67/18))/(27/23)/(41/14)*1.857*60/1000+(S14*T12),IF(H14=3,(B14/(67/18))/(30/21)/(41/14)*1.857*60/1000+(S14*T12),IF(H14=2,(B14/(67/18))/(29/15)/(41/14)*1.857*60/1000+(S14*T12),IF(H14=1,(B14/(67/18))/(37/12)/(41/14)*1.857*60/1000+(S14*T12)))))))</f>
        <v>134.92081834728793</v>
      </c>
      <c r="U14" s="115">
        <f>IF(OR(B14&lt;1,B14&gt;13000,H14&lt;1,H14&gt;5,L14&lt;12,L14&gt;16,M14&lt;37,M14&gt;45,R14&lt;1.5,R14&gt;2.5,$T$12&lt;-5%,$T$12&gt;15%),"",S14-T14)</f>
        <v>-12.265528940662534</v>
      </c>
      <c r="V14" s="112">
        <f>IF(OR(B14&lt;1,B14&gt;13000,H14&lt;1,H14&gt;5,L14&lt;12,L14&gt;16,M14&lt;37,M14&gt;45,R14&lt;1.5,R14&gt;2.5,$T$12&lt;-5%,$T$12&gt;15%),"",(S14-T14)/ABS(S14))</f>
        <v>-0.09999999999999995</v>
      </c>
      <c r="W14" s="165"/>
    </row>
    <row r="15" spans="2:23" ht="13.5" thickBot="1">
      <c r="B15" s="94">
        <f>IF(OR(H15&lt;1,H15&gt;5,L15&lt;12,L15&gt;16,M15&lt;37,M15&gt;45,R15&lt;1.5,R15&gt;2.5,T15&lt;1,T12&lt;-5%,T12&gt;15%,T15&gt;159),"",G15*F15)</f>
        <v>11972.327382733145</v>
      </c>
      <c r="C15" s="98">
        <f>IF(OR(H15&lt;1,H15&gt;5,L15&lt;12,L16&gt;18,M15&lt;37,M15&gt;45,R15&lt;1.5,R15&gt;2.5,T15&lt;1,T12&lt;-5%,T12&gt;15%,T15&gt;159),"",B15/60)</f>
        <v>199.53878971221909</v>
      </c>
      <c r="D15" s="97">
        <f>IF(OR(B15&lt;1,B15&gt;13000,H15&lt;1,H15&gt;5,L15&lt;12,L15&gt;16,M15&lt;37,M15&gt;45,R15&lt;1.5,R15&gt;2.5,T15&lt;1,T12&lt;-5%,T12&gt;15%,T15&gt;159),"",1/C15)</f>
        <v>0.005011556908018889</v>
      </c>
      <c r="E15" s="21" t="s">
        <v>75</v>
      </c>
      <c r="F15" s="81">
        <f>IF(OR(H15&lt;1,H15&gt;5,L15&lt;12,L15&gt;16,M15&lt;37,M15&gt;45,R15&lt;1.5,R15&gt;2.5,T15&lt;1,T12&lt;-5%,T12&gt;15%,T15&gt;159),"",67/18)</f>
        <v>3.7222222222222223</v>
      </c>
      <c r="G15" s="92">
        <f>IF(OR(H15&lt;1,H15&gt;5,L15&lt;12,L15&gt;16,M15&lt;37,M15&gt;45,R15&lt;1.5,R15&gt;2.5,T12&lt;-5%,T12&gt;15%,T15&lt;1,T15&gt;159),"",K15*J15)</f>
        <v>3216.4461625253225</v>
      </c>
      <c r="H15" s="3">
        <v>5</v>
      </c>
      <c r="I15" s="21" t="str">
        <f>IF(OR(B15&lt;1,B15&gt;13000,H15&lt;1,H15&gt;5,L15&lt;12,L15&gt;16,M15&lt;37,M15&gt;45,R15&lt;1.5,R15&gt;2.5,T15&lt;1,T12&lt;-5%,T12&gt;15%,T15&gt;159),"",IF(H15=5,"25/25",IF(H15=4,"23/27",IF(H15=3,"21/30",IF(H15=2,"15/29",IF(H15=1,"12/37"))))))</f>
        <v>25/25</v>
      </c>
      <c r="J15" s="80">
        <f>IF(OR(H15&lt;1,H15&gt;5,L15&lt;12,L15&gt;16,M15&lt;37,M15&gt;45,R15&lt;1.5,R15&gt;2.5,T15&lt;1.5,T12&lt;-5%,T12&gt;15%,T15&gt;159),"",IF(H15=5,25/25,IF(H15=4,27/23,IF(H15=3,30/21,IF(H15=2,29/15,IF(H15=1,37/12))))))</f>
        <v>1</v>
      </c>
      <c r="K15" s="22">
        <f>IF(OR(H15&lt;1,H15&gt;5,L15&lt;12,L15&gt;16,M15&lt;37,M15&gt;45,R15&lt;1.5,R15&gt;2.5,T15&lt;1,T12&lt;-5%,T12&gt;15%,T15&gt;159),"",P15*(M15/L15))</f>
        <v>3216.4461625253225</v>
      </c>
      <c r="L15" s="2">
        <v>14</v>
      </c>
      <c r="M15" s="2">
        <v>41</v>
      </c>
      <c r="N15" s="76">
        <f>IF(OR(B15&lt;1,B15&gt;13000,H15&lt;1,H15&gt;5,L15&lt;12,L15&gt;16,M15&lt;37,M15&gt;45,R15&lt;1.5,R15&gt;2.5,T15&lt;1,T12&lt;-5%,T12&gt;15%,T15&gt;159),"",M15/L15)</f>
        <v>2.9285714285714284</v>
      </c>
      <c r="O15" s="81">
        <f>IF(OR(B15&lt;1,B15&gt;13000,H15&lt;1,H15&gt;5,L15&lt;12,L15&gt;16,M15&lt;37,M15&gt;45,R15&lt;1.5,R15&gt;2.5,T15&lt;1,T12&lt;-5%,T12&gt;15%,T15&gt;159),"",B15/(B15/F15/J15/N15))</f>
        <v>10.90079365079365</v>
      </c>
      <c r="P15" s="90">
        <f>IF(OR(H15&lt;1,H15&gt;5,L15&lt;12,L15&gt;16,M15&lt;37,M15&gt;45,R15&lt;1.5,R15&gt;2.5,T15&lt;1,T12&lt;-5%,T12&gt;15%,T15&gt;159),"",S15*1000/R15/60)</f>
        <v>1098.298689642793</v>
      </c>
      <c r="Q15" s="119" t="str">
        <f>IF(OR(LEN(Q12)&lt;&gt;9,Q12=""),"",IF(R15=1.857,"130/90-15",IF(ROUND(R12,3)=R15,Q12,"")))</f>
        <v>130/90-15</v>
      </c>
      <c r="R15" s="1">
        <v>1.857</v>
      </c>
      <c r="S15" s="16">
        <f>IF(OR(H15&lt;1,H15&gt;5,L15&lt;12,L15&gt;16,M15&lt;37,M15&gt;45,R15&lt;1.5,R15&gt;2.5,T12&lt;-5%,T12&gt;15%,T15&lt;1,T15&gt;159),"",IF(T12=0%,T15*(R15/1.857)*(1+((41/14)-(M15/L15))/ABS(M15/L15)),IF(AND(T12&lt;0%,T12&gt;-6%),T15*(R15/1.857)*(1+((41/14)-(M15/L15))/ABS(M15/L15))*(1-(T12*1.1)),IF(AND(T12&gt;0%,T12&lt;6%),T15*(R15/1.857)*(1+((41/14)-(M15/L15))/ABS(M15/L15))*(1-T12*0.96),IF(AND(T12&gt;5%,T12&lt;11%),T15*(R15/1.857)*(1+((41/14)-(M15/L15))/ABS(M15/L15))*(1-T12*0.93),IF(AND(T12&gt;10%,T12&lt;16%),T15*(R15/1.857)*(1+((41/14)-(M15/L15))/ABS(M15/L15))*(1-(T12*0.89))))))))</f>
        <v>122.37244</v>
      </c>
      <c r="T15" s="96">
        <v>134.92</v>
      </c>
      <c r="U15" s="114">
        <f>IF(OR(B15&lt;1,B15&gt;13000,H15&lt;1,H15&gt;5,L15&lt;12,L15&gt;16,M15&lt;37,M15&gt;45,R15&lt;1.5,R15&gt;2.5,T15&lt;1,T12&lt;-5%,T12&gt;15%,T15&gt;159),"",S15-T15)</f>
        <v>-12.54755999999999</v>
      </c>
      <c r="V15" s="112">
        <f>IF(OR(B15&lt;1,B15&gt;13000,H15&lt;1,H15&gt;5,L15&lt;12,L15&gt;16,M15&lt;37,M15&gt;45,R15&lt;1.5,R15&gt;2.5,T15&lt;1,T12&lt;-5%,T12&gt;15%,T15&gt;159),"",(S15-T15)/ABS(S15))</f>
        <v>-0.1025358324145534</v>
      </c>
      <c r="W15" s="166"/>
    </row>
    <row r="16" spans="1:23" ht="12.75">
      <c r="A16" s="33"/>
      <c r="B16" s="122"/>
      <c r="M16" s="33"/>
      <c r="O16" s="163"/>
      <c r="P16" s="154"/>
      <c r="Q16" s="33"/>
      <c r="R16" s="156"/>
      <c r="S16" s="153"/>
      <c r="T16" s="121"/>
      <c r="U16" s="37"/>
      <c r="V16" s="86"/>
      <c r="W16" s="105"/>
    </row>
    <row r="17" spans="2:23" ht="21" customHeight="1" thickBot="1">
      <c r="B17" s="34" t="s">
        <v>46</v>
      </c>
      <c r="D17" s="107"/>
      <c r="E17" s="107"/>
      <c r="F17" s="107"/>
      <c r="G17" s="107"/>
      <c r="H17" s="107"/>
      <c r="I17" s="107"/>
      <c r="J17" s="107"/>
      <c r="K17" s="107"/>
      <c r="N17"/>
      <c r="P17" s="162"/>
      <c r="R17" s="156"/>
      <c r="S17" s="91"/>
      <c r="T17" s="42"/>
      <c r="U17" s="38"/>
      <c r="V17" s="101"/>
      <c r="W17" s="38"/>
    </row>
    <row r="18" spans="2:19" ht="70.5" customHeight="1" thickBot="1">
      <c r="B18" s="190" t="s">
        <v>48</v>
      </c>
      <c r="C18" s="187" t="s">
        <v>55</v>
      </c>
      <c r="D18" s="25" t="s">
        <v>43</v>
      </c>
      <c r="E18" s="187" t="s">
        <v>85</v>
      </c>
      <c r="F18" s="187" t="s">
        <v>90</v>
      </c>
      <c r="G18" s="26" t="s">
        <v>36</v>
      </c>
      <c r="H18" s="25" t="s">
        <v>37</v>
      </c>
      <c r="I18" s="124" t="s">
        <v>41</v>
      </c>
      <c r="J18" s="23" t="s">
        <v>49</v>
      </c>
      <c r="K18" s="185" t="s">
        <v>52</v>
      </c>
      <c r="L18" s="183" t="s">
        <v>51</v>
      </c>
      <c r="N18" s="152"/>
      <c r="O18" s="33"/>
      <c r="S18" s="31"/>
    </row>
    <row r="19" spans="1:22" ht="13.5" thickBot="1">
      <c r="A19" s="32"/>
      <c r="B19" s="191"/>
      <c r="C19" s="188"/>
      <c r="D19" s="150"/>
      <c r="E19" s="188"/>
      <c r="F19" s="189"/>
      <c r="G19" s="28" t="s">
        <v>77</v>
      </c>
      <c r="H19" s="29">
        <f>IF(OR(AND(MID(G19,4,1)&lt;&gt;"-",(MID(G19,4,1)&lt;&gt;"/")),AND(MID(G19,7,1)&lt;&gt;"-",MID(G19,7,1)&lt;&gt;"/"),AND(VALUE(MID(G19,1,3))&lt;&gt;100,VALUE(MID(G19,1,3))&lt;&gt;110,VALUE(MID(G19,1,3))&lt;&gt;120,VALUE(MID(G19,1,3))&lt;&gt;130,VALUE(MID(G19,1,3))&lt;&gt;140,VALUE(MID(G19,1,3))&lt;&gt;150),AND(VALUE(MID(G19,5,2))&lt;&gt;80,VALUE(MID(G19,5,2))&lt;&gt;85,VALUE(MID(G19,5,2))&lt;&gt;90,VALUE(MID(G19,5,2))&lt;&gt;95),VALUE(MID(G19,8,2))&lt;14,VALUE(MID(G19,8,2))&gt;17),"",(MID(G19,8,2)*25.4+MID(G19,1,3)*(MID(G19,5,2))*2/100)*3.1416/1000*0.961)</f>
        <v>1.856732724</v>
      </c>
      <c r="I19" s="125"/>
      <c r="J19" s="5">
        <v>0.1</v>
      </c>
      <c r="K19" s="186"/>
      <c r="L19" s="184"/>
      <c r="M19" s="38"/>
      <c r="Q19" s="33"/>
      <c r="V19" s="44"/>
    </row>
    <row r="20" spans="1:22" ht="13.5" thickBot="1">
      <c r="A20" s="35"/>
      <c r="B20" s="118">
        <f>IF(OR(B21&lt;1,B21&gt;13000,D21&lt;1,D21&gt;5,E21&lt;12,E21&gt;16,F21&lt;37,F21&gt;45,H21&lt;1.5,H21&gt;2.5,J19&lt;-5%,J19&gt;15%),"",B21)</f>
        <v>12000</v>
      </c>
      <c r="C20" s="93">
        <f>IF(OR(B20&lt;1,B20&gt;13000,$J$19&lt;-5%,$J$19&gt;15%),"",B20/60)</f>
        <v>200</v>
      </c>
      <c r="D20" s="6">
        <f>IF(OR(B20&lt;1,B20&gt;13000,$J$19&lt;-5%,$J$19&gt;15%),"",D21)</f>
        <v>5</v>
      </c>
      <c r="E20" s="20">
        <v>14</v>
      </c>
      <c r="F20" s="20">
        <v>41</v>
      </c>
      <c r="G20" s="24" t="s">
        <v>35</v>
      </c>
      <c r="H20" s="113">
        <v>1.857</v>
      </c>
      <c r="I20" s="110">
        <f>IF(OR(B20&lt;1,B20&gt;13000,$J$19&lt;-5%,$J$19&gt;15%),"",(B20/(67/18))/(F20/E20)*1.857*60/1000)</f>
        <v>122.6552894066254</v>
      </c>
      <c r="J20" s="111">
        <f>IF(OR(B20&lt;1,B20&gt;13000,$J$19&lt;-5%,$J$19&gt;15%),"",I20*(1+J19))</f>
        <v>134.92081834728796</v>
      </c>
      <c r="K20" s="111">
        <f>IF(OR(B20&lt;1,B20&gt;13000,$J$19&lt;-5%,$J$19&gt;15%),"",I20-J20)</f>
        <v>-12.265528940662563</v>
      </c>
      <c r="L20" s="117">
        <f>IF(OR(B20&lt;0,B20&gt;13000,B20="",B20=0,$J$19&lt;-5%,$J$19&gt;15%),"",(I20-J20)/ABS(I20))</f>
        <v>-0.10000000000000019</v>
      </c>
      <c r="R20" s="151"/>
      <c r="S20" s="31"/>
      <c r="V20" s="45"/>
    </row>
    <row r="21" spans="1:19" ht="13.5" thickBot="1">
      <c r="A21" s="36"/>
      <c r="B21" s="4">
        <v>12000</v>
      </c>
      <c r="C21" s="15">
        <f>IF(OR(B21&lt;1,B21&gt;13000,D21&lt;1,D21&gt;5,E21&lt;12,E21&gt;16,F21&lt;37,F21&gt;45,H21&lt;1.5,H21&gt;2.5,J19&lt;-5%,J19&gt;15%,J21&lt;1,J21&gt;159),"",B21/60)</f>
        <v>200</v>
      </c>
      <c r="D21" s="3">
        <v>5</v>
      </c>
      <c r="E21" s="2">
        <v>14</v>
      </c>
      <c r="F21" s="2">
        <v>41</v>
      </c>
      <c r="G21" s="119" t="str">
        <f>IF(OR(LEN(G19)&lt;&gt;9,G19=""),"",IF(H21=1.857,"130/90-15",IF(ROUND(H19,3)=H21,G19,"")))</f>
        <v>130/90-15</v>
      </c>
      <c r="H21" s="1">
        <v>1.857</v>
      </c>
      <c r="I21" s="114">
        <f>IF(OR(B21&lt;1,B21&gt;13000,D21&lt;1,D21&gt;5,E21&lt;12,E21&gt;16,F21&lt;37,F21&gt;45,H21&lt;1.5,H21&gt;2.5,J19&lt;-5%,J19&gt;15%),"",IF(D21=5,(B21/(67/18))/(F21/E21)*H21*60/1000,IF(D21=4,(B21/(67/18))/(27/23)/(F21/E21)*H21*60/1000,IF(D21=3,(B21/(67/18))/(30/21)/(F21/E21)*H21*60/1000,IF(D21=2,(B21/(67/18))/(29/15)/(F21/E21)*H21*60/1000,IF(D21=1,(B21/(67/18))/(37/12)/(F21/E21)*H21*60/1000))))))</f>
        <v>122.6552894066254</v>
      </c>
      <c r="J21" s="115">
        <f>IF(OR(B21&lt;1,B21&gt;13000,D21&lt;1,D21&gt;5,E21&lt;12,E21&gt;16,F21&lt;37,F21&gt;45,H21&lt;1.5,H21&gt;2.5,J19&lt;-5%,J19&gt;15%),"",IF(D21=5,(B21/(67/18))/(41/14)*1.857*60/1000+(I21*J19),IF(D21=4,(B21/(67/18))/(27/23)/(41/14)*1.857*60/1000+(I21*J19),IF(D21=3,(B21/(67/18))/(30/21)/(41/14)*1.857*60/1000+(I21*J19),IF(D21=2,(B21/(67/18))/(29/15)/(41/14)*1.857*60/1000+(I21*J19),IF(D21=1,(B21/(67/18))/(37/12)/(41/14)*1.857*60/1000+(I21*J19)))))))</f>
        <v>134.92081834728793</v>
      </c>
      <c r="K21" s="115">
        <f>IF(OR(B21&lt;1,B21&gt;13000,D21&lt;1,D21&gt;5,E21&lt;12,E21&gt;16,F21&lt;37,F21&gt;45,H21&lt;1.5,H21&gt;2.5,J19&lt;-5%,J19&gt;15%),"",I21-J21)</f>
        <v>-12.265528940662534</v>
      </c>
      <c r="L21" s="116">
        <f>IF(OR(B21&lt;1,B21&gt;13000,D21&lt;1,D21&gt;5,E21&lt;12,E21&gt;16,F21&lt;37,F21&gt;45,H21&lt;1.5,H21&gt;2.5,J19&lt;-5%,J19&gt;15%),"",(I21-J21)/ABS(I21))</f>
        <v>-0.09999999999999995</v>
      </c>
      <c r="S21" s="31"/>
    </row>
    <row r="22" spans="2:21" ht="13.5" thickBot="1">
      <c r="B22" s="94">
        <f>IF(OR(D22&lt;1,D22&gt;5,E22&lt;12,E22&gt;16,F22&lt;37,F22&gt;45,H22&lt;1.5,H22&gt;2.5,J19&lt;-5%,J19&gt;15%,J22&lt;1,J22&gt;159),"",IF(D22=5,(I22*1000/H22/60)*(F22/E22)*(67/18),IF(D22=4,(I22*1000/H22/60)*(27/23)*(F22/E22)*(67/18),IF(D22=3,(I22*1000/H22/60)*(30/21)*(F22/E22)*(67/18),IF(D22=2,(I22*1000/H22/60)*(29/15)*(F22/E22)*(67/18),IF(D22=1,(I22*1000/H22/60)*(37/12)*(F22/E22)*(67/18)))))))</f>
        <v>11972.327382733145</v>
      </c>
      <c r="C22" s="15">
        <f>IF(OR(B22&lt;1,B22&gt;13000,D22&lt;1,D22&gt;5,E22&lt;12,E22&gt;16,F22&lt;37,F22&gt;45,H22&lt;1.5,H22&gt;2.5,J19&lt;-5%,J19&gt;15%,J22&lt;1,J22&gt;159),"",B22/60)</f>
        <v>199.53878971221909</v>
      </c>
      <c r="D22" s="3">
        <v>5</v>
      </c>
      <c r="E22" s="2">
        <v>14</v>
      </c>
      <c r="F22" s="2">
        <v>41</v>
      </c>
      <c r="G22" s="119" t="str">
        <f>IF(OR(LEN(G19)&lt;&gt;9,G19=""),"",IF(H22=1.857,"130/90-15",IF(ROUND(H19,3)=H22,G19,"")))</f>
        <v>130/90-15</v>
      </c>
      <c r="H22" s="1">
        <v>1.857</v>
      </c>
      <c r="I22" s="16">
        <f>IF(OR(D22&lt;1,D22&gt;5,E22&lt;12,E22&gt;16,F22&lt;37,F22&gt;45,H22&lt;1.5,H22&gt;2.5,J19&lt;-5%,J19&gt;15%,J22&lt;1,J22&gt;159),"",IF(J19=0%,J22*(H22/1.857)*(1+((41/14)-(F22/E22))/ABS(F22/E22)),IF(AND(J19&lt;0%,J19&gt;-6%),J22*(H22/1.857)*(1+((41/14)-(F22/E22))/ABS(F22/E22))*(1-(J19*1.1)),IF(AND(J19&gt;0%,J19&lt;6%),J22*(H22/1.857)*(1+((41/14)-(F22/E22))/ABS(F22/E22))*(1-J19*0.96),IF(AND(J19&gt;5%,J19&lt;11%),J22*(H22/1.857)*(1+((41/14)-(F22/E22))/ABS(F22/E22))*(1-J19*0.93),IF(AND(J19&gt;10%,J19&lt;16%),J22*(H22/1.857)*(1+((41/14)-(F22/E22))/ABS(F22/E22))*(1-(J19*0.89))))))))</f>
        <v>122.37244</v>
      </c>
      <c r="J22" s="95">
        <v>134.92</v>
      </c>
      <c r="K22" s="114">
        <f>IF(OR(B22&gt;13000,D22&lt;1,D22&gt;5,E22&lt;12,E22&gt;16,F22&lt;37,F22&gt;45,H22&lt;1.5,H22&gt;2.5,J19&lt;-5%,J19&gt;15%,J22&lt;1,J22&gt;159),"",I22-J22)</f>
        <v>-12.54755999999999</v>
      </c>
      <c r="L22" s="112">
        <f>IF(OR(B22&lt;1,B22&gt;13000,D22&lt;1,D22&gt;5,E22&lt;12,E22&gt;16,F22&lt;37,F22&gt;45,H22&lt;1.5,H22&gt;2.5,J19&lt;-5%,J19&gt;15%,J22&lt;1,J22&gt;159),"",(I22-J22)/ABS(I22))</f>
        <v>-0.1025358324145534</v>
      </c>
      <c r="M22" s="166"/>
      <c r="N22" s="41"/>
      <c r="O22" s="41"/>
      <c r="P22" s="41"/>
      <c r="Q22" s="32"/>
      <c r="R22" s="32"/>
      <c r="T22" s="32"/>
      <c r="U22" s="32"/>
    </row>
    <row r="23" spans="3:21" ht="12.75">
      <c r="C23" s="161"/>
      <c r="D23" s="32"/>
      <c r="E23" s="32"/>
      <c r="F23" s="50"/>
      <c r="G23"/>
      <c r="H23" s="123"/>
      <c r="I23" s="40"/>
      <c r="J23" s="40"/>
      <c r="K23" s="40"/>
      <c r="L23" s="120"/>
      <c r="M23" s="106"/>
      <c r="N23" s="41"/>
      <c r="O23" s="41"/>
      <c r="P23" s="41"/>
      <c r="Q23" s="32"/>
      <c r="R23" s="32"/>
      <c r="T23" s="32"/>
      <c r="U23" s="32"/>
    </row>
    <row r="24" spans="2:21" ht="21" customHeight="1" thickBot="1">
      <c r="B24" s="34" t="s">
        <v>60</v>
      </c>
      <c r="C24" s="32"/>
      <c r="D24" s="32"/>
      <c r="E24" s="32"/>
      <c r="F24" s="32"/>
      <c r="G24" s="127"/>
      <c r="H24" s="42"/>
      <c r="I24" s="38"/>
      <c r="L24" s="32"/>
      <c r="N24" s="41"/>
      <c r="O24" s="41"/>
      <c r="P24" s="41"/>
      <c r="Q24" s="32"/>
      <c r="R24" s="32"/>
      <c r="T24" s="32"/>
      <c r="U24" s="32"/>
    </row>
    <row r="25" spans="2:21" ht="53.25" customHeight="1" thickBot="1">
      <c r="B25" s="27" t="s">
        <v>57</v>
      </c>
      <c r="C25" s="23" t="s">
        <v>78</v>
      </c>
      <c r="D25" s="23" t="s">
        <v>79</v>
      </c>
      <c r="E25" s="23" t="s">
        <v>69</v>
      </c>
      <c r="F25" s="167" t="s">
        <v>72</v>
      </c>
      <c r="G25" s="46"/>
      <c r="H25" s="159"/>
      <c r="I25" s="38"/>
      <c r="L25" s="32"/>
      <c r="N25" s="41"/>
      <c r="O25" s="41"/>
      <c r="P25" s="41"/>
      <c r="Q25" s="32"/>
      <c r="R25" s="32"/>
      <c r="T25" s="32"/>
      <c r="U25" s="32"/>
    </row>
    <row r="26" spans="2:17" ht="13.5" thickBot="1">
      <c r="B26" s="28" t="s">
        <v>93</v>
      </c>
      <c r="C26" s="29">
        <f>IF(OR(AND(MID(B26,4,1)&lt;&gt;"-",(MID(B26,4,1)&lt;&gt;"/")),AND(MID(B26,7,1)&lt;&gt;"-",MID(B26,7,1)&lt;&gt;"/"),AND(VALUE(MID(B26,1,3))&lt;&gt;100,VALUE(MID(B26,1,3))&lt;&gt;110,VALUE(MID(B26,1,3))&lt;&gt;120,VALUE(MID(B26,1,3))&lt;&gt;130,VALUE(MID(B26,1,3))&lt;&gt;140,VALUE(MID(B26,1,3))&lt;&gt;150),AND(VALUE(MID(B26,5,2))&lt;&gt;80,VALUE(MID(B26,5,2))&lt;&gt;85,VALUE(MID(B26,5,2))&lt;&gt;90,VALUE(MID(B26,5,2))&lt;&gt;95),VALUE(MID(B26,8,2))&lt;14,VALUE(MID(B26,8,2))&gt;17),"",(MID(B26,8,2)*25.4+MID(B26,1,3)*(MID(B26,5,2))*2/100)*3.1416/1000)</f>
        <v>1.9088361599999997</v>
      </c>
      <c r="D26" s="29">
        <f>IF(OR(B26="",C26=""),"",(MID(B26,8,2)*25.4+MID(B26,1,3)*(MID(B26,5,2))*2/100)*3.1416/1000*0.961)</f>
        <v>1.8343915497599996</v>
      </c>
      <c r="E26" s="160">
        <f>-(C26-D26)*1000</f>
        <v>-74.44461024000005</v>
      </c>
      <c r="F26" s="168">
        <f>(D26-C26)/ABS(C26)</f>
        <v>-0.03900000000000003</v>
      </c>
      <c r="G26" s="40"/>
      <c r="H26" s="157"/>
      <c r="I26" s="38"/>
      <c r="L26" s="32"/>
      <c r="N26" s="32"/>
      <c r="O26" s="32"/>
      <c r="P26" s="32"/>
      <c r="Q26" s="32"/>
    </row>
    <row r="27" spans="2:17" ht="13.5" thickBot="1">
      <c r="B27" s="30" t="s">
        <v>81</v>
      </c>
      <c r="C27" s="164">
        <f>C26/3.1416*1000</f>
        <v>607.5999999999999</v>
      </c>
      <c r="D27" s="164">
        <f>D26/3.1416*1000</f>
        <v>583.9035999999999</v>
      </c>
      <c r="E27" s="164">
        <f>-(C27-D27)</f>
        <v>-23.69640000000004</v>
      </c>
      <c r="F27" s="169">
        <f>(D27-C27)/ABS(C27)</f>
        <v>-0.03900000000000007</v>
      </c>
      <c r="G27" s="32"/>
      <c r="H27" s="158"/>
      <c r="I27" s="39"/>
      <c r="J27" s="32"/>
      <c r="K27" s="32"/>
      <c r="L27" s="32"/>
      <c r="M27" s="32"/>
      <c r="N27" s="32"/>
      <c r="O27" s="32"/>
      <c r="P27" s="32"/>
      <c r="Q27" s="32"/>
    </row>
    <row r="28" spans="2:17" ht="12.75">
      <c r="B28" s="46"/>
      <c r="C28" s="32"/>
      <c r="D28" s="32"/>
      <c r="E28" s="39"/>
      <c r="F28" s="32"/>
      <c r="G28" s="32"/>
      <c r="H28" s="32"/>
      <c r="I28" s="39"/>
      <c r="J28" s="32"/>
      <c r="K28" s="32"/>
      <c r="L28" s="32"/>
      <c r="M28" s="32"/>
      <c r="N28" s="32"/>
      <c r="O28" s="32"/>
      <c r="P28" s="32"/>
      <c r="Q28" s="32"/>
    </row>
    <row r="29" spans="2:17" ht="12.75">
      <c r="B29" s="82"/>
      <c r="C29" s="32"/>
      <c r="D29" s="32"/>
      <c r="E29" s="32"/>
      <c r="F29" s="32"/>
      <c r="G29" s="32"/>
      <c r="H29" s="32"/>
      <c r="I29" s="39"/>
      <c r="J29" s="32"/>
      <c r="K29" s="32"/>
      <c r="L29" s="32"/>
      <c r="M29" s="32"/>
      <c r="N29" s="32"/>
      <c r="O29" s="32"/>
      <c r="P29" s="32"/>
      <c r="Q29" s="32"/>
    </row>
    <row r="30" spans="3:17" ht="12.75">
      <c r="C30" s="32"/>
      <c r="D30" s="32"/>
      <c r="E30" s="32"/>
      <c r="F30" s="32"/>
      <c r="G30" s="32"/>
      <c r="H30" s="32"/>
      <c r="I30" s="39"/>
      <c r="J30" s="32"/>
      <c r="K30" s="32"/>
      <c r="L30" s="32"/>
      <c r="M30" s="32"/>
      <c r="N30" s="32"/>
      <c r="O30" s="32"/>
      <c r="P30" s="32"/>
      <c r="Q30" s="32"/>
    </row>
    <row r="31" spans="2:17" ht="12.75">
      <c r="B31" s="33"/>
      <c r="C31" s="32"/>
      <c r="D31" s="32"/>
      <c r="E31" s="32"/>
      <c r="F31" s="32"/>
      <c r="G31" s="32"/>
      <c r="H31" s="32"/>
      <c r="I31" s="39"/>
      <c r="J31" s="32"/>
      <c r="K31" s="32"/>
      <c r="L31" s="32"/>
      <c r="M31" s="32"/>
      <c r="N31" s="32"/>
      <c r="O31" s="32"/>
      <c r="P31" s="32"/>
      <c r="Q31" s="32"/>
    </row>
    <row r="32" spans="2:17" ht="13.5">
      <c r="B32" s="47"/>
      <c r="C32" s="32"/>
      <c r="D32" s="32"/>
      <c r="E32" s="32"/>
      <c r="F32" s="32"/>
      <c r="G32" s="32"/>
      <c r="H32" s="32"/>
      <c r="I32" s="39"/>
      <c r="J32" s="32"/>
      <c r="K32" s="32"/>
      <c r="L32" s="32"/>
      <c r="M32" s="32"/>
      <c r="N32" s="32"/>
      <c r="O32" s="32"/>
      <c r="P32" s="32"/>
      <c r="Q32" s="32"/>
    </row>
    <row r="33" spans="2:13" ht="12.75">
      <c r="B33" s="127"/>
      <c r="I33" s="39"/>
      <c r="J33" s="32"/>
      <c r="K33" s="32"/>
      <c r="L33" s="32"/>
      <c r="M33" s="32"/>
    </row>
    <row r="34" spans="2:13" ht="12.75">
      <c r="B34" s="33"/>
      <c r="I34" s="39"/>
      <c r="J34" s="32"/>
      <c r="K34" s="32"/>
      <c r="L34" s="32"/>
      <c r="M34" s="32"/>
    </row>
    <row r="35" spans="2:13" ht="12.75">
      <c r="B35" s="153"/>
      <c r="I35" s="39"/>
      <c r="J35" s="32"/>
      <c r="K35" s="32"/>
      <c r="L35" s="32"/>
      <c r="M35" s="32"/>
    </row>
    <row r="36" spans="9:13" ht="12.75">
      <c r="I36" s="39"/>
      <c r="J36" s="32"/>
      <c r="K36" s="32"/>
      <c r="L36" s="32"/>
      <c r="M36" s="32"/>
    </row>
    <row r="37" spans="9:12" ht="12.75">
      <c r="I37" s="39"/>
      <c r="K37" s="32"/>
      <c r="L37" s="32"/>
    </row>
    <row r="40" ht="12.75">
      <c r="B40" s="33"/>
    </row>
  </sheetData>
  <sheetProtection selectLockedCells="1"/>
  <mergeCells count="22">
    <mergeCell ref="B18:B19"/>
    <mergeCell ref="C18:C19"/>
    <mergeCell ref="J11:J12"/>
    <mergeCell ref="G11:G12"/>
    <mergeCell ref="B11:B12"/>
    <mergeCell ref="C11:C12"/>
    <mergeCell ref="E18:E19"/>
    <mergeCell ref="D11:D12"/>
    <mergeCell ref="L18:L19"/>
    <mergeCell ref="L11:L12"/>
    <mergeCell ref="K11:K12"/>
    <mergeCell ref="F18:F19"/>
    <mergeCell ref="K18:K19"/>
    <mergeCell ref="I11:I12"/>
    <mergeCell ref="V11:V12"/>
    <mergeCell ref="U11:U12"/>
    <mergeCell ref="E11:E12"/>
    <mergeCell ref="F11:F12"/>
    <mergeCell ref="P11:P12"/>
    <mergeCell ref="O11:O12"/>
    <mergeCell ref="N11:N12"/>
    <mergeCell ref="M11:M12"/>
  </mergeCells>
  <conditionalFormatting sqref="I22">
    <cfRule type="expression" priority="1" dxfId="14" stopIfTrue="1">
      <formula>OR(B22&lt;1,B22&gt;13000)</formula>
    </cfRule>
  </conditionalFormatting>
  <conditionalFormatting sqref="C15">
    <cfRule type="expression" priority="2" dxfId="14" stopIfTrue="1">
      <formula>OR(B15&lt;1,B15&gt;13000)</formula>
    </cfRule>
  </conditionalFormatting>
  <conditionalFormatting sqref="J15">
    <cfRule type="expression" priority="3" dxfId="14" stopIfTrue="1">
      <formula>OR(B15&lt;1,B15&gt;13000)</formula>
    </cfRule>
  </conditionalFormatting>
  <conditionalFormatting sqref="K15">
    <cfRule type="expression" priority="4" dxfId="14" stopIfTrue="1">
      <formula>OR(B15&lt;1,B15&gt;13000)</formula>
    </cfRule>
  </conditionalFormatting>
  <conditionalFormatting sqref="P15">
    <cfRule type="expression" priority="5" dxfId="14" stopIfTrue="1">
      <formula>OR(B15&lt;1,B15&gt;13000)</formula>
    </cfRule>
  </conditionalFormatting>
  <conditionalFormatting sqref="S15">
    <cfRule type="expression" priority="6" dxfId="14" stopIfTrue="1">
      <formula>OR(B15&lt;1,B15&gt;13000)</formula>
    </cfRule>
  </conditionalFormatting>
  <conditionalFormatting sqref="B13 B20">
    <cfRule type="expression" priority="7" dxfId="8" stopIfTrue="1">
      <formula>OR(B14="",B13="")</formula>
    </cfRule>
    <cfRule type="expression" priority="8" dxfId="7" stopIfTrue="1">
      <formula>OR(B13&lt;1,B13&gt;13000)</formula>
    </cfRule>
  </conditionalFormatting>
  <conditionalFormatting sqref="B15">
    <cfRule type="expression" priority="9" dxfId="8" stopIfTrue="1">
      <formula>OR(B14="",B15="")</formula>
    </cfRule>
    <cfRule type="expression" priority="10" dxfId="21" stopIfTrue="1">
      <formula>OR(B15&lt;1,B15&gt;13000)</formula>
    </cfRule>
  </conditionalFormatting>
  <conditionalFormatting sqref="Q12 G19 B26">
    <cfRule type="expression" priority="11" dxfId="11" stopIfTrue="1">
      <formula>B12=""</formula>
    </cfRule>
    <cfRule type="expression" priority="12" dxfId="7" stopIfTrue="1">
      <formula>ISERROR(C12)</formula>
    </cfRule>
    <cfRule type="expression" priority="13" dxfId="7" stopIfTrue="1">
      <formula>OR(C12="",LEN(B12)&lt;&gt;9)</formula>
    </cfRule>
  </conditionalFormatting>
  <conditionalFormatting sqref="C27:F27 E26:F26 Q14:Q15 G21:G22">
    <cfRule type="expression" priority="14" dxfId="17" stopIfTrue="1">
      <formula>ISERROR(C14)</formula>
    </cfRule>
  </conditionalFormatting>
  <conditionalFormatting sqref="C26:D26 R12 H19">
    <cfRule type="expression" priority="15" dxfId="14" stopIfTrue="1">
      <formula>ISERROR(C12)</formula>
    </cfRule>
  </conditionalFormatting>
  <conditionalFormatting sqref="F15">
    <cfRule type="expression" priority="16" dxfId="15" stopIfTrue="1">
      <formula>OR(B15&lt;1,B15&gt;13000)</formula>
    </cfRule>
  </conditionalFormatting>
  <conditionalFormatting sqref="G15">
    <cfRule type="expression" priority="17" dxfId="14" stopIfTrue="1">
      <formula>OR(B15&lt;1,B15&gt;13000)</formula>
    </cfRule>
  </conditionalFormatting>
  <conditionalFormatting sqref="J22">
    <cfRule type="expression" priority="18" dxfId="11" stopIfTrue="1">
      <formula>OR(D22&lt;1,D22&gt;5,E22&lt;12,E22&gt;16,F22&lt;37,F22&gt;45,H22&lt;1.5,H22&gt;2.5,J19&lt;-5%,J19&gt;15%)</formula>
    </cfRule>
    <cfRule type="expression" priority="19" dxfId="7" stopIfTrue="1">
      <formula>OR(B22&lt;1,B22&gt;13000,J22&lt;1,J22&gt;159)</formula>
    </cfRule>
  </conditionalFormatting>
  <conditionalFormatting sqref="T15">
    <cfRule type="expression" priority="20" dxfId="11" stopIfTrue="1">
      <formula>OR(H15&lt;1,H15&gt;5,L15&lt;12,L15&gt;16,M15&lt;37,M15&gt;45,R15&lt;1.5,R15&gt;2.5,T12&lt;-5%,T12&gt;15%)</formula>
    </cfRule>
    <cfRule type="expression" priority="21" dxfId="7" stopIfTrue="1">
      <formula>OR(B15&lt;1,B15&gt;13000,T15&lt;1,T15&gt;159)</formula>
    </cfRule>
  </conditionalFormatting>
  <conditionalFormatting sqref="D21:D22 H15">
    <cfRule type="expression" priority="22" dxfId="0" stopIfTrue="1">
      <formula>OR(D15&lt;1,D15&gt;5)</formula>
    </cfRule>
  </conditionalFormatting>
  <conditionalFormatting sqref="B22">
    <cfRule type="cellIs" priority="23" dxfId="8" operator="equal" stopIfTrue="1">
      <formula>""</formula>
    </cfRule>
    <cfRule type="expression" priority="24" dxfId="7" stopIfTrue="1">
      <formula>OR(B22&lt;1,B22&gt;13000)</formula>
    </cfRule>
  </conditionalFormatting>
  <conditionalFormatting sqref="B14 B21">
    <cfRule type="expression" priority="25" dxfId="0" stopIfTrue="1">
      <formula>OR(B14="",B14&lt;1,B14&gt;13000)</formula>
    </cfRule>
  </conditionalFormatting>
  <conditionalFormatting sqref="J19 T12">
    <cfRule type="expression" priority="26" dxfId="0" stopIfTrue="1">
      <formula>OR(J12&gt;15%,J12&lt;-5%)</formula>
    </cfRule>
  </conditionalFormatting>
  <conditionalFormatting sqref="H14">
    <cfRule type="expression" priority="27" dxfId="0" stopIfTrue="1">
      <formula>OR(H14&lt;1,H14&gt;5,H14="")</formula>
    </cfRule>
  </conditionalFormatting>
  <conditionalFormatting sqref="L14:L15 E21:E22">
    <cfRule type="expression" priority="28" dxfId="0" stopIfTrue="1">
      <formula>OR(E14&lt;12,E14&gt;16)</formula>
    </cfRule>
  </conditionalFormatting>
  <conditionalFormatting sqref="M14:M15 F21:F22">
    <cfRule type="expression" priority="29" dxfId="0" stopIfTrue="1">
      <formula>OR(F14&lt;37,F14&gt;45)</formula>
    </cfRule>
  </conditionalFormatting>
  <conditionalFormatting sqref="H21 R14:R15">
    <cfRule type="expression" priority="30" dxfId="0" stopIfTrue="1">
      <formula>OR(H14="",H14&lt;1.5,H14&gt;2.5)</formula>
    </cfRule>
  </conditionalFormatting>
  <conditionalFormatting sqref="H22">
    <cfRule type="expression" priority="31" dxfId="0" stopIfTrue="1">
      <formula>OR(H22&lt;1.5,H22&gt;2.5)</formula>
    </cfRule>
  </conditionalFormatting>
  <printOptions/>
  <pageMargins left="0.787401575" right="0.787401575" top="0.984251969" bottom="0.984251969" header="0.4921259845" footer="0.4921259845"/>
  <pageSetup horizontalDpi="300" verticalDpi="300" orientation="portrait" paperSize="9" r:id="rId3"/>
  <ignoredErrors>
    <ignoredError sqref="I14:I15" twoDigitTextYear="1"/>
    <ignoredError sqref="G21:G22 Q14:Q15 H19 R12 C26:C27 E26:F26 D27:F27"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Microsoft</cp:lastModifiedBy>
  <cp:lastPrinted>2011-02-23T00:30:31Z</cp:lastPrinted>
  <dcterms:created xsi:type="dcterms:W3CDTF">1996-10-21T11:03:58Z</dcterms:created>
  <dcterms:modified xsi:type="dcterms:W3CDTF">2017-06-19T21:47:32Z</dcterms:modified>
  <cp:category/>
  <cp:version/>
  <cp:contentType/>
  <cp:contentStatus/>
</cp:coreProperties>
</file>