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disclosed\Desktop\Bonjour\Cours\UTBM\ER63\"/>
    </mc:Choice>
  </mc:AlternateContent>
  <bookViews>
    <workbookView xWindow="0" yWindow="0" windowWidth="28800" windowHeight="12210" tabRatio="934" activeTab="1"/>
  </bookViews>
  <sheets>
    <sheet name="Profil énergétique d'un train" sheetId="1" r:id="rId1"/>
    <sheet name="Dimensionnement" sheetId="2" r:id="rId2"/>
  </sheets>
  <definedNames>
    <definedName name="_xlnm.Print_Area" localSheetId="0">'Profil énergétique d''un train'!$A$1:$AC$64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F94" i="2"/>
  <c r="F91" i="2"/>
  <c r="F84" i="2"/>
  <c r="F81" i="2"/>
  <c r="F74" i="2"/>
  <c r="F71" i="2"/>
  <c r="F64" i="2"/>
  <c r="F61" i="2"/>
  <c r="D94" i="2"/>
  <c r="D91" i="2"/>
  <c r="D88" i="2"/>
  <c r="C94" i="2"/>
  <c r="E94" i="2" s="1"/>
  <c r="C91" i="2"/>
  <c r="E91" i="2" s="1"/>
  <c r="C88" i="2"/>
  <c r="E88" i="2" s="1"/>
  <c r="D84" i="2"/>
  <c r="D81" i="2"/>
  <c r="D78" i="2"/>
  <c r="C84" i="2"/>
  <c r="E84" i="2" s="1"/>
  <c r="C81" i="2"/>
  <c r="E81" i="2" s="1"/>
  <c r="C78" i="2"/>
  <c r="E78" i="2" s="1"/>
  <c r="D74" i="2"/>
  <c r="D71" i="2"/>
  <c r="D68" i="2"/>
  <c r="C74" i="2"/>
  <c r="E74" i="2" s="1"/>
  <c r="C71" i="2"/>
  <c r="C68" i="2"/>
  <c r="E68" i="2" s="1"/>
  <c r="E64" i="2"/>
  <c r="E61" i="2"/>
  <c r="E58" i="2"/>
  <c r="D64" i="2"/>
  <c r="D61" i="2"/>
  <c r="C64" i="2"/>
  <c r="D58" i="2"/>
  <c r="F58" i="2" s="1"/>
  <c r="C61" i="2"/>
  <c r="C58" i="2"/>
  <c r="J51" i="2"/>
  <c r="J35" i="2"/>
  <c r="J18" i="2"/>
  <c r="J21" i="2"/>
  <c r="J15" i="2"/>
  <c r="I51" i="2"/>
  <c r="I48" i="2"/>
  <c r="J48" i="2" s="1"/>
  <c r="I45" i="2"/>
  <c r="J45" i="2" s="1"/>
  <c r="I41" i="2"/>
  <c r="J41" i="2" s="1"/>
  <c r="I38" i="2"/>
  <c r="J38" i="2" s="1"/>
  <c r="I35" i="2"/>
  <c r="I31" i="2"/>
  <c r="J31" i="2" s="1"/>
  <c r="I28" i="2"/>
  <c r="J28" i="2" s="1"/>
  <c r="I25" i="2"/>
  <c r="J25" i="2" s="1"/>
  <c r="I21" i="2"/>
  <c r="I18" i="2"/>
  <c r="I15" i="2"/>
  <c r="E51" i="2"/>
  <c r="D45" i="2"/>
  <c r="F51" i="2" s="1"/>
  <c r="C45" i="2"/>
  <c r="D35" i="2"/>
  <c r="F41" i="2" s="1"/>
  <c r="C35" i="2"/>
  <c r="F31" i="2"/>
  <c r="F28" i="2"/>
  <c r="H28" i="2" s="1"/>
  <c r="F25" i="2"/>
  <c r="H25" i="2" s="1"/>
  <c r="F21" i="2"/>
  <c r="G21" i="2" s="1"/>
  <c r="F18" i="2"/>
  <c r="G18" i="2" s="1"/>
  <c r="F15" i="2"/>
  <c r="H15" i="2" s="1"/>
  <c r="E31" i="2"/>
  <c r="G31" i="2" s="1"/>
  <c r="E28" i="2"/>
  <c r="E25" i="2"/>
  <c r="G25" i="2" s="1"/>
  <c r="E21" i="2"/>
  <c r="E18" i="2"/>
  <c r="E15" i="2"/>
  <c r="D25" i="2"/>
  <c r="C25" i="2"/>
  <c r="D15" i="2"/>
  <c r="C15" i="2"/>
  <c r="H91" i="2" l="1"/>
  <c r="H81" i="2"/>
  <c r="H71" i="2"/>
  <c r="G91" i="2"/>
  <c r="F88" i="2"/>
  <c r="H88" i="2" s="1"/>
  <c r="H94" i="2"/>
  <c r="G81" i="2"/>
  <c r="F78" i="2"/>
  <c r="H78" i="2" s="1"/>
  <c r="H84" i="2"/>
  <c r="G71" i="2"/>
  <c r="F68" i="2"/>
  <c r="H68" i="2" s="1"/>
  <c r="H74" i="2"/>
  <c r="G58" i="2"/>
  <c r="H58" i="2"/>
  <c r="G28" i="2"/>
  <c r="H31" i="2"/>
  <c r="G15" i="2"/>
  <c r="H18" i="2"/>
  <c r="H21" i="2"/>
  <c r="G64" i="2"/>
  <c r="G51" i="2"/>
  <c r="H51" i="2"/>
  <c r="E45" i="2"/>
  <c r="E48" i="2"/>
  <c r="F45" i="2"/>
  <c r="H45" i="2" s="1"/>
  <c r="F48" i="2"/>
  <c r="E35" i="2"/>
  <c r="E38" i="2"/>
  <c r="E41" i="2"/>
  <c r="G41" i="2" s="1"/>
  <c r="F35" i="2"/>
  <c r="F38" i="2"/>
  <c r="N63" i="1"/>
  <c r="N62" i="1"/>
  <c r="N64" i="1" s="1"/>
  <c r="N47" i="1"/>
  <c r="N46" i="1"/>
  <c r="N48" i="1" s="1"/>
  <c r="N31" i="1"/>
  <c r="N30" i="1"/>
  <c r="N32" i="1" s="1"/>
  <c r="N16" i="1"/>
  <c r="N15" i="1"/>
  <c r="N14" i="1"/>
  <c r="I10" i="1"/>
  <c r="I8" i="1"/>
  <c r="I2" i="1"/>
  <c r="F59" i="1"/>
  <c r="F60" i="1"/>
  <c r="F61" i="1"/>
  <c r="F62" i="1"/>
  <c r="F63" i="1"/>
  <c r="F58" i="1"/>
  <c r="F51" i="1"/>
  <c r="F52" i="1"/>
  <c r="F53" i="1"/>
  <c r="F54" i="1"/>
  <c r="F55" i="1"/>
  <c r="F50" i="1"/>
  <c r="F43" i="1"/>
  <c r="F44" i="1"/>
  <c r="F45" i="1"/>
  <c r="F46" i="1"/>
  <c r="F47" i="1"/>
  <c r="F42" i="1"/>
  <c r="F35" i="1"/>
  <c r="F36" i="1"/>
  <c r="F37" i="1"/>
  <c r="F38" i="1"/>
  <c r="F39" i="1"/>
  <c r="F34" i="1"/>
  <c r="F27" i="1"/>
  <c r="F28" i="1"/>
  <c r="F29" i="1"/>
  <c r="F30" i="1"/>
  <c r="F31" i="1"/>
  <c r="F26" i="1"/>
  <c r="F19" i="1"/>
  <c r="F20" i="1"/>
  <c r="F21" i="1"/>
  <c r="F22" i="1"/>
  <c r="F23" i="1"/>
  <c r="F18" i="1"/>
  <c r="F11" i="1"/>
  <c r="F12" i="1"/>
  <c r="F13" i="1"/>
  <c r="F14" i="1"/>
  <c r="F15" i="1"/>
  <c r="F10" i="1"/>
  <c r="F3" i="1"/>
  <c r="F4" i="1"/>
  <c r="F5" i="1"/>
  <c r="F6" i="1"/>
  <c r="G6" i="1" s="1"/>
  <c r="H6" i="1" s="1"/>
  <c r="F7" i="1"/>
  <c r="F2" i="1"/>
  <c r="E3" i="1"/>
  <c r="E4" i="1"/>
  <c r="E5" i="1"/>
  <c r="E6" i="1"/>
  <c r="E7" i="1"/>
  <c r="D9" i="1"/>
  <c r="G9" i="1" s="1"/>
  <c r="H9" i="1" s="1"/>
  <c r="E9" i="1"/>
  <c r="E11" i="1"/>
  <c r="E12" i="1"/>
  <c r="E13" i="1"/>
  <c r="E14" i="1"/>
  <c r="E1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E8" i="1"/>
  <c r="E10" i="1"/>
  <c r="E59" i="1"/>
  <c r="E60" i="1"/>
  <c r="E61" i="1"/>
  <c r="E62" i="1"/>
  <c r="E63" i="1"/>
  <c r="E58" i="1"/>
  <c r="E57" i="1"/>
  <c r="E56" i="1"/>
  <c r="E51" i="1"/>
  <c r="E52" i="1"/>
  <c r="E53" i="1"/>
  <c r="E54" i="1"/>
  <c r="E55" i="1"/>
  <c r="E50" i="1"/>
  <c r="D51" i="1"/>
  <c r="D52" i="1"/>
  <c r="D53" i="1"/>
  <c r="G53" i="1" s="1"/>
  <c r="H53" i="1" s="1"/>
  <c r="D54" i="1"/>
  <c r="D55" i="1"/>
  <c r="D56" i="1"/>
  <c r="G56" i="1" s="1"/>
  <c r="H56" i="1" s="1"/>
  <c r="D57" i="1"/>
  <c r="G57" i="1" s="1"/>
  <c r="H57" i="1" s="1"/>
  <c r="D58" i="1"/>
  <c r="G58" i="1" s="1"/>
  <c r="H58" i="1" s="1"/>
  <c r="D59" i="1"/>
  <c r="D60" i="1"/>
  <c r="G60" i="1" s="1"/>
  <c r="H60" i="1" s="1"/>
  <c r="D61" i="1"/>
  <c r="G61" i="1" s="1"/>
  <c r="H61" i="1" s="1"/>
  <c r="D62" i="1"/>
  <c r="D63" i="1"/>
  <c r="D50" i="1"/>
  <c r="G50" i="1" s="1"/>
  <c r="H50" i="1" s="1"/>
  <c r="E43" i="1"/>
  <c r="E44" i="1"/>
  <c r="E45" i="1"/>
  <c r="E46" i="1"/>
  <c r="E47" i="1"/>
  <c r="E42" i="1"/>
  <c r="E41" i="1"/>
  <c r="E40" i="1"/>
  <c r="E35" i="1"/>
  <c r="E36" i="1"/>
  <c r="E37" i="1"/>
  <c r="E38" i="1"/>
  <c r="E39" i="1"/>
  <c r="E34" i="1"/>
  <c r="D35" i="1"/>
  <c r="D36" i="1"/>
  <c r="G36" i="1" s="1"/>
  <c r="H36" i="1" s="1"/>
  <c r="D37" i="1"/>
  <c r="G37" i="1" s="1"/>
  <c r="H37" i="1" s="1"/>
  <c r="D38" i="1"/>
  <c r="D39" i="1"/>
  <c r="D40" i="1"/>
  <c r="G40" i="1" s="1"/>
  <c r="H40" i="1" s="1"/>
  <c r="D41" i="1"/>
  <c r="G41" i="1" s="1"/>
  <c r="H41" i="1" s="1"/>
  <c r="D42" i="1"/>
  <c r="G42" i="1" s="1"/>
  <c r="H42" i="1" s="1"/>
  <c r="D43" i="1"/>
  <c r="D44" i="1"/>
  <c r="G44" i="1" s="1"/>
  <c r="H44" i="1" s="1"/>
  <c r="D45" i="1"/>
  <c r="G45" i="1" s="1"/>
  <c r="H45" i="1" s="1"/>
  <c r="D46" i="1"/>
  <c r="D47" i="1"/>
  <c r="D34" i="1"/>
  <c r="D22" i="1"/>
  <c r="G22" i="1" s="1"/>
  <c r="H22" i="1" s="1"/>
  <c r="D23" i="1"/>
  <c r="D24" i="1"/>
  <c r="G24" i="1" s="1"/>
  <c r="H24" i="1" s="1"/>
  <c r="D25" i="1"/>
  <c r="D26" i="1"/>
  <c r="G26" i="1" s="1"/>
  <c r="H26" i="1" s="1"/>
  <c r="D27" i="1"/>
  <c r="D28" i="1"/>
  <c r="G28" i="1" s="1"/>
  <c r="H28" i="1" s="1"/>
  <c r="D29" i="1"/>
  <c r="D30" i="1"/>
  <c r="G30" i="1" s="1"/>
  <c r="H30" i="1" s="1"/>
  <c r="D31" i="1"/>
  <c r="D19" i="1"/>
  <c r="D20" i="1"/>
  <c r="G20" i="1" s="1"/>
  <c r="H20" i="1" s="1"/>
  <c r="D21" i="1"/>
  <c r="D18" i="1"/>
  <c r="D3" i="1"/>
  <c r="G3" i="1" s="1"/>
  <c r="H3" i="1" s="1"/>
  <c r="D4" i="1"/>
  <c r="G4" i="1" s="1"/>
  <c r="H4" i="1" s="1"/>
  <c r="D5" i="1"/>
  <c r="G5" i="1" s="1"/>
  <c r="H5" i="1" s="1"/>
  <c r="D6" i="1"/>
  <c r="D7" i="1"/>
  <c r="G7" i="1" s="1"/>
  <c r="H7" i="1" s="1"/>
  <c r="D8" i="1"/>
  <c r="G8" i="1" s="1"/>
  <c r="H8" i="1" s="1"/>
  <c r="D10" i="1"/>
  <c r="G10" i="1" s="1"/>
  <c r="H10" i="1" s="1"/>
  <c r="D11" i="1"/>
  <c r="G11" i="1" s="1"/>
  <c r="H11" i="1" s="1"/>
  <c r="D12" i="1"/>
  <c r="G12" i="1" s="1"/>
  <c r="H12" i="1" s="1"/>
  <c r="D13" i="1"/>
  <c r="G13" i="1" s="1"/>
  <c r="H13" i="1" s="1"/>
  <c r="D14" i="1"/>
  <c r="G14" i="1" s="1"/>
  <c r="H14" i="1" s="1"/>
  <c r="D15" i="1"/>
  <c r="G15" i="1" s="1"/>
  <c r="H15" i="1" s="1"/>
  <c r="D2" i="1"/>
  <c r="G2" i="1" s="1"/>
  <c r="H2" i="1" s="1"/>
  <c r="G74" i="2" l="1"/>
  <c r="G94" i="2"/>
  <c r="G88" i="2"/>
  <c r="G84" i="2"/>
  <c r="G78" i="2"/>
  <c r="G68" i="2"/>
  <c r="G61" i="2"/>
  <c r="H61" i="2"/>
  <c r="H64" i="2"/>
  <c r="H38" i="2"/>
  <c r="H48" i="2"/>
  <c r="G35" i="2"/>
  <c r="G48" i="2"/>
  <c r="G45" i="2"/>
  <c r="H35" i="2"/>
  <c r="H41" i="2"/>
  <c r="G38" i="2"/>
  <c r="I56" i="1"/>
  <c r="I40" i="1"/>
  <c r="G38" i="1"/>
  <c r="H38" i="1" s="1"/>
  <c r="G19" i="1"/>
  <c r="H19" i="1" s="1"/>
  <c r="G47" i="1"/>
  <c r="H47" i="1" s="1"/>
  <c r="G43" i="1"/>
  <c r="H43" i="1" s="1"/>
  <c r="G39" i="1"/>
  <c r="H39" i="1" s="1"/>
  <c r="G35" i="1"/>
  <c r="H35" i="1" s="1"/>
  <c r="G63" i="1"/>
  <c r="H63" i="1" s="1"/>
  <c r="G59" i="1"/>
  <c r="H59" i="1" s="1"/>
  <c r="G55" i="1"/>
  <c r="H55" i="1" s="1"/>
  <c r="G51" i="1"/>
  <c r="H51" i="1" s="1"/>
  <c r="G18" i="1"/>
  <c r="H18" i="1" s="1"/>
  <c r="G31" i="1"/>
  <c r="H31" i="1" s="1"/>
  <c r="G27" i="1"/>
  <c r="H27" i="1" s="1"/>
  <c r="I26" i="1" s="1"/>
  <c r="G23" i="1"/>
  <c r="H23" i="1" s="1"/>
  <c r="G62" i="1"/>
  <c r="H62" i="1" s="1"/>
  <c r="G54" i="1"/>
  <c r="H54" i="1" s="1"/>
  <c r="G34" i="1"/>
  <c r="H34" i="1" s="1"/>
  <c r="G46" i="1"/>
  <c r="H46" i="1" s="1"/>
  <c r="G52" i="1"/>
  <c r="H52" i="1" s="1"/>
  <c r="G29" i="1"/>
  <c r="H29" i="1" s="1"/>
  <c r="G25" i="1"/>
  <c r="H25" i="1" s="1"/>
  <c r="I24" i="1" s="1"/>
  <c r="G21" i="1"/>
  <c r="H21" i="1" s="1"/>
  <c r="I58" i="1" l="1"/>
  <c r="I50" i="1"/>
  <c r="I42" i="1"/>
  <c r="I34" i="1"/>
  <c r="I18" i="1"/>
</calcChain>
</file>

<file path=xl/sharedStrings.xml><?xml version="1.0" encoding="utf-8"?>
<sst xmlns="http://schemas.openxmlformats.org/spreadsheetml/2006/main" count="248" uniqueCount="54">
  <si>
    <t>N phase</t>
  </si>
  <si>
    <t>Temps[s]</t>
  </si>
  <si>
    <t>Vitesse[km/h]</t>
  </si>
  <si>
    <t>Effort RAV [N]</t>
  </si>
  <si>
    <t>Pesanteur [N]</t>
  </si>
  <si>
    <t>Accélération [N]</t>
  </si>
  <si>
    <t>Total [N]</t>
  </si>
  <si>
    <t>Puissance [kW]</t>
  </si>
  <si>
    <t>TER</t>
  </si>
  <si>
    <t>A=</t>
  </si>
  <si>
    <t>B=</t>
  </si>
  <si>
    <t>C=</t>
  </si>
  <si>
    <t>masse train=</t>
  </si>
  <si>
    <t>TRAMWAY</t>
  </si>
  <si>
    <t>RER</t>
  </si>
  <si>
    <t>TGV</t>
  </si>
  <si>
    <t>a1=</t>
  </si>
  <si>
    <t>a3=</t>
  </si>
  <si>
    <t>Δx1=</t>
  </si>
  <si>
    <t>Δx3=</t>
  </si>
  <si>
    <t>vinit2=</t>
  </si>
  <si>
    <t>Δx123=</t>
  </si>
  <si>
    <t>Narrêt=</t>
  </si>
  <si>
    <t>Δt4=</t>
  </si>
  <si>
    <t>m/s²</t>
  </si>
  <si>
    <t>kg</t>
  </si>
  <si>
    <t>km/h</t>
  </si>
  <si>
    <t>km</t>
  </si>
  <si>
    <t>s</t>
  </si>
  <si>
    <t>Energie par phase [kWh]</t>
  </si>
  <si>
    <t>Energie freinage=</t>
  </si>
  <si>
    <t>Energie traction=</t>
  </si>
  <si>
    <t>kWh</t>
  </si>
  <si>
    <t>Total=</t>
  </si>
  <si>
    <t>N° phase</t>
  </si>
  <si>
    <t>ESS</t>
  </si>
  <si>
    <t>Energie d'un élément [Wh]</t>
  </si>
  <si>
    <t>Puissance d'un élément [W]</t>
  </si>
  <si>
    <t>Masse d'un élément [kg]</t>
  </si>
  <si>
    <t>Rendement globale (charge puis décharge)</t>
  </si>
  <si>
    <t>Batterie électrochimique Ni-Cd</t>
  </si>
  <si>
    <t>Super-condensateur</t>
  </si>
  <si>
    <t>Volant d'inertie</t>
  </si>
  <si>
    <r>
      <t>Volume d'un élément [dm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]</t>
    </r>
  </si>
  <si>
    <t>Récupération d'énergie de freinage</t>
  </si>
  <si>
    <t>NessE</t>
  </si>
  <si>
    <t>NessP</t>
  </si>
  <si>
    <r>
      <t>Volume [dm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]</t>
    </r>
  </si>
  <si>
    <t>Masse [kg]</t>
  </si>
  <si>
    <t>Edim [kWh]</t>
  </si>
  <si>
    <t>Pdim [kW]</t>
  </si>
  <si>
    <t>Efreinage</t>
  </si>
  <si>
    <t>Etotale</t>
  </si>
  <si>
    <t>Cycle complet sans alimentation par caténaire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</si>
</sst>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3F3F3F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rgb="FF3F3F3F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3F3F3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3F3F3F"/>
      </bottom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4" applyNumberFormat="0" applyAlignment="0" applyProtection="0"/>
  </cellStyleXfs>
  <cellXfs count="66">
    <xf numFmtId="0" fontId="0" fillId="0" borderId="0" xfId="0"/>
    <xf numFmtId="4" fontId="0" fillId="0" borderId="0" xfId="0" applyNumberFormat="1"/>
    <xf numFmtId="4" fontId="3" fillId="3" borderId="2" xfId="2" applyNumberFormat="1" applyAlignment="1">
      <alignment horizontal="right"/>
    </xf>
    <xf numFmtId="3" fontId="0" fillId="0" borderId="0" xfId="0" applyNumberFormat="1"/>
    <xf numFmtId="3" fontId="1" fillId="6" borderId="3" xfId="5" applyNumberFormat="1" applyBorder="1" applyAlignment="1">
      <alignment horizontal="center" vertical="center"/>
    </xf>
    <xf numFmtId="3" fontId="1" fillId="6" borderId="0" xfId="5" applyNumberFormat="1"/>
    <xf numFmtId="3" fontId="1" fillId="5" borderId="3" xfId="4" applyNumberFormat="1" applyBorder="1" applyAlignment="1">
      <alignment horizontal="center" vertical="center"/>
    </xf>
    <xf numFmtId="3" fontId="1" fillId="5" borderId="0" xfId="4" applyNumberFormat="1"/>
    <xf numFmtId="3" fontId="1" fillId="4" borderId="3" xfId="3" applyNumberFormat="1" applyBorder="1" applyAlignment="1">
      <alignment horizontal="center" vertical="center"/>
    </xf>
    <xf numFmtId="3" fontId="1" fillId="4" borderId="0" xfId="3" applyNumberFormat="1"/>
    <xf numFmtId="3" fontId="0" fillId="0" borderId="3" xfId="0" applyNumberFormat="1" applyBorder="1" applyAlignment="1">
      <alignment horizontal="center" vertical="center"/>
    </xf>
    <xf numFmtId="4" fontId="2" fillId="2" borderId="1" xfId="1" applyNumberFormat="1" applyAlignment="1">
      <alignment horizontal="center" vertical="center"/>
    </xf>
    <xf numFmtId="4" fontId="2" fillId="2" borderId="1" xfId="1" applyNumberFormat="1"/>
    <xf numFmtId="4" fontId="2" fillId="2" borderId="1" xfId="1" applyNumberFormat="1" applyAlignment="1">
      <alignment horizontal="center"/>
    </xf>
    <xf numFmtId="3" fontId="0" fillId="6" borderId="3" xfId="5" applyNumberFormat="1" applyFont="1" applyBorder="1" applyAlignment="1">
      <alignment horizontal="center" vertical="center"/>
    </xf>
    <xf numFmtId="3" fontId="3" fillId="3" borderId="2" xfId="2" applyNumberFormat="1" applyAlignment="1">
      <alignment horizontal="center" vertical="center" wrapText="1"/>
    </xf>
    <xf numFmtId="3" fontId="3" fillId="3" borderId="5" xfId="2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" fillId="6" borderId="3" xfId="5" applyNumberFormat="1" applyBorder="1" applyAlignment="1">
      <alignment horizontal="center" vertical="center"/>
    </xf>
    <xf numFmtId="4" fontId="1" fillId="5" borderId="3" xfId="4" applyNumberFormat="1" applyBorder="1" applyAlignment="1">
      <alignment horizontal="center" vertical="center"/>
    </xf>
    <xf numFmtId="4" fontId="1" fillId="4" borderId="3" xfId="3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1" fillId="5" borderId="4" xfId="4" applyNumberFormat="1" applyBorder="1" applyAlignment="1">
      <alignment horizontal="center" vertical="center"/>
    </xf>
    <xf numFmtId="3" fontId="1" fillId="4" borderId="4" xfId="3" applyNumberFormat="1" applyBorder="1" applyAlignment="1">
      <alignment horizontal="center" vertical="center"/>
    </xf>
    <xf numFmtId="3" fontId="1" fillId="6" borderId="4" xfId="5" applyNumberFormat="1" applyBorder="1" applyAlignment="1">
      <alignment horizontal="center" vertical="center"/>
    </xf>
    <xf numFmtId="4" fontId="7" fillId="2" borderId="15" xfId="8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7" fillId="2" borderId="17" xfId="8" applyNumberForma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" fontId="3" fillId="3" borderId="2" xfId="2" applyNumberFormat="1" applyAlignment="1">
      <alignment horizontal="center" vertical="center" wrapText="1"/>
    </xf>
    <xf numFmtId="4" fontId="3" fillId="3" borderId="5" xfId="2" applyNumberFormat="1" applyBorder="1" applyAlignment="1">
      <alignment horizontal="center" vertical="center" wrapText="1"/>
    </xf>
    <xf numFmtId="4" fontId="3" fillId="3" borderId="16" xfId="2" applyNumberFormat="1" applyBorder="1" applyAlignment="1">
      <alignment horizontal="center" vertical="center" wrapText="1"/>
    </xf>
    <xf numFmtId="4" fontId="0" fillId="9" borderId="3" xfId="0" applyNumberFormat="1" applyFill="1" applyBorder="1" applyAlignment="1">
      <alignment horizontal="center" vertical="center"/>
    </xf>
    <xf numFmtId="4" fontId="5" fillId="7" borderId="3" xfId="6" applyNumberFormat="1" applyBorder="1" applyAlignment="1">
      <alignment horizontal="center" vertical="center"/>
    </xf>
    <xf numFmtId="4" fontId="6" fillId="8" borderId="3" xfId="7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6" fillId="8" borderId="19" xfId="7" applyNumberFormat="1" applyBorder="1" applyAlignment="1">
      <alignment horizontal="center" vertical="center"/>
    </xf>
    <xf numFmtId="4" fontId="6" fillId="8" borderId="20" xfId="7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6" fillId="8" borderId="18" xfId="7" applyNumberFormat="1" applyBorder="1" applyAlignment="1">
      <alignment horizontal="center" vertical="center"/>
    </xf>
    <xf numFmtId="4" fontId="5" fillId="7" borderId="19" xfId="6" applyNumberFormat="1" applyBorder="1" applyAlignment="1">
      <alignment horizontal="center" vertical="center"/>
    </xf>
    <xf numFmtId="4" fontId="5" fillId="7" borderId="20" xfId="6" applyNumberFormat="1" applyBorder="1" applyAlignment="1">
      <alignment horizontal="center" vertical="center"/>
    </xf>
    <xf numFmtId="4" fontId="5" fillId="7" borderId="18" xfId="6" applyNumberFormat="1" applyBorder="1" applyAlignment="1">
      <alignment horizontal="center" vertical="center"/>
    </xf>
  </cellXfs>
  <cellStyles count="9">
    <cellStyle name="60 % - Accent2" xfId="3" builtinId="36"/>
    <cellStyle name="60 % - Accent3" xfId="4" builtinId="40"/>
    <cellStyle name="60 % - Accent6" xfId="5" builtinId="52"/>
    <cellStyle name="Calcul" xfId="8" builtinId="22"/>
    <cellStyle name="Neutre" xfId="7" builtinId="28"/>
    <cellStyle name="Normal" xfId="0" builtinId="0"/>
    <cellStyle name="Satisfaisant" xfId="6" builtinId="26"/>
    <cellStyle name="Sortie" xfId="1" builtinId="21"/>
    <cellStyle name="Vérification" xfId="2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Profil des puissances sur un cycle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3072842952109635E-2"/>
          <c:y val="0.12455024328455463"/>
          <c:w val="0.88403313222210855"/>
          <c:h val="0.79179453807943434"/>
        </c:manualLayout>
      </c:layout>
      <c:scatterChart>
        <c:scatterStyle val="lineMarker"/>
        <c:varyColors val="0"/>
        <c:ser>
          <c:idx val="0"/>
          <c:order val="0"/>
          <c:tx>
            <c:v>TER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'Profil énergétique d''un train'!$B$2:$B$15</c:f>
              <c:numCache>
                <c:formatCode>#,##0</c:formatCode>
                <c:ptCount val="14"/>
                <c:pt idx="0">
                  <c:v>0</c:v>
                </c:pt>
                <c:pt idx="1">
                  <c:v>22.04</c:v>
                </c:pt>
                <c:pt idx="2">
                  <c:v>44.08</c:v>
                </c:pt>
                <c:pt idx="3">
                  <c:v>66.12</c:v>
                </c:pt>
                <c:pt idx="4">
                  <c:v>88.16</c:v>
                </c:pt>
                <c:pt idx="5">
                  <c:v>102.86</c:v>
                </c:pt>
                <c:pt idx="6">
                  <c:v>102.86</c:v>
                </c:pt>
                <c:pt idx="7">
                  <c:v>848.57</c:v>
                </c:pt>
                <c:pt idx="8">
                  <c:v>848.57</c:v>
                </c:pt>
                <c:pt idx="9">
                  <c:v>855.92</c:v>
                </c:pt>
                <c:pt idx="10">
                  <c:v>866.94</c:v>
                </c:pt>
                <c:pt idx="11">
                  <c:v>877.96</c:v>
                </c:pt>
                <c:pt idx="12">
                  <c:v>888.98</c:v>
                </c:pt>
                <c:pt idx="13">
                  <c:v>900</c:v>
                </c:pt>
              </c:numCache>
            </c:numRef>
          </c:xVal>
          <c:yVal>
            <c:numRef>
              <c:f>'Profil énergétique d''un train'!$H$2:$H$15</c:f>
              <c:numCache>
                <c:formatCode>#,##0</c:formatCode>
                <c:ptCount val="14"/>
                <c:pt idx="0">
                  <c:v>0</c:v>
                </c:pt>
                <c:pt idx="1">
                  <c:v>1096.6358924897118</c:v>
                </c:pt>
                <c:pt idx="2">
                  <c:v>2248.3780349794238</c:v>
                </c:pt>
                <c:pt idx="3">
                  <c:v>3495.1882330246913</c:v>
                </c:pt>
                <c:pt idx="4">
                  <c:v>4877.0282921810694</c:v>
                </c:pt>
                <c:pt idx="5">
                  <c:v>5893.0058127572011</c:v>
                </c:pt>
                <c:pt idx="6">
                  <c:v>1345.499499718793</c:v>
                </c:pt>
                <c:pt idx="7">
                  <c:v>1345.499499718793</c:v>
                </c:pt>
                <c:pt idx="8">
                  <c:v>-9118.5918758580228</c:v>
                </c:pt>
                <c:pt idx="9">
                  <c:v>-7990.0554409176948</c:v>
                </c:pt>
                <c:pt idx="10">
                  <c:v>-6155.1245667993817</c:v>
                </c:pt>
                <c:pt idx="11">
                  <c:v>-4185.1638315699583</c:v>
                </c:pt>
                <c:pt idx="12">
                  <c:v>-2120.1350407849791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2F-49CC-B5C6-71C73DBD6022}"/>
            </c:ext>
          </c:extLst>
        </c:ser>
        <c:ser>
          <c:idx val="1"/>
          <c:order val="1"/>
          <c:tx>
            <c:v>Tramway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'Profil énergétique d''un train'!$B$18:$B$31</c:f>
              <c:numCache>
                <c:formatCode>#,##0</c:formatCode>
                <c:ptCount val="14"/>
                <c:pt idx="0">
                  <c:v>0</c:v>
                </c:pt>
                <c:pt idx="1">
                  <c:v>3.02</c:v>
                </c:pt>
                <c:pt idx="2">
                  <c:v>6.05</c:v>
                </c:pt>
                <c:pt idx="3">
                  <c:v>9.07</c:v>
                </c:pt>
                <c:pt idx="4">
                  <c:v>12.2</c:v>
                </c:pt>
                <c:pt idx="5">
                  <c:v>15.12</c:v>
                </c:pt>
                <c:pt idx="6">
                  <c:v>15.12</c:v>
                </c:pt>
                <c:pt idx="7">
                  <c:v>36.72</c:v>
                </c:pt>
                <c:pt idx="8">
                  <c:v>36.72</c:v>
                </c:pt>
                <c:pt idx="9">
                  <c:v>39.020000000000003</c:v>
                </c:pt>
                <c:pt idx="10">
                  <c:v>41.33</c:v>
                </c:pt>
                <c:pt idx="11">
                  <c:v>43.63</c:v>
                </c:pt>
                <c:pt idx="12">
                  <c:v>45.94</c:v>
                </c:pt>
                <c:pt idx="13">
                  <c:v>48.24</c:v>
                </c:pt>
              </c:numCache>
            </c:numRef>
          </c:xVal>
          <c:yVal>
            <c:numRef>
              <c:f>'Profil énergétique d''un train'!$H$18:$H$31</c:f>
              <c:numCache>
                <c:formatCode>#,##0</c:formatCode>
                <c:ptCount val="14"/>
                <c:pt idx="0">
                  <c:v>0</c:v>
                </c:pt>
                <c:pt idx="1">
                  <c:v>138.70238442256189</c:v>
                </c:pt>
                <c:pt idx="2">
                  <c:v>279.05901267228427</c:v>
                </c:pt>
                <c:pt idx="3">
                  <c:v>422.10190635410538</c:v>
                </c:pt>
                <c:pt idx="4">
                  <c:v>568.86308707296359</c:v>
                </c:pt>
                <c:pt idx="5">
                  <c:v>720.37457643379719</c:v>
                </c:pt>
                <c:pt idx="6">
                  <c:v>72.284983436214006</c:v>
                </c:pt>
                <c:pt idx="7">
                  <c:v>72.284983436214006</c:v>
                </c:pt>
                <c:pt idx="8">
                  <c:v>-840.09418737311398</c:v>
                </c:pt>
                <c:pt idx="9">
                  <c:v>-679.51192397256523</c:v>
                </c:pt>
                <c:pt idx="10">
                  <c:v>-514.17935193004121</c:v>
                </c:pt>
                <c:pt idx="11">
                  <c:v>-345.12849285048014</c:v>
                </c:pt>
                <c:pt idx="12">
                  <c:v>-173.39136833882031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2F-49CC-B5C6-71C73DBD6022}"/>
            </c:ext>
          </c:extLst>
        </c:ser>
        <c:ser>
          <c:idx val="2"/>
          <c:order val="2"/>
          <c:tx>
            <c:v>RER</c:v>
          </c:tx>
          <c:spPr>
            <a:ln w="9525" cap="rnd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'Profil énergétique d''un train'!$B$34:$B$47</c:f>
              <c:numCache>
                <c:formatCode>#,##0</c:formatCode>
                <c:ptCount val="14"/>
                <c:pt idx="0">
                  <c:v>0</c:v>
                </c:pt>
                <c:pt idx="1">
                  <c:v>14.4</c:v>
                </c:pt>
                <c:pt idx="2">
                  <c:v>28.8</c:v>
                </c:pt>
                <c:pt idx="3">
                  <c:v>43.2</c:v>
                </c:pt>
                <c:pt idx="4">
                  <c:v>57.6</c:v>
                </c:pt>
                <c:pt idx="5">
                  <c:v>72</c:v>
                </c:pt>
                <c:pt idx="6">
                  <c:v>72</c:v>
                </c:pt>
                <c:pt idx="7">
                  <c:v>216</c:v>
                </c:pt>
                <c:pt idx="8">
                  <c:v>216</c:v>
                </c:pt>
                <c:pt idx="9">
                  <c:v>223.2</c:v>
                </c:pt>
                <c:pt idx="10">
                  <c:v>230.4</c:v>
                </c:pt>
                <c:pt idx="11">
                  <c:v>237.6</c:v>
                </c:pt>
                <c:pt idx="12">
                  <c:v>244.8</c:v>
                </c:pt>
                <c:pt idx="13">
                  <c:v>252</c:v>
                </c:pt>
              </c:numCache>
            </c:numRef>
          </c:xVal>
          <c:yVal>
            <c:numRef>
              <c:f>'Profil énergétique d''un train'!$H$34:$H$47</c:f>
              <c:numCache>
                <c:formatCode>#,##0</c:formatCode>
                <c:ptCount val="14"/>
                <c:pt idx="0">
                  <c:v>0</c:v>
                </c:pt>
                <c:pt idx="1">
                  <c:v>652.85596707818922</c:v>
                </c:pt>
                <c:pt idx="2">
                  <c:v>1325.0909465020577</c:v>
                </c:pt>
                <c:pt idx="3">
                  <c:v>2028.7419753086419</c:v>
                </c:pt>
                <c:pt idx="4">
                  <c:v>2775.8460905349793</c:v>
                </c:pt>
                <c:pt idx="5">
                  <c:v>3578.4403292181069</c:v>
                </c:pt>
                <c:pt idx="6">
                  <c:v>671.03493518518519</c:v>
                </c:pt>
                <c:pt idx="7">
                  <c:v>671.03493518518519</c:v>
                </c:pt>
                <c:pt idx="8">
                  <c:v>-6000.1316278806589</c:v>
                </c:pt>
                <c:pt idx="9">
                  <c:v>-4887.0114751440324</c:v>
                </c:pt>
                <c:pt idx="10">
                  <c:v>-3718.4011989506171</c:v>
                </c:pt>
                <c:pt idx="11">
                  <c:v>-2506.3378363374486</c:v>
                </c:pt>
                <c:pt idx="12">
                  <c:v>-1262.8584243415637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2F-49CC-B5C6-71C73DBD6022}"/>
            </c:ext>
          </c:extLst>
        </c:ser>
        <c:ser>
          <c:idx val="3"/>
          <c:order val="3"/>
          <c:tx>
            <c:v>TGV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'Profil énergétique d''un train'!$B$50:$B$63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600</c:v>
                </c:pt>
                <c:pt idx="7">
                  <c:v>4188</c:v>
                </c:pt>
                <c:pt idx="8">
                  <c:v>4188</c:v>
                </c:pt>
                <c:pt idx="9">
                  <c:v>4212</c:v>
                </c:pt>
                <c:pt idx="10">
                  <c:v>4236</c:v>
                </c:pt>
                <c:pt idx="11">
                  <c:v>4284</c:v>
                </c:pt>
                <c:pt idx="12">
                  <c:v>4308</c:v>
                </c:pt>
                <c:pt idx="13">
                  <c:v>4332</c:v>
                </c:pt>
              </c:numCache>
            </c:numRef>
          </c:xVal>
          <c:yVal>
            <c:numRef>
              <c:f>'Profil énergétique d''un train'!$H$50:$H$63</c:f>
              <c:numCache>
                <c:formatCode>#,##0</c:formatCode>
                <c:ptCount val="14"/>
                <c:pt idx="0">
                  <c:v>0</c:v>
                </c:pt>
                <c:pt idx="1">
                  <c:v>877.81742969821664</c:v>
                </c:pt>
                <c:pt idx="2">
                  <c:v>1907.7246227709188</c:v>
                </c:pt>
                <c:pt idx="3">
                  <c:v>4848.8340192043897</c:v>
                </c:pt>
                <c:pt idx="4">
                  <c:v>6972.5490826474615</c:v>
                </c:pt>
                <c:pt idx="5">
                  <c:v>9673.3796296296277</c:v>
                </c:pt>
                <c:pt idx="6">
                  <c:v>5878.8048148148146</c:v>
                </c:pt>
                <c:pt idx="7">
                  <c:v>5878.8048148148146</c:v>
                </c:pt>
                <c:pt idx="8">
                  <c:v>-15781.299580246912</c:v>
                </c:pt>
                <c:pt idx="9">
                  <c:v>-14239.683592249654</c:v>
                </c:pt>
                <c:pt idx="10">
                  <c:v>-12120.952120713304</c:v>
                </c:pt>
                <c:pt idx="11">
                  <c:v>-6577.168447187928</c:v>
                </c:pt>
                <c:pt idx="12">
                  <c:v>-3364.6291052812062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2F-49CC-B5C6-71C73DBD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856808"/>
        <c:axId val="222853200"/>
      </c:scatterChart>
      <c:valAx>
        <c:axId val="2228568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2853200"/>
        <c:crosses val="autoZero"/>
        <c:crossBetween val="midCat"/>
      </c:valAx>
      <c:valAx>
        <c:axId val="2228532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2856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88311682192724"/>
          <c:y val="0.74666654568784652"/>
          <c:w val="0.35060644265071839"/>
          <c:h val="9.7461757033942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TER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'Profil énergétique d''un train'!$B$2:$B$15</c:f>
              <c:numCache>
                <c:formatCode>#,##0</c:formatCode>
                <c:ptCount val="14"/>
                <c:pt idx="0">
                  <c:v>0</c:v>
                </c:pt>
                <c:pt idx="1">
                  <c:v>22.04</c:v>
                </c:pt>
                <c:pt idx="2">
                  <c:v>44.08</c:v>
                </c:pt>
                <c:pt idx="3">
                  <c:v>66.12</c:v>
                </c:pt>
                <c:pt idx="4">
                  <c:v>88.16</c:v>
                </c:pt>
                <c:pt idx="5">
                  <c:v>102.86</c:v>
                </c:pt>
                <c:pt idx="6">
                  <c:v>102.86</c:v>
                </c:pt>
                <c:pt idx="7">
                  <c:v>848.57</c:v>
                </c:pt>
                <c:pt idx="8">
                  <c:v>848.57</c:v>
                </c:pt>
                <c:pt idx="9">
                  <c:v>855.92</c:v>
                </c:pt>
                <c:pt idx="10">
                  <c:v>866.94</c:v>
                </c:pt>
                <c:pt idx="11">
                  <c:v>877.96</c:v>
                </c:pt>
                <c:pt idx="12">
                  <c:v>888.98</c:v>
                </c:pt>
                <c:pt idx="13">
                  <c:v>900</c:v>
                </c:pt>
              </c:numCache>
            </c:numRef>
          </c:xVal>
          <c:yVal>
            <c:numRef>
              <c:f>'Profil énergétique d''un train'!$H$2:$H$15</c:f>
              <c:numCache>
                <c:formatCode>#,##0</c:formatCode>
                <c:ptCount val="14"/>
                <c:pt idx="0">
                  <c:v>0</c:v>
                </c:pt>
                <c:pt idx="1">
                  <c:v>1096.6358924897118</c:v>
                </c:pt>
                <c:pt idx="2">
                  <c:v>2248.3780349794238</c:v>
                </c:pt>
                <c:pt idx="3">
                  <c:v>3495.1882330246913</c:v>
                </c:pt>
                <c:pt idx="4">
                  <c:v>4877.0282921810694</c:v>
                </c:pt>
                <c:pt idx="5">
                  <c:v>5893.0058127572011</c:v>
                </c:pt>
                <c:pt idx="6">
                  <c:v>1345.499499718793</c:v>
                </c:pt>
                <c:pt idx="7">
                  <c:v>1345.499499718793</c:v>
                </c:pt>
                <c:pt idx="8">
                  <c:v>-9118.5918758580228</c:v>
                </c:pt>
                <c:pt idx="9">
                  <c:v>-7990.0554409176948</c:v>
                </c:pt>
                <c:pt idx="10">
                  <c:v>-6155.1245667993817</c:v>
                </c:pt>
                <c:pt idx="11">
                  <c:v>-4185.1638315699583</c:v>
                </c:pt>
                <c:pt idx="12">
                  <c:v>-2120.1350407849791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5E-44CB-9130-AA630235A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352504"/>
        <c:axId val="467349224"/>
      </c:scatterChart>
      <c:valAx>
        <c:axId val="46735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49224"/>
        <c:crosses val="autoZero"/>
        <c:crossBetween val="midCat"/>
      </c:valAx>
      <c:valAx>
        <c:axId val="46734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52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Tramway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'Profil énergétique d''un train'!$B$18:$B$32</c:f>
              <c:numCache>
                <c:formatCode>#,##0</c:formatCode>
                <c:ptCount val="15"/>
                <c:pt idx="0">
                  <c:v>0</c:v>
                </c:pt>
                <c:pt idx="1">
                  <c:v>3.02</c:v>
                </c:pt>
                <c:pt idx="2">
                  <c:v>6.05</c:v>
                </c:pt>
                <c:pt idx="3">
                  <c:v>9.07</c:v>
                </c:pt>
                <c:pt idx="4">
                  <c:v>12.2</c:v>
                </c:pt>
                <c:pt idx="5">
                  <c:v>15.12</c:v>
                </c:pt>
                <c:pt idx="6">
                  <c:v>15.12</c:v>
                </c:pt>
                <c:pt idx="7">
                  <c:v>36.72</c:v>
                </c:pt>
                <c:pt idx="8">
                  <c:v>36.72</c:v>
                </c:pt>
                <c:pt idx="9">
                  <c:v>39.020000000000003</c:v>
                </c:pt>
                <c:pt idx="10">
                  <c:v>41.33</c:v>
                </c:pt>
                <c:pt idx="11">
                  <c:v>43.63</c:v>
                </c:pt>
                <c:pt idx="12">
                  <c:v>45.94</c:v>
                </c:pt>
                <c:pt idx="13">
                  <c:v>48.24</c:v>
                </c:pt>
              </c:numCache>
            </c:numRef>
          </c:xVal>
          <c:yVal>
            <c:numRef>
              <c:f>'Profil énergétique d''un train'!$H$18:$H$31</c:f>
              <c:numCache>
                <c:formatCode>#,##0</c:formatCode>
                <c:ptCount val="14"/>
                <c:pt idx="0">
                  <c:v>0</c:v>
                </c:pt>
                <c:pt idx="1">
                  <c:v>138.70238442256189</c:v>
                </c:pt>
                <c:pt idx="2">
                  <c:v>279.05901267228427</c:v>
                </c:pt>
                <c:pt idx="3">
                  <c:v>422.10190635410538</c:v>
                </c:pt>
                <c:pt idx="4">
                  <c:v>568.86308707296359</c:v>
                </c:pt>
                <c:pt idx="5">
                  <c:v>720.37457643379719</c:v>
                </c:pt>
                <c:pt idx="6">
                  <c:v>72.284983436214006</c:v>
                </c:pt>
                <c:pt idx="7">
                  <c:v>72.284983436214006</c:v>
                </c:pt>
                <c:pt idx="8">
                  <c:v>-840.09418737311398</c:v>
                </c:pt>
                <c:pt idx="9">
                  <c:v>-679.51192397256523</c:v>
                </c:pt>
                <c:pt idx="10">
                  <c:v>-514.17935193004121</c:v>
                </c:pt>
                <c:pt idx="11">
                  <c:v>-345.12849285048014</c:v>
                </c:pt>
                <c:pt idx="12">
                  <c:v>-173.39136833882031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82-4015-B7D2-9E8A51FF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352504"/>
        <c:axId val="467349224"/>
      </c:scatterChart>
      <c:valAx>
        <c:axId val="46735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49224"/>
        <c:crosses val="autoZero"/>
        <c:crossBetween val="midCat"/>
      </c:valAx>
      <c:valAx>
        <c:axId val="46734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52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RER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'Profil énergétique d''un train'!$B$34:$B$47</c:f>
              <c:numCache>
                <c:formatCode>#,##0</c:formatCode>
                <c:ptCount val="14"/>
                <c:pt idx="0">
                  <c:v>0</c:v>
                </c:pt>
                <c:pt idx="1">
                  <c:v>14.4</c:v>
                </c:pt>
                <c:pt idx="2">
                  <c:v>28.8</c:v>
                </c:pt>
                <c:pt idx="3">
                  <c:v>43.2</c:v>
                </c:pt>
                <c:pt idx="4">
                  <c:v>57.6</c:v>
                </c:pt>
                <c:pt idx="5">
                  <c:v>72</c:v>
                </c:pt>
                <c:pt idx="6">
                  <c:v>72</c:v>
                </c:pt>
                <c:pt idx="7">
                  <c:v>216</c:v>
                </c:pt>
                <c:pt idx="8">
                  <c:v>216</c:v>
                </c:pt>
                <c:pt idx="9">
                  <c:v>223.2</c:v>
                </c:pt>
                <c:pt idx="10">
                  <c:v>230.4</c:v>
                </c:pt>
                <c:pt idx="11">
                  <c:v>237.6</c:v>
                </c:pt>
                <c:pt idx="12">
                  <c:v>244.8</c:v>
                </c:pt>
                <c:pt idx="13">
                  <c:v>252</c:v>
                </c:pt>
              </c:numCache>
            </c:numRef>
          </c:xVal>
          <c:yVal>
            <c:numRef>
              <c:f>'Profil énergétique d''un train'!$H$34:$H$47</c:f>
              <c:numCache>
                <c:formatCode>#,##0</c:formatCode>
                <c:ptCount val="14"/>
                <c:pt idx="0">
                  <c:v>0</c:v>
                </c:pt>
                <c:pt idx="1">
                  <c:v>652.85596707818922</c:v>
                </c:pt>
                <c:pt idx="2">
                  <c:v>1325.0909465020577</c:v>
                </c:pt>
                <c:pt idx="3">
                  <c:v>2028.7419753086419</c:v>
                </c:pt>
                <c:pt idx="4">
                  <c:v>2775.8460905349793</c:v>
                </c:pt>
                <c:pt idx="5">
                  <c:v>3578.4403292181069</c:v>
                </c:pt>
                <c:pt idx="6">
                  <c:v>671.03493518518519</c:v>
                </c:pt>
                <c:pt idx="7">
                  <c:v>671.03493518518519</c:v>
                </c:pt>
                <c:pt idx="8">
                  <c:v>-6000.1316278806589</c:v>
                </c:pt>
                <c:pt idx="9">
                  <c:v>-4887.0114751440324</c:v>
                </c:pt>
                <c:pt idx="10">
                  <c:v>-3718.4011989506171</c:v>
                </c:pt>
                <c:pt idx="11">
                  <c:v>-2506.3378363374486</c:v>
                </c:pt>
                <c:pt idx="12">
                  <c:v>-1262.8584243415637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E1-4D37-9F14-F67D1444B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352504"/>
        <c:axId val="467349224"/>
      </c:scatterChart>
      <c:valAx>
        <c:axId val="46735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49224"/>
        <c:crosses val="autoZero"/>
        <c:crossBetween val="midCat"/>
      </c:valAx>
      <c:valAx>
        <c:axId val="46734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52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TGV</c:v>
          </c:tx>
          <c:spPr>
            <a:ln w="22225" cap="rnd">
              <a:solidFill>
                <a:srgbClr val="FF0000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'Profil énergétique d''un train'!$B$50:$B$63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600</c:v>
                </c:pt>
                <c:pt idx="7">
                  <c:v>4188</c:v>
                </c:pt>
                <c:pt idx="8">
                  <c:v>4188</c:v>
                </c:pt>
                <c:pt idx="9">
                  <c:v>4212</c:v>
                </c:pt>
                <c:pt idx="10">
                  <c:v>4236</c:v>
                </c:pt>
                <c:pt idx="11">
                  <c:v>4284</c:v>
                </c:pt>
                <c:pt idx="12">
                  <c:v>4308</c:v>
                </c:pt>
                <c:pt idx="13">
                  <c:v>4332</c:v>
                </c:pt>
              </c:numCache>
            </c:numRef>
          </c:xVal>
          <c:yVal>
            <c:numRef>
              <c:f>'Profil énergétique d''un train'!$H$50:$H$63</c:f>
              <c:numCache>
                <c:formatCode>#,##0</c:formatCode>
                <c:ptCount val="14"/>
                <c:pt idx="0">
                  <c:v>0</c:v>
                </c:pt>
                <c:pt idx="1">
                  <c:v>877.81742969821664</c:v>
                </c:pt>
                <c:pt idx="2">
                  <c:v>1907.7246227709188</c:v>
                </c:pt>
                <c:pt idx="3">
                  <c:v>4848.8340192043897</c:v>
                </c:pt>
                <c:pt idx="4">
                  <c:v>6972.5490826474615</c:v>
                </c:pt>
                <c:pt idx="5">
                  <c:v>9673.3796296296277</c:v>
                </c:pt>
                <c:pt idx="6">
                  <c:v>5878.8048148148146</c:v>
                </c:pt>
                <c:pt idx="7">
                  <c:v>5878.8048148148146</c:v>
                </c:pt>
                <c:pt idx="8">
                  <c:v>-15781.299580246912</c:v>
                </c:pt>
                <c:pt idx="9">
                  <c:v>-14239.683592249654</c:v>
                </c:pt>
                <c:pt idx="10">
                  <c:v>-12120.952120713304</c:v>
                </c:pt>
                <c:pt idx="11">
                  <c:v>-6577.168447187928</c:v>
                </c:pt>
                <c:pt idx="12">
                  <c:v>-3364.6291052812062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8A-4E84-800B-B4C38A8C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352504"/>
        <c:axId val="467349224"/>
      </c:scatterChart>
      <c:valAx>
        <c:axId val="46735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49224"/>
        <c:crosses val="autoZero"/>
        <c:crossBetween val="midCat"/>
      </c:valAx>
      <c:valAx>
        <c:axId val="46734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352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262284</xdr:colOff>
      <xdr:row>32</xdr:row>
      <xdr:rowOff>276087</xdr:rowOff>
    </xdr:from>
    <xdr:to>
      <xdr:col>28</xdr:col>
      <xdr:colOff>579783</xdr:colOff>
      <xdr:row>62</xdr:row>
      <xdr:rowOff>124239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633FFD0-2BD2-4064-B3D7-122E2E37F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253863</xdr:colOff>
      <xdr:row>0</xdr:row>
      <xdr:rowOff>503859</xdr:rowOff>
    </xdr:from>
    <xdr:to>
      <xdr:col>21</xdr:col>
      <xdr:colOff>253863</xdr:colOff>
      <xdr:row>13</xdr:row>
      <xdr:rowOff>132107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7902EC5-D980-4EB5-9F6A-3DBBA36A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234950</xdr:colOff>
      <xdr:row>14</xdr:row>
      <xdr:rowOff>93041</xdr:rowOff>
    </xdr:from>
    <xdr:to>
      <xdr:col>21</xdr:col>
      <xdr:colOff>234950</xdr:colOff>
      <xdr:row>28</xdr:row>
      <xdr:rowOff>124791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7918D87-70D6-4C83-8964-71105BE93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712857</xdr:colOff>
      <xdr:row>0</xdr:row>
      <xdr:rowOff>387212</xdr:rowOff>
    </xdr:from>
    <xdr:to>
      <xdr:col>27</xdr:col>
      <xdr:colOff>712857</xdr:colOff>
      <xdr:row>15</xdr:row>
      <xdr:rowOff>19741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2EDBE72-2B1D-42E0-845E-2132940EA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643835</xdr:colOff>
      <xdr:row>16</xdr:row>
      <xdr:rowOff>77027</xdr:rowOff>
    </xdr:from>
    <xdr:to>
      <xdr:col>27</xdr:col>
      <xdr:colOff>643835</xdr:colOff>
      <xdr:row>30</xdr:row>
      <xdr:rowOff>68469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4931A7C-FF09-480C-9CE7-A64D1951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600075</xdr:colOff>
      <xdr:row>17</xdr:row>
      <xdr:rowOff>47625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11E1093-B177-43AC-9EEF-EAA99BD872A2}"/>
            </a:ext>
          </a:extLst>
        </xdr:cNvPr>
        <xdr:cNvSpPr txBox="1"/>
      </xdr:nvSpPr>
      <xdr:spPr>
        <a:xfrm>
          <a:off x="8582025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600075</xdr:colOff>
      <xdr:row>27</xdr:row>
      <xdr:rowOff>47625</xdr:rowOff>
    </xdr:from>
    <xdr:ext cx="65" cy="17222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5D9752D-50EC-4670-BACB-5D9BDFD5FA84}"/>
            </a:ext>
          </a:extLst>
        </xdr:cNvPr>
        <xdr:cNvSpPr txBox="1"/>
      </xdr:nvSpPr>
      <xdr:spPr>
        <a:xfrm>
          <a:off x="12363450" y="3771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600075</xdr:colOff>
      <xdr:row>37</xdr:row>
      <xdr:rowOff>47625</xdr:rowOff>
    </xdr:from>
    <xdr:ext cx="65" cy="172227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8566A80-1697-4D10-BF8C-2D4A3764AA68}"/>
            </a:ext>
          </a:extLst>
        </xdr:cNvPr>
        <xdr:cNvSpPr txBox="1"/>
      </xdr:nvSpPr>
      <xdr:spPr>
        <a:xfrm>
          <a:off x="12363450" y="3771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600075</xdr:colOff>
      <xdr:row>47</xdr:row>
      <xdr:rowOff>47625</xdr:rowOff>
    </xdr:from>
    <xdr:ext cx="65" cy="17222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8083B63-EA14-4D66-8DC6-F6AC40D3F593}"/>
            </a:ext>
          </a:extLst>
        </xdr:cNvPr>
        <xdr:cNvSpPr txBox="1"/>
      </xdr:nvSpPr>
      <xdr:spPr>
        <a:xfrm>
          <a:off x="12363450" y="3771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X65"/>
  <sheetViews>
    <sheetView zoomScaleNormal="100" zoomScaleSheetLayoutView="69" workbookViewId="0">
      <selection activeCell="N30" sqref="N30"/>
    </sheetView>
  </sheetViews>
  <sheetFormatPr baseColWidth="10" defaultRowHeight="15" x14ac:dyDescent="0.25"/>
  <cols>
    <col min="1" max="1" width="6.42578125" style="3" customWidth="1"/>
    <col min="2" max="2" width="6.85546875" style="3" customWidth="1"/>
    <col min="3" max="3" width="7.42578125" style="3" customWidth="1"/>
    <col min="4" max="4" width="10.7109375" style="3" customWidth="1"/>
    <col min="5" max="5" width="10.28515625" style="3" customWidth="1"/>
    <col min="6" max="6" width="12.140625" style="3" customWidth="1"/>
    <col min="7" max="7" width="10" style="3" customWidth="1"/>
    <col min="8" max="8" width="10.42578125" style="3" customWidth="1"/>
    <col min="9" max="9" width="12.28515625" style="3" bestFit="1" customWidth="1"/>
    <col min="10" max="10" width="6.5703125" style="3" customWidth="1"/>
    <col min="11" max="11" width="3.28515625" style="3" customWidth="1"/>
    <col min="12" max="12" width="2.85546875" style="1" customWidth="1"/>
    <col min="13" max="13" width="16.5703125" style="1" customWidth="1"/>
    <col min="14" max="14" width="14.5703125" style="1" customWidth="1"/>
    <col min="15" max="15" width="5.7109375" style="3" customWidth="1"/>
    <col min="16" max="16384" width="11.42578125" style="3"/>
  </cols>
  <sheetData>
    <row r="1" spans="1:2286" ht="46.5" thickTop="1" thickBot="1" x14ac:dyDescent="0.3">
      <c r="A1" s="15" t="s">
        <v>34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29</v>
      </c>
      <c r="L1" s="3"/>
      <c r="O1" s="1"/>
    </row>
    <row r="2" spans="1:2286" s="5" customFormat="1" ht="16.5" customHeight="1" thickTop="1" thickBot="1" x14ac:dyDescent="0.3">
      <c r="A2" s="42">
        <v>1</v>
      </c>
      <c r="B2" s="4">
        <v>0</v>
      </c>
      <c r="C2" s="4">
        <v>0</v>
      </c>
      <c r="D2" s="4">
        <f t="shared" ref="D2:D15" si="0">$N$2+$N$3*C2/3.6+$N$4*(C2/3.6)^2</f>
        <v>3082</v>
      </c>
      <c r="E2" s="4">
        <f t="shared" ref="E2:E7" si="1">$N$5*9.81*0</f>
        <v>0</v>
      </c>
      <c r="F2" s="4">
        <f t="shared" ref="F2:F7" si="2">((($N$10/3.6)^2)/(2*$N$8*1000))*$N$5</f>
        <v>126806.40432098764</v>
      </c>
      <c r="G2" s="4">
        <f>SUM(D2:F2)</f>
        <v>129888.40432098764</v>
      </c>
      <c r="H2" s="4">
        <f>G2*C2/3.6</f>
        <v>0</v>
      </c>
      <c r="I2" s="19">
        <f>0.5*MAX(H2:H7)*(B7-B2)/3600</f>
        <v>84.188135819473018</v>
      </c>
      <c r="J2" s="22" t="s">
        <v>8</v>
      </c>
      <c r="K2" s="23"/>
      <c r="L2" s="24"/>
      <c r="M2" s="2" t="s">
        <v>9</v>
      </c>
      <c r="N2" s="11">
        <v>3082</v>
      </c>
      <c r="O2" s="1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</row>
    <row r="3" spans="1:2286" s="5" customFormat="1" ht="16.5" customHeight="1" thickTop="1" thickBot="1" x14ac:dyDescent="0.3">
      <c r="A3" s="42"/>
      <c r="B3" s="4">
        <v>22.04</v>
      </c>
      <c r="C3" s="4">
        <v>30</v>
      </c>
      <c r="D3" s="4">
        <f t="shared" si="0"/>
        <v>4789.9027777777783</v>
      </c>
      <c r="E3" s="4">
        <f t="shared" si="1"/>
        <v>0</v>
      </c>
      <c r="F3" s="4">
        <f t="shared" si="2"/>
        <v>126806.40432098764</v>
      </c>
      <c r="G3" s="4">
        <f t="shared" ref="G3:G15" si="3">SUM(D3:F3)</f>
        <v>131596.30709876542</v>
      </c>
      <c r="H3" s="4">
        <f>G3*C3/3600</f>
        <v>1096.6358924897118</v>
      </c>
      <c r="I3" s="19"/>
      <c r="J3" s="25"/>
      <c r="K3" s="26"/>
      <c r="L3" s="27"/>
      <c r="M3" s="2" t="s">
        <v>10</v>
      </c>
      <c r="N3" s="11">
        <v>109.04</v>
      </c>
      <c r="O3" s="1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</row>
    <row r="4" spans="1:2286" s="5" customFormat="1" ht="16.5" customHeight="1" thickTop="1" thickBot="1" x14ac:dyDescent="0.3">
      <c r="A4" s="42"/>
      <c r="B4" s="4">
        <v>44.08</v>
      </c>
      <c r="C4" s="4">
        <v>60</v>
      </c>
      <c r="D4" s="4">
        <f t="shared" si="0"/>
        <v>8096.2777777777792</v>
      </c>
      <c r="E4" s="4">
        <f t="shared" si="1"/>
        <v>0</v>
      </c>
      <c r="F4" s="4">
        <f t="shared" si="2"/>
        <v>126806.40432098764</v>
      </c>
      <c r="G4" s="4">
        <f t="shared" si="3"/>
        <v>134902.68209876542</v>
      </c>
      <c r="H4" s="4">
        <f t="shared" ref="H4:H15" si="4">G4*C4/3600</f>
        <v>2248.3780349794238</v>
      </c>
      <c r="I4" s="19"/>
      <c r="J4" s="25"/>
      <c r="K4" s="26"/>
      <c r="L4" s="27"/>
      <c r="M4" s="2" t="s">
        <v>11</v>
      </c>
      <c r="N4" s="11">
        <v>11.509</v>
      </c>
      <c r="O4" s="1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</row>
    <row r="5" spans="1:2286" s="5" customFormat="1" ht="16.5" customHeight="1" thickTop="1" thickBot="1" x14ac:dyDescent="0.3">
      <c r="A5" s="42"/>
      <c r="B5" s="4">
        <v>66.12</v>
      </c>
      <c r="C5" s="4">
        <v>90</v>
      </c>
      <c r="D5" s="4">
        <f t="shared" si="0"/>
        <v>13001.125</v>
      </c>
      <c r="E5" s="4">
        <f t="shared" si="1"/>
        <v>0</v>
      </c>
      <c r="F5" s="4">
        <f t="shared" si="2"/>
        <v>126806.40432098764</v>
      </c>
      <c r="G5" s="4">
        <f t="shared" si="3"/>
        <v>139807.52932098764</v>
      </c>
      <c r="H5" s="4">
        <f t="shared" si="4"/>
        <v>3495.1882330246913</v>
      </c>
      <c r="I5" s="19"/>
      <c r="J5" s="25"/>
      <c r="K5" s="26"/>
      <c r="L5" s="27"/>
      <c r="M5" s="2" t="s">
        <v>12</v>
      </c>
      <c r="N5" s="11">
        <v>335390</v>
      </c>
      <c r="O5" s="12" t="s">
        <v>25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</row>
    <row r="6" spans="1:2286" s="5" customFormat="1" ht="16.5" customHeight="1" thickTop="1" thickBot="1" x14ac:dyDescent="0.3">
      <c r="A6" s="42"/>
      <c r="B6" s="4">
        <v>88.16</v>
      </c>
      <c r="C6" s="4">
        <v>120</v>
      </c>
      <c r="D6" s="4">
        <f t="shared" si="0"/>
        <v>19504.444444444449</v>
      </c>
      <c r="E6" s="4">
        <f t="shared" si="1"/>
        <v>0</v>
      </c>
      <c r="F6" s="4">
        <f t="shared" si="2"/>
        <v>126806.40432098764</v>
      </c>
      <c r="G6" s="4">
        <f t="shared" si="3"/>
        <v>146310.84876543208</v>
      </c>
      <c r="H6" s="4">
        <f t="shared" si="4"/>
        <v>4877.0282921810694</v>
      </c>
      <c r="I6" s="19"/>
      <c r="J6" s="25"/>
      <c r="K6" s="26"/>
      <c r="L6" s="27"/>
      <c r="M6" s="2" t="s">
        <v>16</v>
      </c>
      <c r="N6" s="11">
        <v>0.378</v>
      </c>
      <c r="O6" s="12" t="s">
        <v>24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</row>
    <row r="7" spans="1:2286" s="5" customFormat="1" ht="16.5" customHeight="1" thickTop="1" thickBot="1" x14ac:dyDescent="0.3">
      <c r="A7" s="42"/>
      <c r="B7" s="4">
        <v>102.86</v>
      </c>
      <c r="C7" s="4">
        <v>140</v>
      </c>
      <c r="D7" s="4">
        <f t="shared" si="0"/>
        <v>24728.030864197532</v>
      </c>
      <c r="E7" s="4">
        <f t="shared" si="1"/>
        <v>0</v>
      </c>
      <c r="F7" s="4">
        <f t="shared" si="2"/>
        <v>126806.40432098764</v>
      </c>
      <c r="G7" s="4">
        <f t="shared" si="3"/>
        <v>151534.43518518517</v>
      </c>
      <c r="H7" s="4">
        <f t="shared" si="4"/>
        <v>5893.0058127572011</v>
      </c>
      <c r="I7" s="19"/>
      <c r="J7" s="25"/>
      <c r="K7" s="26"/>
      <c r="L7" s="27"/>
      <c r="M7" s="2" t="s">
        <v>17</v>
      </c>
      <c r="N7" s="11">
        <v>-0.75600000000000001</v>
      </c>
      <c r="O7" s="12" t="s">
        <v>24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</row>
    <row r="8" spans="1:2286" s="7" customFormat="1" ht="16.5" customHeight="1" thickTop="1" thickBot="1" x14ac:dyDescent="0.3">
      <c r="A8" s="40">
        <v>2</v>
      </c>
      <c r="B8" s="6">
        <v>102.86</v>
      </c>
      <c r="C8" s="6">
        <v>140</v>
      </c>
      <c r="D8" s="6">
        <f t="shared" si="0"/>
        <v>24728.030864197532</v>
      </c>
      <c r="E8" s="6">
        <f>$N$5*9.81*0.003</f>
        <v>9870.5277000000006</v>
      </c>
      <c r="F8" s="6">
        <v>0</v>
      </c>
      <c r="G8" s="6">
        <f t="shared" si="3"/>
        <v>34598.558564197534</v>
      </c>
      <c r="H8" s="6">
        <f t="shared" si="4"/>
        <v>1345.499499718793</v>
      </c>
      <c r="I8" s="20">
        <f>(B9-B8)*MAX(H8:H9)/3600</f>
        <v>278.70900887091699</v>
      </c>
      <c r="J8" s="25"/>
      <c r="K8" s="26"/>
      <c r="L8" s="27"/>
      <c r="M8" s="2" t="s">
        <v>18</v>
      </c>
      <c r="N8" s="13">
        <v>2</v>
      </c>
      <c r="O8" s="12" t="s">
        <v>27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</row>
    <row r="9" spans="1:2286" s="7" customFormat="1" ht="16.5" customHeight="1" thickTop="1" thickBot="1" x14ac:dyDescent="0.3">
      <c r="A9" s="40"/>
      <c r="B9" s="6">
        <v>848.57</v>
      </c>
      <c r="C9" s="6">
        <v>140</v>
      </c>
      <c r="D9" s="6">
        <f t="shared" si="0"/>
        <v>24728.030864197532</v>
      </c>
      <c r="E9" s="6">
        <f>$N$5*9.81*0.003</f>
        <v>9870.5277000000006</v>
      </c>
      <c r="F9" s="6">
        <v>0</v>
      </c>
      <c r="G9" s="6">
        <f t="shared" si="3"/>
        <v>34598.558564197534</v>
      </c>
      <c r="H9" s="6">
        <f t="shared" si="4"/>
        <v>1345.499499718793</v>
      </c>
      <c r="I9" s="20"/>
      <c r="J9" s="25"/>
      <c r="K9" s="26"/>
      <c r="L9" s="27"/>
      <c r="M9" s="2" t="s">
        <v>19</v>
      </c>
      <c r="N9" s="13">
        <v>1</v>
      </c>
      <c r="O9" s="12" t="s">
        <v>27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</row>
    <row r="10" spans="1:2286" s="9" customFormat="1" ht="16.5" customHeight="1" thickTop="1" thickBot="1" x14ac:dyDescent="0.3">
      <c r="A10" s="41">
        <v>3</v>
      </c>
      <c r="B10" s="8">
        <v>848.57</v>
      </c>
      <c r="C10" s="8">
        <v>140</v>
      </c>
      <c r="D10" s="8">
        <f t="shared" si="0"/>
        <v>24728.030864197532</v>
      </c>
      <c r="E10" s="8">
        <f t="shared" ref="E10:E15" si="5">$N$5*9.81*-0.0017</f>
        <v>-5593.2990300000001</v>
      </c>
      <c r="F10" s="8">
        <f t="shared" ref="F10:F15" si="6">-((($N$10/3.6)^2)/(2*$N$9*1000))*$N$5</f>
        <v>-253612.80864197528</v>
      </c>
      <c r="G10" s="8">
        <f t="shared" si="3"/>
        <v>-234478.07680777775</v>
      </c>
      <c r="H10" s="8">
        <f t="shared" si="4"/>
        <v>-9118.5918758580228</v>
      </c>
      <c r="I10" s="21">
        <f>0.5*(B15-B10)*MIN(H10:H15)/3600</f>
        <v>-65.134608357691334</v>
      </c>
      <c r="J10" s="25"/>
      <c r="K10" s="26"/>
      <c r="L10" s="27"/>
      <c r="M10" s="2" t="s">
        <v>20</v>
      </c>
      <c r="N10" s="13">
        <v>140</v>
      </c>
      <c r="O10" s="12" t="s">
        <v>26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</row>
    <row r="11" spans="1:2286" s="9" customFormat="1" ht="16.5" customHeight="1" thickTop="1" thickBot="1" x14ac:dyDescent="0.3">
      <c r="A11" s="41"/>
      <c r="B11" s="8">
        <v>855.92</v>
      </c>
      <c r="C11" s="8">
        <v>120</v>
      </c>
      <c r="D11" s="8">
        <f t="shared" si="0"/>
        <v>19504.444444444449</v>
      </c>
      <c r="E11" s="8">
        <f t="shared" si="5"/>
        <v>-5593.2990300000001</v>
      </c>
      <c r="F11" s="8">
        <f t="shared" si="6"/>
        <v>-253612.80864197528</v>
      </c>
      <c r="G11" s="8">
        <f t="shared" si="3"/>
        <v>-239701.66322753084</v>
      </c>
      <c r="H11" s="8">
        <f t="shared" si="4"/>
        <v>-7990.0554409176948</v>
      </c>
      <c r="I11" s="21"/>
      <c r="J11" s="25"/>
      <c r="K11" s="26"/>
      <c r="L11" s="27"/>
      <c r="M11" s="2" t="s">
        <v>21</v>
      </c>
      <c r="N11" s="13">
        <v>32</v>
      </c>
      <c r="O11" s="12" t="s">
        <v>27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</row>
    <row r="12" spans="1:2286" s="9" customFormat="1" ht="16.5" customHeight="1" thickTop="1" thickBot="1" x14ac:dyDescent="0.3">
      <c r="A12" s="41"/>
      <c r="B12" s="8">
        <v>866.94</v>
      </c>
      <c r="C12" s="8">
        <v>90</v>
      </c>
      <c r="D12" s="8">
        <f t="shared" si="0"/>
        <v>13001.125</v>
      </c>
      <c r="E12" s="8">
        <f t="shared" si="5"/>
        <v>-5593.2990300000001</v>
      </c>
      <c r="F12" s="8">
        <f t="shared" si="6"/>
        <v>-253612.80864197528</v>
      </c>
      <c r="G12" s="8">
        <f t="shared" si="3"/>
        <v>-246204.98267197527</v>
      </c>
      <c r="H12" s="8">
        <f t="shared" si="4"/>
        <v>-6155.1245667993817</v>
      </c>
      <c r="I12" s="21"/>
      <c r="J12" s="25"/>
      <c r="K12" s="26"/>
      <c r="L12" s="27"/>
      <c r="M12" s="2" t="s">
        <v>22</v>
      </c>
      <c r="N12" s="13">
        <v>5</v>
      </c>
      <c r="O12" s="1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</row>
    <row r="13" spans="1:2286" s="9" customFormat="1" ht="16.5" customHeight="1" thickTop="1" thickBot="1" x14ac:dyDescent="0.3">
      <c r="A13" s="41"/>
      <c r="B13" s="8">
        <v>877.96</v>
      </c>
      <c r="C13" s="8">
        <v>60</v>
      </c>
      <c r="D13" s="8">
        <f t="shared" si="0"/>
        <v>8096.2777777777792</v>
      </c>
      <c r="E13" s="8">
        <f t="shared" si="5"/>
        <v>-5593.2990300000001</v>
      </c>
      <c r="F13" s="8">
        <f t="shared" si="6"/>
        <v>-253612.80864197528</v>
      </c>
      <c r="G13" s="8">
        <f t="shared" si="3"/>
        <v>-251109.82989419749</v>
      </c>
      <c r="H13" s="8">
        <f t="shared" si="4"/>
        <v>-4185.1638315699583</v>
      </c>
      <c r="I13" s="21"/>
      <c r="J13" s="25"/>
      <c r="K13" s="26"/>
      <c r="L13" s="27"/>
      <c r="M13" s="2" t="s">
        <v>23</v>
      </c>
      <c r="N13" s="13">
        <v>240</v>
      </c>
      <c r="O13" s="12" t="s">
        <v>28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</row>
    <row r="14" spans="1:2286" s="9" customFormat="1" ht="15.75" customHeight="1" thickTop="1" thickBot="1" x14ac:dyDescent="0.3">
      <c r="A14" s="41"/>
      <c r="B14" s="8">
        <v>888.98</v>
      </c>
      <c r="C14" s="8">
        <v>30</v>
      </c>
      <c r="D14" s="8">
        <f t="shared" si="0"/>
        <v>4789.9027777777783</v>
      </c>
      <c r="E14" s="8">
        <f t="shared" si="5"/>
        <v>-5593.2990300000001</v>
      </c>
      <c r="F14" s="8">
        <f t="shared" si="6"/>
        <v>-253612.80864197528</v>
      </c>
      <c r="G14" s="8">
        <f t="shared" si="3"/>
        <v>-254416.20489419749</v>
      </c>
      <c r="H14" s="8">
        <f t="shared" si="4"/>
        <v>-2120.1350407849791</v>
      </c>
      <c r="I14" s="21"/>
      <c r="J14" s="25"/>
      <c r="K14" s="26"/>
      <c r="L14" s="27"/>
      <c r="M14" s="2" t="s">
        <v>31</v>
      </c>
      <c r="N14" s="11">
        <f>I2+I8</f>
        <v>362.89714469039001</v>
      </c>
      <c r="O14" s="12" t="s">
        <v>32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</row>
    <row r="15" spans="1:2286" s="9" customFormat="1" ht="15" customHeight="1" thickTop="1" thickBot="1" x14ac:dyDescent="0.3">
      <c r="A15" s="41"/>
      <c r="B15" s="8">
        <v>900</v>
      </c>
      <c r="C15" s="8">
        <v>0</v>
      </c>
      <c r="D15" s="8">
        <f t="shared" si="0"/>
        <v>3082</v>
      </c>
      <c r="E15" s="8">
        <f t="shared" si="5"/>
        <v>-5593.2990300000001</v>
      </c>
      <c r="F15" s="8">
        <f t="shared" si="6"/>
        <v>-253612.80864197528</v>
      </c>
      <c r="G15" s="8">
        <f t="shared" si="3"/>
        <v>-256124.10767197527</v>
      </c>
      <c r="H15" s="8">
        <f t="shared" si="4"/>
        <v>0</v>
      </c>
      <c r="I15" s="21"/>
      <c r="J15" s="28"/>
      <c r="K15" s="29"/>
      <c r="L15" s="30"/>
      <c r="M15" s="2" t="s">
        <v>30</v>
      </c>
      <c r="N15" s="11">
        <f>I10</f>
        <v>-65.134608357691334</v>
      </c>
      <c r="O15" s="12" t="s">
        <v>32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</row>
    <row r="16" spans="1:2286" ht="16.5" thickTop="1" thickBot="1" x14ac:dyDescent="0.3">
      <c r="D16" s="10"/>
      <c r="L16" s="3"/>
      <c r="M16" s="2" t="s">
        <v>33</v>
      </c>
      <c r="N16" s="11">
        <f>N14+N15</f>
        <v>297.76253633269869</v>
      </c>
      <c r="O16" s="12" t="s">
        <v>32</v>
      </c>
    </row>
    <row r="17" spans="1:15" s="17" customFormat="1" ht="46.5" thickTop="1" thickBot="1" x14ac:dyDescent="0.3">
      <c r="A17" s="15" t="s">
        <v>0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  <c r="G17" s="16" t="s">
        <v>6</v>
      </c>
      <c r="H17" s="16" t="s">
        <v>7</v>
      </c>
      <c r="I17" s="16" t="s">
        <v>29</v>
      </c>
      <c r="M17" s="18"/>
      <c r="N17" s="18"/>
      <c r="O17" s="18"/>
    </row>
    <row r="18" spans="1:15" ht="15.75" customHeight="1" thickTop="1" thickBot="1" x14ac:dyDescent="0.3">
      <c r="A18" s="42">
        <v>1</v>
      </c>
      <c r="B18" s="4">
        <v>0</v>
      </c>
      <c r="C18" s="4">
        <v>0</v>
      </c>
      <c r="D18" s="4">
        <f t="shared" ref="D18:D31" si="7">$N$18+$N$19*C18/3.6+$N$20*(C18/3.6)^2</f>
        <v>1552</v>
      </c>
      <c r="E18" s="4">
        <f t="shared" ref="E18:E23" si="8">$N$21*9.81*0</f>
        <v>0</v>
      </c>
      <c r="F18" s="4">
        <f t="shared" ref="F18:F23" si="9">((($N$26/3.6)^2)/(2*$N$24*1000))*$N$21</f>
        <v>48206.937095825982</v>
      </c>
      <c r="G18" s="4">
        <f>SUM(D18:F18)</f>
        <v>49758.937095825982</v>
      </c>
      <c r="H18" s="4">
        <f>G18*C18/3.6</f>
        <v>0</v>
      </c>
      <c r="I18" s="19">
        <f>0.5*MAX(H18:H23)*(B23-B18)/3600</f>
        <v>1.5127866105109742</v>
      </c>
      <c r="J18" s="31" t="s">
        <v>13</v>
      </c>
      <c r="K18" s="32"/>
      <c r="L18" s="33"/>
      <c r="M18" s="2" t="s">
        <v>9</v>
      </c>
      <c r="N18" s="11">
        <v>1552</v>
      </c>
      <c r="O18" s="12"/>
    </row>
    <row r="19" spans="1:15" ht="15" customHeight="1" thickTop="1" thickBot="1" x14ac:dyDescent="0.3">
      <c r="A19" s="42"/>
      <c r="B19" s="14">
        <v>3.02</v>
      </c>
      <c r="C19" s="4">
        <v>10</v>
      </c>
      <c r="D19" s="4">
        <f t="shared" si="7"/>
        <v>1725.9212962962963</v>
      </c>
      <c r="E19" s="4">
        <f t="shared" si="8"/>
        <v>0</v>
      </c>
      <c r="F19" s="4">
        <f t="shared" si="9"/>
        <v>48206.937095825982</v>
      </c>
      <c r="G19" s="4">
        <f t="shared" ref="G19:G30" si="10">SUM(D19:F19)</f>
        <v>49932.858392122282</v>
      </c>
      <c r="H19" s="4">
        <f>G19*C19/3600</f>
        <v>138.70238442256189</v>
      </c>
      <c r="I19" s="19"/>
      <c r="J19" s="34"/>
      <c r="K19" s="35"/>
      <c r="L19" s="36"/>
      <c r="M19" s="2" t="s">
        <v>10</v>
      </c>
      <c r="N19" s="11">
        <v>40.32</v>
      </c>
      <c r="O19" s="12"/>
    </row>
    <row r="20" spans="1:15" ht="15" customHeight="1" thickTop="1" thickBot="1" x14ac:dyDescent="0.3">
      <c r="A20" s="42"/>
      <c r="B20" s="4">
        <v>6.05</v>
      </c>
      <c r="C20" s="4">
        <v>20</v>
      </c>
      <c r="D20" s="4">
        <f t="shared" si="7"/>
        <v>2023.6851851851852</v>
      </c>
      <c r="E20" s="4">
        <f t="shared" si="8"/>
        <v>0</v>
      </c>
      <c r="F20" s="4">
        <f t="shared" si="9"/>
        <v>48206.937095825982</v>
      </c>
      <c r="G20" s="4">
        <f t="shared" si="10"/>
        <v>50230.622281011165</v>
      </c>
      <c r="H20" s="4">
        <f t="shared" ref="H20:H31" si="11">G20*C20/3600</f>
        <v>279.05901267228427</v>
      </c>
      <c r="I20" s="19"/>
      <c r="J20" s="34"/>
      <c r="K20" s="35"/>
      <c r="L20" s="36"/>
      <c r="M20" s="2" t="s">
        <v>11</v>
      </c>
      <c r="N20" s="11">
        <v>8.0250000000000004</v>
      </c>
      <c r="O20" s="12"/>
    </row>
    <row r="21" spans="1:15" ht="15" customHeight="1" thickTop="1" thickBot="1" x14ac:dyDescent="0.3">
      <c r="A21" s="42"/>
      <c r="B21" s="4">
        <v>9.07</v>
      </c>
      <c r="C21" s="4">
        <v>30</v>
      </c>
      <c r="D21" s="4">
        <f t="shared" si="7"/>
        <v>2445.291666666667</v>
      </c>
      <c r="E21" s="4">
        <f t="shared" si="8"/>
        <v>0</v>
      </c>
      <c r="F21" s="4">
        <f t="shared" si="9"/>
        <v>48206.937095825982</v>
      </c>
      <c r="G21" s="4">
        <f t="shared" si="10"/>
        <v>50652.228762492647</v>
      </c>
      <c r="H21" s="4">
        <f t="shared" si="11"/>
        <v>422.10190635410538</v>
      </c>
      <c r="I21" s="19"/>
      <c r="J21" s="34"/>
      <c r="K21" s="35"/>
      <c r="L21" s="36"/>
      <c r="M21" s="2" t="s">
        <v>12</v>
      </c>
      <c r="N21" s="11">
        <v>52480</v>
      </c>
      <c r="O21" s="12" t="s">
        <v>25</v>
      </c>
    </row>
    <row r="22" spans="1:15" ht="15" customHeight="1" thickTop="1" thickBot="1" x14ac:dyDescent="0.3">
      <c r="A22" s="42"/>
      <c r="B22" s="4">
        <v>12.2</v>
      </c>
      <c r="C22" s="4">
        <v>40</v>
      </c>
      <c r="D22" s="4">
        <f t="shared" si="7"/>
        <v>2990.7407407407409</v>
      </c>
      <c r="E22" s="4">
        <f t="shared" si="8"/>
        <v>0</v>
      </c>
      <c r="F22" s="4">
        <f t="shared" si="9"/>
        <v>48206.937095825982</v>
      </c>
      <c r="G22" s="4">
        <f t="shared" si="10"/>
        <v>51197.677836566727</v>
      </c>
      <c r="H22" s="4">
        <f t="shared" si="11"/>
        <v>568.86308707296359</v>
      </c>
      <c r="I22" s="19"/>
      <c r="J22" s="34"/>
      <c r="K22" s="35"/>
      <c r="L22" s="36"/>
      <c r="M22" s="2" t="s">
        <v>16</v>
      </c>
      <c r="N22" s="11">
        <v>0.378</v>
      </c>
      <c r="O22" s="12" t="s">
        <v>24</v>
      </c>
    </row>
    <row r="23" spans="1:15" ht="15" customHeight="1" thickTop="1" thickBot="1" x14ac:dyDescent="0.3">
      <c r="A23" s="42"/>
      <c r="B23" s="4">
        <v>15.12</v>
      </c>
      <c r="C23" s="4">
        <v>50</v>
      </c>
      <c r="D23" s="4">
        <f t="shared" si="7"/>
        <v>3660.0324074074078</v>
      </c>
      <c r="E23" s="4">
        <f t="shared" si="8"/>
        <v>0</v>
      </c>
      <c r="F23" s="4">
        <f t="shared" si="9"/>
        <v>48206.937095825982</v>
      </c>
      <c r="G23" s="4">
        <f t="shared" si="10"/>
        <v>51866.969503233391</v>
      </c>
      <c r="H23" s="4">
        <f t="shared" si="11"/>
        <v>720.37457643379719</v>
      </c>
      <c r="I23" s="19"/>
      <c r="J23" s="34"/>
      <c r="K23" s="35"/>
      <c r="L23" s="36"/>
      <c r="M23" s="2" t="s">
        <v>17</v>
      </c>
      <c r="N23" s="11">
        <v>-0.75600000000000001</v>
      </c>
      <c r="O23" s="12" t="s">
        <v>24</v>
      </c>
    </row>
    <row r="24" spans="1:15" ht="15" customHeight="1" thickTop="1" thickBot="1" x14ac:dyDescent="0.3">
      <c r="A24" s="40">
        <v>2</v>
      </c>
      <c r="B24" s="6">
        <v>15.12</v>
      </c>
      <c r="C24" s="6">
        <v>50</v>
      </c>
      <c r="D24" s="6">
        <f t="shared" si="7"/>
        <v>3660.0324074074078</v>
      </c>
      <c r="E24" s="6">
        <f>$N$21*9.81*0.003</f>
        <v>1544.4864000000002</v>
      </c>
      <c r="F24" s="6">
        <v>0</v>
      </c>
      <c r="G24" s="6">
        <f t="shared" si="10"/>
        <v>5204.5188074074085</v>
      </c>
      <c r="H24" s="6">
        <f t="shared" si="11"/>
        <v>72.284983436214006</v>
      </c>
      <c r="I24" s="20">
        <f>(B25-B24)*MAX(H24:H25)/3600</f>
        <v>0.43370990061728409</v>
      </c>
      <c r="J24" s="34"/>
      <c r="K24" s="35"/>
      <c r="L24" s="36"/>
      <c r="M24" s="2" t="s">
        <v>18</v>
      </c>
      <c r="N24" s="13">
        <v>0.105</v>
      </c>
      <c r="O24" s="12" t="s">
        <v>27</v>
      </c>
    </row>
    <row r="25" spans="1:15" ht="15" customHeight="1" thickTop="1" thickBot="1" x14ac:dyDescent="0.3">
      <c r="A25" s="40"/>
      <c r="B25" s="6">
        <v>36.72</v>
      </c>
      <c r="C25" s="6">
        <v>50</v>
      </c>
      <c r="D25" s="6">
        <f t="shared" si="7"/>
        <v>3660.0324074074078</v>
      </c>
      <c r="E25" s="6">
        <f>$N$21*9.81*0.003</f>
        <v>1544.4864000000002</v>
      </c>
      <c r="F25" s="6">
        <v>0</v>
      </c>
      <c r="G25" s="6">
        <f t="shared" si="10"/>
        <v>5204.5188074074085</v>
      </c>
      <c r="H25" s="6">
        <f t="shared" si="11"/>
        <v>72.284983436214006</v>
      </c>
      <c r="I25" s="20"/>
      <c r="J25" s="34"/>
      <c r="K25" s="35"/>
      <c r="L25" s="36"/>
      <c r="M25" s="2" t="s">
        <v>19</v>
      </c>
      <c r="N25" s="13">
        <v>0.08</v>
      </c>
      <c r="O25" s="12" t="s">
        <v>27</v>
      </c>
    </row>
    <row r="26" spans="1:15" ht="15" customHeight="1" thickTop="1" thickBot="1" x14ac:dyDescent="0.3">
      <c r="A26" s="41">
        <v>3</v>
      </c>
      <c r="B26" s="8">
        <v>36.72</v>
      </c>
      <c r="C26" s="8">
        <v>50</v>
      </c>
      <c r="D26" s="8">
        <f t="shared" si="7"/>
        <v>3660.0324074074078</v>
      </c>
      <c r="E26" s="8">
        <f t="shared" ref="E26:E31" si="12">$N$21*9.81*-0.0017</f>
        <v>-875.20896000000005</v>
      </c>
      <c r="F26" s="8">
        <f t="shared" ref="F26:F31" si="13">-((($N$26/3.6)^2)/(2*$N$25*1000))*$N$21</f>
        <v>-63271.604938271608</v>
      </c>
      <c r="G26" s="8">
        <f t="shared" si="10"/>
        <v>-60486.781490864203</v>
      </c>
      <c r="H26" s="8">
        <f t="shared" si="11"/>
        <v>-840.09418737311398</v>
      </c>
      <c r="I26" s="21">
        <f>0.5*(B31-B26)*MIN(H26:H31)/3600</f>
        <v>-1.3441506997969828</v>
      </c>
      <c r="J26" s="34"/>
      <c r="K26" s="35"/>
      <c r="L26" s="36"/>
      <c r="M26" s="2" t="s">
        <v>20</v>
      </c>
      <c r="N26" s="13">
        <v>50</v>
      </c>
      <c r="O26" s="12" t="s">
        <v>26</v>
      </c>
    </row>
    <row r="27" spans="1:15" ht="15" customHeight="1" thickTop="1" thickBot="1" x14ac:dyDescent="0.3">
      <c r="A27" s="41"/>
      <c r="B27" s="8">
        <v>39.020000000000003</v>
      </c>
      <c r="C27" s="8">
        <v>40</v>
      </c>
      <c r="D27" s="8">
        <f t="shared" si="7"/>
        <v>2990.7407407407409</v>
      </c>
      <c r="E27" s="8">
        <f t="shared" si="12"/>
        <v>-875.20896000000005</v>
      </c>
      <c r="F27" s="8">
        <f t="shared" si="13"/>
        <v>-63271.604938271608</v>
      </c>
      <c r="G27" s="8">
        <f t="shared" si="10"/>
        <v>-61156.073157530867</v>
      </c>
      <c r="H27" s="8">
        <f t="shared" si="11"/>
        <v>-679.51192397256523</v>
      </c>
      <c r="I27" s="21"/>
      <c r="J27" s="34"/>
      <c r="K27" s="35"/>
      <c r="L27" s="36"/>
      <c r="M27" s="2" t="s">
        <v>21</v>
      </c>
      <c r="N27" s="13">
        <v>0.48499999999999999</v>
      </c>
      <c r="O27" s="12" t="s">
        <v>27</v>
      </c>
    </row>
    <row r="28" spans="1:15" ht="15" customHeight="1" thickTop="1" thickBot="1" x14ac:dyDescent="0.3">
      <c r="A28" s="41"/>
      <c r="B28" s="8">
        <v>41.33</v>
      </c>
      <c r="C28" s="8">
        <v>30</v>
      </c>
      <c r="D28" s="8">
        <f t="shared" si="7"/>
        <v>2445.291666666667</v>
      </c>
      <c r="E28" s="8">
        <f t="shared" si="12"/>
        <v>-875.20896000000005</v>
      </c>
      <c r="F28" s="8">
        <f t="shared" si="13"/>
        <v>-63271.604938271608</v>
      </c>
      <c r="G28" s="8">
        <f t="shared" si="10"/>
        <v>-61701.52223160494</v>
      </c>
      <c r="H28" s="8">
        <f t="shared" si="11"/>
        <v>-514.17935193004121</v>
      </c>
      <c r="I28" s="21"/>
      <c r="J28" s="34"/>
      <c r="K28" s="35"/>
      <c r="L28" s="36"/>
      <c r="M28" s="2" t="s">
        <v>22</v>
      </c>
      <c r="N28" s="13">
        <v>24</v>
      </c>
      <c r="O28" s="12"/>
    </row>
    <row r="29" spans="1:15" ht="15" customHeight="1" thickTop="1" thickBot="1" x14ac:dyDescent="0.3">
      <c r="A29" s="41"/>
      <c r="B29" s="8">
        <v>43.63</v>
      </c>
      <c r="C29" s="8">
        <v>20</v>
      </c>
      <c r="D29" s="8">
        <f t="shared" si="7"/>
        <v>2023.6851851851852</v>
      </c>
      <c r="E29" s="8">
        <f t="shared" si="12"/>
        <v>-875.20896000000005</v>
      </c>
      <c r="F29" s="8">
        <f t="shared" si="13"/>
        <v>-63271.604938271608</v>
      </c>
      <c r="G29" s="8">
        <f t="shared" si="10"/>
        <v>-62123.128713086422</v>
      </c>
      <c r="H29" s="8">
        <f t="shared" si="11"/>
        <v>-345.12849285048014</v>
      </c>
      <c r="I29" s="21"/>
      <c r="J29" s="34"/>
      <c r="K29" s="35"/>
      <c r="L29" s="36"/>
      <c r="M29" s="2" t="s">
        <v>23</v>
      </c>
      <c r="N29" s="13">
        <v>53.77</v>
      </c>
      <c r="O29" s="12"/>
    </row>
    <row r="30" spans="1:15" ht="15" customHeight="1" thickTop="1" thickBot="1" x14ac:dyDescent="0.3">
      <c r="A30" s="41"/>
      <c r="B30" s="8">
        <v>45.94</v>
      </c>
      <c r="C30" s="8">
        <v>10</v>
      </c>
      <c r="D30" s="8">
        <f t="shared" si="7"/>
        <v>1725.9212962962963</v>
      </c>
      <c r="E30" s="8">
        <f t="shared" si="12"/>
        <v>-875.20896000000005</v>
      </c>
      <c r="F30" s="8">
        <f t="shared" si="13"/>
        <v>-63271.604938271608</v>
      </c>
      <c r="G30" s="8">
        <f t="shared" si="10"/>
        <v>-62420.892601975313</v>
      </c>
      <c r="H30" s="8">
        <f t="shared" si="11"/>
        <v>-173.39136833882031</v>
      </c>
      <c r="I30" s="21"/>
      <c r="J30" s="34"/>
      <c r="K30" s="35"/>
      <c r="L30" s="36"/>
      <c r="M30" s="2" t="s">
        <v>31</v>
      </c>
      <c r="N30" s="11">
        <f>I18+I24</f>
        <v>1.9464965111282582</v>
      </c>
      <c r="O30" s="12" t="s">
        <v>32</v>
      </c>
    </row>
    <row r="31" spans="1:15" ht="16.5" customHeight="1" thickTop="1" thickBot="1" x14ac:dyDescent="0.3">
      <c r="A31" s="41"/>
      <c r="B31" s="8">
        <v>48.24</v>
      </c>
      <c r="C31" s="8">
        <v>0</v>
      </c>
      <c r="D31" s="8">
        <f t="shared" si="7"/>
        <v>1552</v>
      </c>
      <c r="E31" s="8">
        <f t="shared" si="12"/>
        <v>-875.20896000000005</v>
      </c>
      <c r="F31" s="8">
        <f t="shared" si="13"/>
        <v>-63271.604938271608</v>
      </c>
      <c r="G31" s="8">
        <f>SUM(D31:F31)</f>
        <v>-62594.813898271612</v>
      </c>
      <c r="H31" s="8">
        <f t="shared" si="11"/>
        <v>0</v>
      </c>
      <c r="I31" s="21"/>
      <c r="J31" s="37"/>
      <c r="K31" s="38"/>
      <c r="L31" s="39"/>
      <c r="M31" s="2" t="s">
        <v>30</v>
      </c>
      <c r="N31" s="11">
        <f>I26</f>
        <v>-1.3441506997969828</v>
      </c>
      <c r="O31" s="12" t="s">
        <v>32</v>
      </c>
    </row>
    <row r="32" spans="1:15" ht="16.5" thickTop="1" thickBot="1" x14ac:dyDescent="0.3">
      <c r="L32" s="3"/>
      <c r="M32" s="2" t="s">
        <v>33</v>
      </c>
      <c r="N32" s="11">
        <f>N30+N31</f>
        <v>0.6023458113312754</v>
      </c>
      <c r="O32" s="12" t="s">
        <v>32</v>
      </c>
    </row>
    <row r="33" spans="1:15" s="17" customFormat="1" ht="46.5" thickTop="1" thickBot="1" x14ac:dyDescent="0.3">
      <c r="A33" s="15" t="s">
        <v>0</v>
      </c>
      <c r="B33" s="16" t="s">
        <v>1</v>
      </c>
      <c r="C33" s="16" t="s">
        <v>2</v>
      </c>
      <c r="D33" s="16" t="s">
        <v>3</v>
      </c>
      <c r="E33" s="16" t="s">
        <v>4</v>
      </c>
      <c r="F33" s="16" t="s">
        <v>5</v>
      </c>
      <c r="G33" s="16" t="s">
        <v>6</v>
      </c>
      <c r="H33" s="16" t="s">
        <v>7</v>
      </c>
      <c r="I33" s="16" t="s">
        <v>29</v>
      </c>
      <c r="M33" s="18"/>
      <c r="N33" s="18"/>
      <c r="O33" s="18"/>
    </row>
    <row r="34" spans="1:15" ht="16.5" customHeight="1" thickTop="1" thickBot="1" x14ac:dyDescent="0.3">
      <c r="A34" s="42">
        <v>1</v>
      </c>
      <c r="B34" s="4">
        <v>0</v>
      </c>
      <c r="C34" s="4">
        <v>0</v>
      </c>
      <c r="D34" s="4">
        <f t="shared" ref="D34:D47" si="14">$N$34+$N$35*C34/3.6+$N$36*(C34/3.6)^2</f>
        <v>3182</v>
      </c>
      <c r="E34" s="4">
        <f t="shared" ref="E34:E39" si="15">$N$37*9.81*0</f>
        <v>0</v>
      </c>
      <c r="F34" s="4">
        <f t="shared" ref="F34:F39" si="16">((($N$42/3.6)^2)/(2*$N$40*1000))*$N$37</f>
        <v>113310.18518518518</v>
      </c>
      <c r="G34" s="4">
        <f>SUM(D34:F34)</f>
        <v>116492.18518518518</v>
      </c>
      <c r="H34" s="4">
        <f>G34*C34/3.6</f>
        <v>0</v>
      </c>
      <c r="I34" s="19">
        <f>0.5*MAX(H34:H39)*(B39-B34)/3600</f>
        <v>35.784403292181068</v>
      </c>
      <c r="J34" s="22" t="s">
        <v>14</v>
      </c>
      <c r="K34" s="23"/>
      <c r="L34" s="24"/>
      <c r="M34" s="2" t="s">
        <v>9</v>
      </c>
      <c r="N34" s="11">
        <v>3182</v>
      </c>
      <c r="O34" s="12"/>
    </row>
    <row r="35" spans="1:15" ht="16.5" customHeight="1" thickTop="1" thickBot="1" x14ac:dyDescent="0.3">
      <c r="A35" s="42"/>
      <c r="B35" s="4">
        <v>14.4</v>
      </c>
      <c r="C35" s="4">
        <v>20</v>
      </c>
      <c r="D35" s="4">
        <f t="shared" si="14"/>
        <v>4203.8888888888887</v>
      </c>
      <c r="E35" s="4">
        <f t="shared" si="15"/>
        <v>0</v>
      </c>
      <c r="F35" s="4">
        <f t="shared" si="16"/>
        <v>113310.18518518518</v>
      </c>
      <c r="G35" s="4">
        <f t="shared" ref="G35:G46" si="17">SUM(D35:F35)</f>
        <v>117514.07407407407</v>
      </c>
      <c r="H35" s="4">
        <f>G35*C35/3600</f>
        <v>652.85596707818922</v>
      </c>
      <c r="I35" s="19"/>
      <c r="J35" s="25"/>
      <c r="K35" s="26"/>
      <c r="L35" s="27"/>
      <c r="M35" s="2" t="s">
        <v>10</v>
      </c>
      <c r="N35" s="11">
        <v>118.94</v>
      </c>
      <c r="O35" s="12"/>
    </row>
    <row r="36" spans="1:15" ht="16.5" customHeight="1" thickTop="1" thickBot="1" x14ac:dyDescent="0.3">
      <c r="A36" s="42"/>
      <c r="B36" s="4">
        <v>28.8</v>
      </c>
      <c r="C36" s="4">
        <v>40</v>
      </c>
      <c r="D36" s="4">
        <f t="shared" si="14"/>
        <v>5948</v>
      </c>
      <c r="E36" s="4">
        <f t="shared" si="15"/>
        <v>0</v>
      </c>
      <c r="F36" s="4">
        <f t="shared" si="16"/>
        <v>113310.18518518518</v>
      </c>
      <c r="G36" s="4">
        <f t="shared" si="17"/>
        <v>119258.18518518518</v>
      </c>
      <c r="H36" s="4">
        <f t="shared" ref="H36:H47" si="18">G36*C36/3600</f>
        <v>1325.0909465020577</v>
      </c>
      <c r="I36" s="19"/>
      <c r="J36" s="25"/>
      <c r="K36" s="26"/>
      <c r="L36" s="27"/>
      <c r="M36" s="2" t="s">
        <v>11</v>
      </c>
      <c r="N36" s="11">
        <v>11.7</v>
      </c>
      <c r="O36" s="12"/>
    </row>
    <row r="37" spans="1:15" ht="16.5" customHeight="1" thickTop="1" thickBot="1" x14ac:dyDescent="0.3">
      <c r="A37" s="42"/>
      <c r="B37" s="4">
        <v>43.2</v>
      </c>
      <c r="C37" s="4">
        <v>60</v>
      </c>
      <c r="D37" s="4">
        <f t="shared" si="14"/>
        <v>8414.3333333333339</v>
      </c>
      <c r="E37" s="4">
        <f t="shared" si="15"/>
        <v>0</v>
      </c>
      <c r="F37" s="4">
        <f t="shared" si="16"/>
        <v>113310.18518518518</v>
      </c>
      <c r="G37" s="4">
        <f t="shared" si="17"/>
        <v>121724.51851851851</v>
      </c>
      <c r="H37" s="4">
        <f t="shared" si="18"/>
        <v>2028.7419753086419</v>
      </c>
      <c r="I37" s="19"/>
      <c r="J37" s="25"/>
      <c r="K37" s="26"/>
      <c r="L37" s="27"/>
      <c r="M37" s="2" t="s">
        <v>12</v>
      </c>
      <c r="N37" s="11">
        <v>293700</v>
      </c>
      <c r="O37" s="12" t="s">
        <v>25</v>
      </c>
    </row>
    <row r="38" spans="1:15" ht="16.5" customHeight="1" thickTop="1" thickBot="1" x14ac:dyDescent="0.3">
      <c r="A38" s="42"/>
      <c r="B38" s="4">
        <v>57.6</v>
      </c>
      <c r="C38" s="4">
        <v>80</v>
      </c>
      <c r="D38" s="4">
        <f t="shared" si="14"/>
        <v>11602.888888888889</v>
      </c>
      <c r="E38" s="4">
        <f t="shared" si="15"/>
        <v>0</v>
      </c>
      <c r="F38" s="4">
        <f t="shared" si="16"/>
        <v>113310.18518518518</v>
      </c>
      <c r="G38" s="4">
        <f t="shared" si="17"/>
        <v>124913.07407407407</v>
      </c>
      <c r="H38" s="4">
        <f t="shared" si="18"/>
        <v>2775.8460905349793</v>
      </c>
      <c r="I38" s="19"/>
      <c r="J38" s="25"/>
      <c r="K38" s="26"/>
      <c r="L38" s="27"/>
      <c r="M38" s="2" t="s">
        <v>16</v>
      </c>
      <c r="N38" s="11">
        <v>0.378</v>
      </c>
      <c r="O38" s="12" t="s">
        <v>24</v>
      </c>
    </row>
    <row r="39" spans="1:15" ht="16.5" customHeight="1" thickTop="1" thickBot="1" x14ac:dyDescent="0.3">
      <c r="A39" s="42"/>
      <c r="B39" s="4">
        <v>72</v>
      </c>
      <c r="C39" s="4">
        <v>100</v>
      </c>
      <c r="D39" s="4">
        <f t="shared" si="14"/>
        <v>15513.666666666666</v>
      </c>
      <c r="E39" s="4">
        <f t="shared" si="15"/>
        <v>0</v>
      </c>
      <c r="F39" s="4">
        <f t="shared" si="16"/>
        <v>113310.18518518518</v>
      </c>
      <c r="G39" s="4">
        <f t="shared" si="17"/>
        <v>128823.85185185185</v>
      </c>
      <c r="H39" s="4">
        <f t="shared" si="18"/>
        <v>3578.4403292181069</v>
      </c>
      <c r="I39" s="19"/>
      <c r="J39" s="25"/>
      <c r="K39" s="26"/>
      <c r="L39" s="27"/>
      <c r="M39" s="2" t="s">
        <v>17</v>
      </c>
      <c r="N39" s="11">
        <v>-0.75600000000000001</v>
      </c>
      <c r="O39" s="12" t="s">
        <v>24</v>
      </c>
    </row>
    <row r="40" spans="1:15" ht="16.5" customHeight="1" thickTop="1" thickBot="1" x14ac:dyDescent="0.3">
      <c r="A40" s="40">
        <v>2</v>
      </c>
      <c r="B40" s="6">
        <v>72</v>
      </c>
      <c r="C40" s="6">
        <v>100</v>
      </c>
      <c r="D40" s="6">
        <f t="shared" si="14"/>
        <v>15513.666666666666</v>
      </c>
      <c r="E40" s="6">
        <f>$N$37*9.81*0.003</f>
        <v>8643.5910000000003</v>
      </c>
      <c r="F40" s="6">
        <v>0</v>
      </c>
      <c r="G40" s="6">
        <f t="shared" si="17"/>
        <v>24157.257666666665</v>
      </c>
      <c r="H40" s="6">
        <f t="shared" si="18"/>
        <v>671.03493518518519</v>
      </c>
      <c r="I40" s="20">
        <f>(B41-B40)*MAX(H40:H41)/3600</f>
        <v>26.84139740740741</v>
      </c>
      <c r="J40" s="25"/>
      <c r="K40" s="26"/>
      <c r="L40" s="27"/>
      <c r="M40" s="2" t="s">
        <v>18</v>
      </c>
      <c r="N40" s="13">
        <v>1</v>
      </c>
      <c r="O40" s="12" t="s">
        <v>27</v>
      </c>
    </row>
    <row r="41" spans="1:15" ht="16.5" customHeight="1" thickTop="1" thickBot="1" x14ac:dyDescent="0.3">
      <c r="A41" s="40"/>
      <c r="B41" s="6">
        <v>216</v>
      </c>
      <c r="C41" s="6">
        <v>100</v>
      </c>
      <c r="D41" s="6">
        <f t="shared" si="14"/>
        <v>15513.666666666666</v>
      </c>
      <c r="E41" s="6">
        <f>$N$37*9.81*0.003</f>
        <v>8643.5910000000003</v>
      </c>
      <c r="F41" s="6">
        <v>0</v>
      </c>
      <c r="G41" s="6">
        <f t="shared" si="17"/>
        <v>24157.257666666665</v>
      </c>
      <c r="H41" s="6">
        <f t="shared" si="18"/>
        <v>671.03493518518519</v>
      </c>
      <c r="I41" s="20"/>
      <c r="J41" s="25"/>
      <c r="K41" s="26"/>
      <c r="L41" s="27"/>
      <c r="M41" s="2" t="s">
        <v>19</v>
      </c>
      <c r="N41" s="13">
        <v>0.5</v>
      </c>
      <c r="O41" s="12" t="s">
        <v>27</v>
      </c>
    </row>
    <row r="42" spans="1:15" ht="16.5" customHeight="1" thickTop="1" thickBot="1" x14ac:dyDescent="0.3">
      <c r="A42" s="41">
        <v>3</v>
      </c>
      <c r="B42" s="8">
        <v>216</v>
      </c>
      <c r="C42" s="8">
        <v>100</v>
      </c>
      <c r="D42" s="8">
        <f t="shared" si="14"/>
        <v>15513.666666666666</v>
      </c>
      <c r="E42" s="8">
        <f t="shared" ref="E42:E47" si="19">$N$37*9.81*-0.0017</f>
        <v>-4898.0348999999997</v>
      </c>
      <c r="F42" s="8">
        <f t="shared" ref="F42:F47" si="20">-((($N$42/3.6)^2)/(2*$N$41*1000))*$N$37</f>
        <v>-226620.37037037036</v>
      </c>
      <c r="G42" s="8">
        <f t="shared" si="17"/>
        <v>-216004.73860370371</v>
      </c>
      <c r="H42" s="8">
        <f t="shared" si="18"/>
        <v>-6000.1316278806589</v>
      </c>
      <c r="I42" s="21">
        <f>0.5*(B47-B42)*MIN(H42:H47)/3600</f>
        <v>-30.000658139403296</v>
      </c>
      <c r="J42" s="25"/>
      <c r="K42" s="26"/>
      <c r="L42" s="27"/>
      <c r="M42" s="2" t="s">
        <v>20</v>
      </c>
      <c r="N42" s="13">
        <v>100</v>
      </c>
      <c r="O42" s="12" t="s">
        <v>26</v>
      </c>
    </row>
    <row r="43" spans="1:15" ht="16.5" customHeight="1" thickTop="1" thickBot="1" x14ac:dyDescent="0.3">
      <c r="A43" s="41"/>
      <c r="B43" s="8">
        <v>223.2</v>
      </c>
      <c r="C43" s="8">
        <v>80</v>
      </c>
      <c r="D43" s="8">
        <f t="shared" si="14"/>
        <v>11602.888888888889</v>
      </c>
      <c r="E43" s="8">
        <f t="shared" si="19"/>
        <v>-4898.0348999999997</v>
      </c>
      <c r="F43" s="8">
        <f t="shared" si="20"/>
        <v>-226620.37037037036</v>
      </c>
      <c r="G43" s="8">
        <f t="shared" si="17"/>
        <v>-219915.51638148149</v>
      </c>
      <c r="H43" s="8">
        <f t="shared" si="18"/>
        <v>-4887.0114751440324</v>
      </c>
      <c r="I43" s="21"/>
      <c r="J43" s="25"/>
      <c r="K43" s="26"/>
      <c r="L43" s="27"/>
      <c r="M43" s="2" t="s">
        <v>21</v>
      </c>
      <c r="N43" s="13">
        <v>5.5</v>
      </c>
      <c r="O43" s="12" t="s">
        <v>27</v>
      </c>
    </row>
    <row r="44" spans="1:15" ht="16.5" customHeight="1" thickTop="1" thickBot="1" x14ac:dyDescent="0.3">
      <c r="A44" s="41"/>
      <c r="B44" s="8">
        <v>230.4</v>
      </c>
      <c r="C44" s="8">
        <v>60</v>
      </c>
      <c r="D44" s="8">
        <f t="shared" si="14"/>
        <v>8414.3333333333339</v>
      </c>
      <c r="E44" s="8">
        <f t="shared" si="19"/>
        <v>-4898.0348999999997</v>
      </c>
      <c r="F44" s="8">
        <f t="shared" si="20"/>
        <v>-226620.37037037036</v>
      </c>
      <c r="G44" s="8">
        <f t="shared" si="17"/>
        <v>-223104.07193703702</v>
      </c>
      <c r="H44" s="8">
        <f t="shared" si="18"/>
        <v>-3718.4011989506171</v>
      </c>
      <c r="I44" s="21"/>
      <c r="J44" s="25"/>
      <c r="K44" s="26"/>
      <c r="L44" s="27"/>
      <c r="M44" s="2" t="s">
        <v>22</v>
      </c>
      <c r="N44" s="13">
        <v>12</v>
      </c>
      <c r="O44" s="12"/>
    </row>
    <row r="45" spans="1:15" ht="16.5" customHeight="1" thickTop="1" thickBot="1" x14ac:dyDescent="0.3">
      <c r="A45" s="41"/>
      <c r="B45" s="8">
        <v>237.6</v>
      </c>
      <c r="C45" s="8">
        <v>40</v>
      </c>
      <c r="D45" s="8">
        <f t="shared" si="14"/>
        <v>5948</v>
      </c>
      <c r="E45" s="8">
        <f t="shared" si="19"/>
        <v>-4898.0348999999997</v>
      </c>
      <c r="F45" s="8">
        <f t="shared" si="20"/>
        <v>-226620.37037037036</v>
      </c>
      <c r="G45" s="8">
        <f t="shared" si="17"/>
        <v>-225570.40527037036</v>
      </c>
      <c r="H45" s="8">
        <f t="shared" si="18"/>
        <v>-2506.3378363374486</v>
      </c>
      <c r="I45" s="21"/>
      <c r="J45" s="25"/>
      <c r="K45" s="26"/>
      <c r="L45" s="27"/>
      <c r="M45" s="2" t="s">
        <v>23</v>
      </c>
      <c r="N45" s="13">
        <v>169</v>
      </c>
      <c r="O45" s="12"/>
    </row>
    <row r="46" spans="1:15" ht="16.5" customHeight="1" thickTop="1" thickBot="1" x14ac:dyDescent="0.3">
      <c r="A46" s="41"/>
      <c r="B46" s="8">
        <v>244.8</v>
      </c>
      <c r="C46" s="8">
        <v>20</v>
      </c>
      <c r="D46" s="8">
        <f t="shared" si="14"/>
        <v>4203.8888888888887</v>
      </c>
      <c r="E46" s="8">
        <f t="shared" si="19"/>
        <v>-4898.0348999999997</v>
      </c>
      <c r="F46" s="8">
        <f t="shared" si="20"/>
        <v>-226620.37037037036</v>
      </c>
      <c r="G46" s="8">
        <f t="shared" si="17"/>
        <v>-227314.51638148149</v>
      </c>
      <c r="H46" s="8">
        <f t="shared" si="18"/>
        <v>-1262.8584243415637</v>
      </c>
      <c r="I46" s="21"/>
      <c r="J46" s="25"/>
      <c r="K46" s="26"/>
      <c r="L46" s="27"/>
      <c r="M46" s="2" t="s">
        <v>31</v>
      </c>
      <c r="N46" s="11">
        <f>I34+I40</f>
        <v>62.625800699588481</v>
      </c>
      <c r="O46" s="12" t="s">
        <v>32</v>
      </c>
    </row>
    <row r="47" spans="1:15" ht="16.5" customHeight="1" thickTop="1" thickBot="1" x14ac:dyDescent="0.3">
      <c r="A47" s="41"/>
      <c r="B47" s="8">
        <v>252</v>
      </c>
      <c r="C47" s="8">
        <v>0</v>
      </c>
      <c r="D47" s="8">
        <f t="shared" si="14"/>
        <v>3182</v>
      </c>
      <c r="E47" s="8">
        <f t="shared" si="19"/>
        <v>-4898.0348999999997</v>
      </c>
      <c r="F47" s="8">
        <f t="shared" si="20"/>
        <v>-226620.37037037036</v>
      </c>
      <c r="G47" s="8">
        <f>SUM(D47:F47)</f>
        <v>-228336.40527037036</v>
      </c>
      <c r="H47" s="8">
        <f t="shared" si="18"/>
        <v>0</v>
      </c>
      <c r="I47" s="21"/>
      <c r="J47" s="28"/>
      <c r="K47" s="29"/>
      <c r="L47" s="30"/>
      <c r="M47" s="2" t="s">
        <v>30</v>
      </c>
      <c r="N47" s="11">
        <f>I42</f>
        <v>-30.000658139403296</v>
      </c>
      <c r="O47" s="12" t="s">
        <v>32</v>
      </c>
    </row>
    <row r="48" spans="1:15" ht="16.5" thickTop="1" thickBot="1" x14ac:dyDescent="0.3">
      <c r="L48" s="3"/>
      <c r="M48" s="2" t="s">
        <v>33</v>
      </c>
      <c r="N48" s="11">
        <f>N46+N47</f>
        <v>32.625142560185182</v>
      </c>
      <c r="O48" s="12" t="s">
        <v>32</v>
      </c>
    </row>
    <row r="49" spans="1:15" s="17" customFormat="1" ht="46.5" thickTop="1" thickBot="1" x14ac:dyDescent="0.3">
      <c r="A49" s="15" t="s">
        <v>0</v>
      </c>
      <c r="B49" s="16" t="s">
        <v>1</v>
      </c>
      <c r="C49" s="16" t="s">
        <v>2</v>
      </c>
      <c r="D49" s="16" t="s">
        <v>3</v>
      </c>
      <c r="E49" s="16" t="s">
        <v>4</v>
      </c>
      <c r="F49" s="16" t="s">
        <v>5</v>
      </c>
      <c r="G49" s="16" t="s">
        <v>6</v>
      </c>
      <c r="H49" s="16" t="s">
        <v>7</v>
      </c>
      <c r="I49" s="16" t="s">
        <v>29</v>
      </c>
      <c r="M49" s="18"/>
      <c r="N49" s="18"/>
      <c r="O49" s="18"/>
    </row>
    <row r="50" spans="1:15" ht="16.5" customHeight="1" thickTop="1" thickBot="1" x14ac:dyDescent="0.3">
      <c r="A50" s="42">
        <v>1</v>
      </c>
      <c r="B50" s="4">
        <v>0</v>
      </c>
      <c r="C50" s="4">
        <v>0</v>
      </c>
      <c r="D50" s="4">
        <f t="shared" ref="D50:D63" si="21">$N$50+$N$51*C50/3.6+$N$52*(C50/3.6)^2</f>
        <v>2500</v>
      </c>
      <c r="E50" s="4">
        <f t="shared" ref="E50:E55" si="22">$N$53*9.81*0</f>
        <v>0</v>
      </c>
      <c r="F50" s="4">
        <f t="shared" ref="F50:F55" si="23">((($N$58/3.6)^2)/(2*$N$56*1000))*$N$53</f>
        <v>57777.777777777766</v>
      </c>
      <c r="G50" s="4">
        <f>SUM(D50:F50)</f>
        <v>60277.777777777766</v>
      </c>
      <c r="H50" s="4">
        <f>G50*C50/3.6</f>
        <v>0</v>
      </c>
      <c r="I50" s="19">
        <f>0.5*MAX(H50:H55)*(B55-B50)/3600</f>
        <v>806.11496913580231</v>
      </c>
      <c r="J50" s="22" t="s">
        <v>15</v>
      </c>
      <c r="K50" s="23"/>
      <c r="L50" s="24"/>
      <c r="M50" s="2" t="s">
        <v>9</v>
      </c>
      <c r="N50" s="11">
        <v>2500</v>
      </c>
      <c r="O50" s="12"/>
    </row>
    <row r="51" spans="1:15" ht="16.5" customHeight="1" thickTop="1" thickBot="1" x14ac:dyDescent="0.3">
      <c r="A51" s="42"/>
      <c r="B51" s="4">
        <v>100</v>
      </c>
      <c r="C51" s="4">
        <v>50</v>
      </c>
      <c r="D51" s="4">
        <f t="shared" si="21"/>
        <v>5425.0771604938273</v>
      </c>
      <c r="E51" s="4">
        <f t="shared" si="22"/>
        <v>0</v>
      </c>
      <c r="F51" s="4">
        <f t="shared" si="23"/>
        <v>57777.777777777766</v>
      </c>
      <c r="G51" s="4">
        <f t="shared" ref="G51:G62" si="24">SUM(D51:F51)</f>
        <v>63202.854938271594</v>
      </c>
      <c r="H51" s="4">
        <f>G51*C51/3600</f>
        <v>877.81742969821664</v>
      </c>
      <c r="I51" s="19"/>
      <c r="J51" s="25"/>
      <c r="K51" s="26"/>
      <c r="L51" s="27"/>
      <c r="M51" s="2" t="s">
        <v>10</v>
      </c>
      <c r="N51" s="11">
        <v>118.8</v>
      </c>
      <c r="O51" s="12"/>
    </row>
    <row r="52" spans="1:15" ht="16.5" customHeight="1" thickTop="1" thickBot="1" x14ac:dyDescent="0.3">
      <c r="A52" s="42"/>
      <c r="B52" s="4">
        <v>200</v>
      </c>
      <c r="C52" s="4">
        <v>100</v>
      </c>
      <c r="D52" s="4">
        <f t="shared" si="21"/>
        <v>10900.308641975309</v>
      </c>
      <c r="E52" s="4">
        <f t="shared" si="22"/>
        <v>0</v>
      </c>
      <c r="F52" s="4">
        <f t="shared" si="23"/>
        <v>57777.777777777766</v>
      </c>
      <c r="G52" s="4">
        <f t="shared" si="24"/>
        <v>68678.086419753075</v>
      </c>
      <c r="H52" s="4">
        <f t="shared" ref="H52:H63" si="25">G52*C52/3600</f>
        <v>1907.7246227709188</v>
      </c>
      <c r="I52" s="19"/>
      <c r="J52" s="25"/>
      <c r="K52" s="26"/>
      <c r="L52" s="27"/>
      <c r="M52" s="2" t="s">
        <v>11</v>
      </c>
      <c r="N52" s="11">
        <v>6.61</v>
      </c>
      <c r="O52" s="12"/>
    </row>
    <row r="53" spans="1:15" ht="16.5" customHeight="1" thickTop="1" thickBot="1" x14ac:dyDescent="0.3">
      <c r="A53" s="42"/>
      <c r="B53" s="4">
        <v>400</v>
      </c>
      <c r="C53" s="4">
        <v>200</v>
      </c>
      <c r="D53" s="4">
        <f t="shared" si="21"/>
        <v>29501.234567901236</v>
      </c>
      <c r="E53" s="4">
        <f t="shared" si="22"/>
        <v>0</v>
      </c>
      <c r="F53" s="4">
        <f t="shared" si="23"/>
        <v>57777.777777777766</v>
      </c>
      <c r="G53" s="4">
        <f t="shared" si="24"/>
        <v>87279.012345679002</v>
      </c>
      <c r="H53" s="4">
        <f t="shared" si="25"/>
        <v>4848.8340192043897</v>
      </c>
      <c r="I53" s="19"/>
      <c r="J53" s="25"/>
      <c r="K53" s="26"/>
      <c r="L53" s="27"/>
      <c r="M53" s="2" t="s">
        <v>12</v>
      </c>
      <c r="N53" s="11">
        <v>416000</v>
      </c>
      <c r="O53" s="12" t="s">
        <v>25</v>
      </c>
    </row>
    <row r="54" spans="1:15" ht="16.5" customHeight="1" thickTop="1" thickBot="1" x14ac:dyDescent="0.3">
      <c r="A54" s="42"/>
      <c r="B54" s="4">
        <v>500</v>
      </c>
      <c r="C54" s="4">
        <v>250</v>
      </c>
      <c r="D54" s="4">
        <f t="shared" si="21"/>
        <v>42626.929012345681</v>
      </c>
      <c r="E54" s="4">
        <f t="shared" si="22"/>
        <v>0</v>
      </c>
      <c r="F54" s="4">
        <f t="shared" si="23"/>
        <v>57777.777777777766</v>
      </c>
      <c r="G54" s="4">
        <f t="shared" si="24"/>
        <v>100404.70679012345</v>
      </c>
      <c r="H54" s="4">
        <f t="shared" si="25"/>
        <v>6972.5490826474615</v>
      </c>
      <c r="I54" s="19"/>
      <c r="J54" s="25"/>
      <c r="K54" s="26"/>
      <c r="L54" s="27"/>
      <c r="M54" s="2" t="s">
        <v>16</v>
      </c>
      <c r="N54" s="11">
        <v>0.378</v>
      </c>
      <c r="O54" s="12" t="s">
        <v>24</v>
      </c>
    </row>
    <row r="55" spans="1:15" ht="16.5" customHeight="1" thickTop="1" thickBot="1" x14ac:dyDescent="0.3">
      <c r="A55" s="42"/>
      <c r="B55" s="4">
        <v>600</v>
      </c>
      <c r="C55" s="4">
        <v>300</v>
      </c>
      <c r="D55" s="4">
        <f t="shared" si="21"/>
        <v>58302.777777777774</v>
      </c>
      <c r="E55" s="4">
        <f t="shared" si="22"/>
        <v>0</v>
      </c>
      <c r="F55" s="4">
        <f t="shared" si="23"/>
        <v>57777.777777777766</v>
      </c>
      <c r="G55" s="4">
        <f t="shared" si="24"/>
        <v>116080.55555555553</v>
      </c>
      <c r="H55" s="4">
        <f t="shared" si="25"/>
        <v>9673.3796296296277</v>
      </c>
      <c r="I55" s="19"/>
      <c r="J55" s="25"/>
      <c r="K55" s="26"/>
      <c r="L55" s="27"/>
      <c r="M55" s="2" t="s">
        <v>17</v>
      </c>
      <c r="N55" s="11">
        <v>-0.75600000000000001</v>
      </c>
      <c r="O55" s="12" t="s">
        <v>24</v>
      </c>
    </row>
    <row r="56" spans="1:15" ht="16.5" customHeight="1" thickTop="1" thickBot="1" x14ac:dyDescent="0.3">
      <c r="A56" s="40">
        <v>2</v>
      </c>
      <c r="B56" s="6">
        <v>600</v>
      </c>
      <c r="C56" s="6">
        <v>300</v>
      </c>
      <c r="D56" s="6">
        <f t="shared" si="21"/>
        <v>58302.777777777774</v>
      </c>
      <c r="E56" s="6">
        <f>$N$53*9.81*0.003</f>
        <v>12242.880000000001</v>
      </c>
      <c r="F56" s="6">
        <v>0</v>
      </c>
      <c r="G56" s="6">
        <f t="shared" si="24"/>
        <v>70545.657777777771</v>
      </c>
      <c r="H56" s="6">
        <f t="shared" si="25"/>
        <v>5878.8048148148146</v>
      </c>
      <c r="I56" s="20">
        <f>(B57-B56)*MAX(H56:H57)/3600</f>
        <v>5859.2087987654313</v>
      </c>
      <c r="J56" s="25"/>
      <c r="K56" s="26"/>
      <c r="L56" s="27"/>
      <c r="M56" s="2" t="s">
        <v>18</v>
      </c>
      <c r="N56" s="13">
        <v>25</v>
      </c>
      <c r="O56" s="12" t="s">
        <v>27</v>
      </c>
    </row>
    <row r="57" spans="1:15" ht="16.5" customHeight="1" thickTop="1" thickBot="1" x14ac:dyDescent="0.3">
      <c r="A57" s="40"/>
      <c r="B57" s="6">
        <v>4188</v>
      </c>
      <c r="C57" s="6">
        <v>300</v>
      </c>
      <c r="D57" s="6">
        <f t="shared" si="21"/>
        <v>58302.777777777774</v>
      </c>
      <c r="E57" s="6">
        <f>$N$53*9.81*0.003</f>
        <v>12242.880000000001</v>
      </c>
      <c r="F57" s="6">
        <v>0</v>
      </c>
      <c r="G57" s="6">
        <f t="shared" si="24"/>
        <v>70545.657777777771</v>
      </c>
      <c r="H57" s="6">
        <f t="shared" si="25"/>
        <v>5878.8048148148146</v>
      </c>
      <c r="I57" s="20"/>
      <c r="J57" s="25"/>
      <c r="K57" s="26"/>
      <c r="L57" s="27"/>
      <c r="M57" s="2" t="s">
        <v>19</v>
      </c>
      <c r="N57" s="13">
        <v>6</v>
      </c>
      <c r="O57" s="12" t="s">
        <v>27</v>
      </c>
    </row>
    <row r="58" spans="1:15" ht="16.5" customHeight="1" thickTop="1" thickBot="1" x14ac:dyDescent="0.3">
      <c r="A58" s="41">
        <v>3</v>
      </c>
      <c r="B58" s="8">
        <v>4188</v>
      </c>
      <c r="C58" s="8">
        <v>300</v>
      </c>
      <c r="D58" s="8">
        <f t="shared" si="21"/>
        <v>58302.777777777774</v>
      </c>
      <c r="E58" s="8">
        <f t="shared" ref="E58:E63" si="26">$N$53*9.81*-0.0017</f>
        <v>-6937.6319999999996</v>
      </c>
      <c r="F58" s="8">
        <f t="shared" ref="F58:F63" si="27">-((($N$58/3.6)^2)/(2*$N$57*1000))*$N$53</f>
        <v>-240740.7407407407</v>
      </c>
      <c r="G58" s="8">
        <f t="shared" si="24"/>
        <v>-189375.59496296293</v>
      </c>
      <c r="H58" s="8">
        <f t="shared" si="25"/>
        <v>-15781.299580246912</v>
      </c>
      <c r="I58" s="21">
        <f>0.5*(B63-B58)*MIN(H58:H63)/3600</f>
        <v>-315.62599160493824</v>
      </c>
      <c r="J58" s="25"/>
      <c r="K58" s="26"/>
      <c r="L58" s="27"/>
      <c r="M58" s="2" t="s">
        <v>20</v>
      </c>
      <c r="N58" s="13">
        <v>300</v>
      </c>
      <c r="O58" s="12" t="s">
        <v>26</v>
      </c>
    </row>
    <row r="59" spans="1:15" ht="16.5" customHeight="1" thickTop="1" thickBot="1" x14ac:dyDescent="0.3">
      <c r="A59" s="41"/>
      <c r="B59" s="8">
        <v>4212</v>
      </c>
      <c r="C59" s="8">
        <v>250</v>
      </c>
      <c r="D59" s="8">
        <f t="shared" si="21"/>
        <v>42626.929012345681</v>
      </c>
      <c r="E59" s="8">
        <f t="shared" si="26"/>
        <v>-6937.6319999999996</v>
      </c>
      <c r="F59" s="8">
        <f t="shared" si="27"/>
        <v>-240740.7407407407</v>
      </c>
      <c r="G59" s="8">
        <f t="shared" si="24"/>
        <v>-205051.44372839501</v>
      </c>
      <c r="H59" s="8">
        <f t="shared" si="25"/>
        <v>-14239.683592249654</v>
      </c>
      <c r="I59" s="21"/>
      <c r="J59" s="25"/>
      <c r="K59" s="26"/>
      <c r="L59" s="27"/>
      <c r="M59" s="2" t="s">
        <v>21</v>
      </c>
      <c r="N59" s="13">
        <v>330</v>
      </c>
      <c r="O59" s="12" t="s">
        <v>27</v>
      </c>
    </row>
    <row r="60" spans="1:15" ht="16.5" customHeight="1" thickTop="1" thickBot="1" x14ac:dyDescent="0.3">
      <c r="A60" s="41"/>
      <c r="B60" s="8">
        <v>4236</v>
      </c>
      <c r="C60" s="8">
        <v>200</v>
      </c>
      <c r="D60" s="8">
        <f t="shared" si="21"/>
        <v>29501.234567901236</v>
      </c>
      <c r="E60" s="8">
        <f t="shared" si="26"/>
        <v>-6937.6319999999996</v>
      </c>
      <c r="F60" s="8">
        <f t="shared" si="27"/>
        <v>-240740.7407407407</v>
      </c>
      <c r="G60" s="8">
        <f t="shared" si="24"/>
        <v>-218177.13817283948</v>
      </c>
      <c r="H60" s="8">
        <f t="shared" si="25"/>
        <v>-12120.952120713304</v>
      </c>
      <c r="I60" s="21"/>
      <c r="J60" s="25"/>
      <c r="K60" s="26"/>
      <c r="L60" s="27"/>
      <c r="M60" s="2" t="s">
        <v>22</v>
      </c>
      <c r="N60" s="13">
        <v>3</v>
      </c>
      <c r="O60" s="12"/>
    </row>
    <row r="61" spans="1:15" ht="16.5" customHeight="1" thickTop="1" thickBot="1" x14ac:dyDescent="0.3">
      <c r="A61" s="41"/>
      <c r="B61" s="8">
        <v>4284</v>
      </c>
      <c r="C61" s="8">
        <v>100</v>
      </c>
      <c r="D61" s="8">
        <f t="shared" si="21"/>
        <v>10900.308641975309</v>
      </c>
      <c r="E61" s="8">
        <f t="shared" si="26"/>
        <v>-6937.6319999999996</v>
      </c>
      <c r="F61" s="8">
        <f t="shared" si="27"/>
        <v>-240740.7407407407</v>
      </c>
      <c r="G61" s="8">
        <f t="shared" si="24"/>
        <v>-236778.0640987654</v>
      </c>
      <c r="H61" s="8">
        <f t="shared" si="25"/>
        <v>-6577.168447187928</v>
      </c>
      <c r="I61" s="21"/>
      <c r="J61" s="25"/>
      <c r="K61" s="26"/>
      <c r="L61" s="27"/>
      <c r="M61" s="2" t="s">
        <v>23</v>
      </c>
      <c r="N61" s="13">
        <v>312</v>
      </c>
      <c r="O61" s="12"/>
    </row>
    <row r="62" spans="1:15" ht="16.5" customHeight="1" thickTop="1" thickBot="1" x14ac:dyDescent="0.3">
      <c r="A62" s="41"/>
      <c r="B62" s="8">
        <v>4308</v>
      </c>
      <c r="C62" s="8">
        <v>50</v>
      </c>
      <c r="D62" s="8">
        <f t="shared" si="21"/>
        <v>5425.0771604938273</v>
      </c>
      <c r="E62" s="8">
        <f t="shared" si="26"/>
        <v>-6937.6319999999996</v>
      </c>
      <c r="F62" s="8">
        <f t="shared" si="27"/>
        <v>-240740.7407407407</v>
      </c>
      <c r="G62" s="8">
        <f t="shared" si="24"/>
        <v>-242253.29558024686</v>
      </c>
      <c r="H62" s="8">
        <f t="shared" si="25"/>
        <v>-3364.6291052812062</v>
      </c>
      <c r="I62" s="21"/>
      <c r="J62" s="25"/>
      <c r="K62" s="26"/>
      <c r="L62" s="27"/>
      <c r="M62" s="2" t="s">
        <v>31</v>
      </c>
      <c r="N62" s="11">
        <f>I50+I56</f>
        <v>6665.3237679012336</v>
      </c>
      <c r="O62" s="12" t="s">
        <v>32</v>
      </c>
    </row>
    <row r="63" spans="1:15" ht="16.5" customHeight="1" thickTop="1" thickBot="1" x14ac:dyDescent="0.3">
      <c r="A63" s="41"/>
      <c r="B63" s="8">
        <v>4332</v>
      </c>
      <c r="C63" s="8">
        <v>0</v>
      </c>
      <c r="D63" s="8">
        <f t="shared" si="21"/>
        <v>2500</v>
      </c>
      <c r="E63" s="8">
        <f t="shared" si="26"/>
        <v>-6937.6319999999996</v>
      </c>
      <c r="F63" s="8">
        <f t="shared" si="27"/>
        <v>-240740.7407407407</v>
      </c>
      <c r="G63" s="8">
        <f>SUM(D63:F63)</f>
        <v>-245178.37274074071</v>
      </c>
      <c r="H63" s="8">
        <f t="shared" si="25"/>
        <v>0</v>
      </c>
      <c r="I63" s="21"/>
      <c r="J63" s="28"/>
      <c r="K63" s="29"/>
      <c r="L63" s="30"/>
      <c r="M63" s="2" t="s">
        <v>30</v>
      </c>
      <c r="N63" s="11">
        <f>I58</f>
        <v>-315.62599160493824</v>
      </c>
      <c r="O63" s="12" t="s">
        <v>32</v>
      </c>
    </row>
    <row r="64" spans="1:15" ht="16.5" thickTop="1" thickBot="1" x14ac:dyDescent="0.3">
      <c r="M64" s="2" t="s">
        <v>33</v>
      </c>
      <c r="N64" s="11">
        <f>N62+N63</f>
        <v>6349.6977762962952</v>
      </c>
      <c r="O64" s="12" t="s">
        <v>32</v>
      </c>
    </row>
    <row r="65" ht="15.75" thickTop="1" x14ac:dyDescent="0.25"/>
  </sheetData>
  <mergeCells count="28">
    <mergeCell ref="A18:A23"/>
    <mergeCell ref="A24:A25"/>
    <mergeCell ref="A26:A31"/>
    <mergeCell ref="A34:A39"/>
    <mergeCell ref="A2:A7"/>
    <mergeCell ref="A8:A9"/>
    <mergeCell ref="A10:A15"/>
    <mergeCell ref="A40:A41"/>
    <mergeCell ref="A42:A47"/>
    <mergeCell ref="A50:A55"/>
    <mergeCell ref="A56:A57"/>
    <mergeCell ref="A58:A63"/>
    <mergeCell ref="I50:I55"/>
    <mergeCell ref="I56:I57"/>
    <mergeCell ref="I58:I63"/>
    <mergeCell ref="J50:L63"/>
    <mergeCell ref="I2:I7"/>
    <mergeCell ref="I8:I9"/>
    <mergeCell ref="I10:I15"/>
    <mergeCell ref="I18:I23"/>
    <mergeCell ref="I24:I25"/>
    <mergeCell ref="I26:I31"/>
    <mergeCell ref="I34:I39"/>
    <mergeCell ref="I40:I41"/>
    <mergeCell ref="I42:I47"/>
    <mergeCell ref="J18:L31"/>
    <mergeCell ref="J2:L15"/>
    <mergeCell ref="J34:L47"/>
  </mergeCells>
  <pageMargins left="0.7" right="0.7" top="0.75" bottom="0.75" header="0.3" footer="0.3"/>
  <pageSetup paperSize="9" scale="65" orientation="landscape" horizontalDpi="4294967293" r:id="rId1"/>
  <rowBreaks count="2" manualBreakCount="2">
    <brk id="32" max="28" man="1"/>
    <brk id="64" max="16383" man="1"/>
  </rowBreaks>
  <colBreaks count="1" manualBreakCount="1">
    <brk id="15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25" workbookViewId="0">
      <selection activeCell="I10" sqref="I10"/>
    </sheetView>
  </sheetViews>
  <sheetFormatPr baseColWidth="10" defaultRowHeight="15" x14ac:dyDescent="0.25"/>
  <cols>
    <col min="1" max="1" width="15.28515625" style="18" customWidth="1"/>
    <col min="2" max="2" width="25.28515625" style="18" bestFit="1" customWidth="1"/>
    <col min="3" max="4" width="26.140625" style="18" bestFit="1" customWidth="1"/>
    <col min="5" max="5" width="23.140625" style="18" bestFit="1" customWidth="1"/>
    <col min="6" max="6" width="39.7109375" style="18" bestFit="1" customWidth="1"/>
    <col min="7" max="8" width="11.42578125" style="18" bestFit="1" customWidth="1"/>
    <col min="9" max="9" width="11.5703125" style="18" bestFit="1" customWidth="1"/>
    <col min="10" max="16384" width="11.42578125" style="18"/>
  </cols>
  <sheetData>
    <row r="1" spans="1:10" ht="33.75" thickTop="1" thickBot="1" x14ac:dyDescent="0.3">
      <c r="A1" s="50" t="s">
        <v>35</v>
      </c>
      <c r="B1" s="51" t="s">
        <v>36</v>
      </c>
      <c r="C1" s="51" t="s">
        <v>37</v>
      </c>
      <c r="D1" s="51" t="s">
        <v>43</v>
      </c>
      <c r="E1" s="51" t="s">
        <v>38</v>
      </c>
      <c r="F1" s="51" t="s">
        <v>39</v>
      </c>
    </row>
    <row r="2" spans="1:10" ht="15.75" thickTop="1" x14ac:dyDescent="0.25">
      <c r="A2" s="43" t="s">
        <v>40</v>
      </c>
      <c r="B2" s="44">
        <v>162</v>
      </c>
      <c r="C2" s="44">
        <v>404</v>
      </c>
      <c r="D2" s="44">
        <v>1.51</v>
      </c>
      <c r="E2" s="44">
        <v>7.05</v>
      </c>
      <c r="F2" s="44">
        <v>0.8</v>
      </c>
    </row>
    <row r="3" spans="1:10" x14ac:dyDescent="0.25">
      <c r="A3" s="43"/>
      <c r="B3" s="44"/>
      <c r="C3" s="44"/>
      <c r="D3" s="44"/>
      <c r="E3" s="44"/>
      <c r="F3" s="44"/>
    </row>
    <row r="4" spans="1:10" x14ac:dyDescent="0.25">
      <c r="A4" s="43"/>
      <c r="B4" s="44"/>
      <c r="C4" s="44"/>
      <c r="D4" s="44"/>
      <c r="E4" s="44"/>
      <c r="F4" s="44"/>
    </row>
    <row r="5" spans="1:10" x14ac:dyDescent="0.25">
      <c r="A5" s="43" t="s">
        <v>41</v>
      </c>
      <c r="B5" s="44">
        <v>4.37</v>
      </c>
      <c r="C5" s="44">
        <v>2100</v>
      </c>
      <c r="D5" s="44">
        <v>0.93</v>
      </c>
      <c r="E5" s="44">
        <v>1.05</v>
      </c>
      <c r="F5" s="44">
        <v>0.92</v>
      </c>
    </row>
    <row r="6" spans="1:10" x14ac:dyDescent="0.25">
      <c r="A6" s="43"/>
      <c r="B6" s="44"/>
      <c r="C6" s="44"/>
      <c r="D6" s="44"/>
      <c r="E6" s="44"/>
      <c r="F6" s="44"/>
    </row>
    <row r="7" spans="1:10" x14ac:dyDescent="0.25">
      <c r="A7" s="43"/>
      <c r="B7" s="44"/>
      <c r="C7" s="44"/>
      <c r="D7" s="44"/>
      <c r="E7" s="44"/>
      <c r="F7" s="44"/>
    </row>
    <row r="8" spans="1:10" x14ac:dyDescent="0.25">
      <c r="A8" s="43" t="s">
        <v>42</v>
      </c>
      <c r="B8" s="44">
        <v>400</v>
      </c>
      <c r="C8" s="44">
        <v>33000</v>
      </c>
      <c r="D8" s="44">
        <v>165.5</v>
      </c>
      <c r="E8" s="44">
        <v>120</v>
      </c>
      <c r="F8" s="44">
        <v>0.88</v>
      </c>
    </row>
    <row r="9" spans="1:10" x14ac:dyDescent="0.25">
      <c r="A9" s="43"/>
      <c r="B9" s="44"/>
      <c r="C9" s="44"/>
      <c r="D9" s="44"/>
      <c r="E9" s="44"/>
      <c r="F9" s="44"/>
    </row>
    <row r="10" spans="1:10" x14ac:dyDescent="0.25">
      <c r="A10" s="43"/>
      <c r="B10" s="44"/>
      <c r="C10" s="44"/>
      <c r="D10" s="44"/>
      <c r="E10" s="44"/>
      <c r="F10" s="44"/>
    </row>
    <row r="12" spans="1:10" ht="15" customHeight="1" x14ac:dyDescent="0.25">
      <c r="A12" s="45" t="s">
        <v>44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ht="15.75" customHeight="1" thickBo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ht="33" thickTop="1" x14ac:dyDescent="0.25">
      <c r="A14" s="49" t="s">
        <v>8</v>
      </c>
      <c r="B14" s="51" t="s">
        <v>35</v>
      </c>
      <c r="C14" s="51" t="s">
        <v>49</v>
      </c>
      <c r="D14" s="51" t="s">
        <v>50</v>
      </c>
      <c r="E14" s="51" t="s">
        <v>45</v>
      </c>
      <c r="F14" s="51" t="s">
        <v>46</v>
      </c>
      <c r="G14" s="51" t="s">
        <v>47</v>
      </c>
      <c r="H14" s="51" t="s">
        <v>48</v>
      </c>
      <c r="I14" s="51" t="s">
        <v>51</v>
      </c>
      <c r="J14" s="51" t="s">
        <v>52</v>
      </c>
    </row>
    <row r="15" spans="1:10" x14ac:dyDescent="0.25">
      <c r="A15" s="47"/>
      <c r="B15" s="46" t="s">
        <v>40</v>
      </c>
      <c r="C15" s="56">
        <f>-'Profil énergétique d''un train'!N15</f>
        <v>65.134608357691334</v>
      </c>
      <c r="D15" s="56">
        <f>-'Profil énergétique d''un train'!H10</f>
        <v>9118.5918758580228</v>
      </c>
      <c r="E15" s="48">
        <f>ROUNDUP(($C15*10^3)/$B$2,0)</f>
        <v>403</v>
      </c>
      <c r="F15" s="55">
        <f>ROUNDUP($D15*10^3/$C$2,0)</f>
        <v>22571</v>
      </c>
      <c r="G15" s="48">
        <f>MAX(E15:F17)*$D$2</f>
        <v>34082.21</v>
      </c>
      <c r="H15" s="48">
        <f>MAX(F15,E15)*$E$2</f>
        <v>159125.54999999999</v>
      </c>
      <c r="I15" s="48">
        <f>-C15*$F$2</f>
        <v>-52.107686686153073</v>
      </c>
      <c r="J15" s="48">
        <f>I15+'Profil énergétique d''un train'!$N$14</f>
        <v>310.78945800423696</v>
      </c>
    </row>
    <row r="16" spans="1:10" x14ac:dyDescent="0.25">
      <c r="A16" s="47"/>
      <c r="B16" s="46"/>
      <c r="C16" s="57"/>
      <c r="D16" s="57"/>
      <c r="E16" s="48"/>
      <c r="F16" s="55"/>
      <c r="G16" s="48"/>
      <c r="H16" s="48"/>
      <c r="I16" s="48"/>
      <c r="J16" s="48"/>
    </row>
    <row r="17" spans="1:10" x14ac:dyDescent="0.25">
      <c r="A17" s="47"/>
      <c r="B17" s="46"/>
      <c r="C17" s="57"/>
      <c r="D17" s="57"/>
      <c r="E17" s="48"/>
      <c r="F17" s="55"/>
      <c r="G17" s="48"/>
      <c r="H17" s="48"/>
      <c r="I17" s="48"/>
      <c r="J17" s="48"/>
    </row>
    <row r="18" spans="1:10" x14ac:dyDescent="0.25">
      <c r="A18" s="47"/>
      <c r="B18" s="46" t="s">
        <v>41</v>
      </c>
      <c r="C18" s="57"/>
      <c r="D18" s="57"/>
      <c r="E18" s="55">
        <f>ROUNDUP(($C15*10^3)/$B$5,0)</f>
        <v>14905</v>
      </c>
      <c r="F18" s="48">
        <f>ROUNDUP($D15*10^3/$C$5,0)</f>
        <v>4343</v>
      </c>
      <c r="G18" s="54">
        <f>MAX(E18:F20)*$D$5</f>
        <v>13861.650000000001</v>
      </c>
      <c r="H18" s="54">
        <f>MAX(F18,E18)*$E$5</f>
        <v>15650.25</v>
      </c>
      <c r="I18" s="54">
        <f>-C15*$F$5</f>
        <v>-59.923839689076033</v>
      </c>
      <c r="J18" s="54">
        <f>I18+'Profil énergétique d''un train'!$N$14</f>
        <v>302.97330500131397</v>
      </c>
    </row>
    <row r="19" spans="1:10" x14ac:dyDescent="0.25">
      <c r="A19" s="47"/>
      <c r="B19" s="46"/>
      <c r="C19" s="57"/>
      <c r="D19" s="57"/>
      <c r="E19" s="55"/>
      <c r="F19" s="48"/>
      <c r="G19" s="54"/>
      <c r="H19" s="54"/>
      <c r="I19" s="54"/>
      <c r="J19" s="54"/>
    </row>
    <row r="20" spans="1:10" x14ac:dyDescent="0.25">
      <c r="A20" s="47"/>
      <c r="B20" s="46"/>
      <c r="C20" s="57"/>
      <c r="D20" s="57"/>
      <c r="E20" s="55"/>
      <c r="F20" s="48"/>
      <c r="G20" s="54"/>
      <c r="H20" s="54"/>
      <c r="I20" s="54"/>
      <c r="J20" s="54"/>
    </row>
    <row r="21" spans="1:10" x14ac:dyDescent="0.25">
      <c r="A21" s="47"/>
      <c r="B21" s="46" t="s">
        <v>42</v>
      </c>
      <c r="C21" s="57"/>
      <c r="D21" s="57"/>
      <c r="E21" s="48">
        <f>ROUNDUP(($C15*10^3)/$B$8,0)</f>
        <v>163</v>
      </c>
      <c r="F21" s="55">
        <f>ROUNDUP($D15*10^3/$C$8,0)</f>
        <v>277</v>
      </c>
      <c r="G21" s="48">
        <f>MAX(E21:F23)*$D$8</f>
        <v>45843.5</v>
      </c>
      <c r="H21" s="48">
        <f>MAX(F21,E21)*$E$8</f>
        <v>33240</v>
      </c>
      <c r="I21" s="48">
        <f>-C15*$F$8</f>
        <v>-57.318455354768375</v>
      </c>
      <c r="J21" s="48">
        <f>I21+'Profil énergétique d''un train'!$N$14</f>
        <v>305.57868933562162</v>
      </c>
    </row>
    <row r="22" spans="1:10" x14ac:dyDescent="0.25">
      <c r="A22" s="47"/>
      <c r="B22" s="46"/>
      <c r="C22" s="57"/>
      <c r="D22" s="57"/>
      <c r="E22" s="48"/>
      <c r="F22" s="55"/>
      <c r="G22" s="48"/>
      <c r="H22" s="48"/>
      <c r="I22" s="48"/>
      <c r="J22" s="48"/>
    </row>
    <row r="23" spans="1:10" ht="15.75" thickBot="1" x14ac:dyDescent="0.3">
      <c r="A23" s="47"/>
      <c r="B23" s="46"/>
      <c r="C23" s="61"/>
      <c r="D23" s="61"/>
      <c r="E23" s="48"/>
      <c r="F23" s="55"/>
      <c r="G23" s="48"/>
      <c r="H23" s="48"/>
      <c r="I23" s="48"/>
      <c r="J23" s="48"/>
    </row>
    <row r="24" spans="1:10" ht="33" thickTop="1" x14ac:dyDescent="0.25">
      <c r="A24" s="47" t="s">
        <v>13</v>
      </c>
      <c r="B24" s="52" t="s">
        <v>35</v>
      </c>
      <c r="C24" s="51" t="s">
        <v>49</v>
      </c>
      <c r="D24" s="51" t="s">
        <v>50</v>
      </c>
      <c r="E24" s="51" t="s">
        <v>45</v>
      </c>
      <c r="F24" s="51" t="s">
        <v>46</v>
      </c>
      <c r="G24" s="51" t="s">
        <v>47</v>
      </c>
      <c r="H24" s="51" t="s">
        <v>48</v>
      </c>
      <c r="I24" s="51" t="s">
        <v>51</v>
      </c>
      <c r="J24" s="51" t="s">
        <v>52</v>
      </c>
    </row>
    <row r="25" spans="1:10" x14ac:dyDescent="0.25">
      <c r="A25" s="47"/>
      <c r="B25" s="46" t="s">
        <v>40</v>
      </c>
      <c r="C25" s="56">
        <f>-'Profil énergétique d''un train'!N31</f>
        <v>1.3441506997969828</v>
      </c>
      <c r="D25" s="56">
        <f>-'Profil énergétique d''un train'!H26</f>
        <v>840.09418737311398</v>
      </c>
      <c r="E25" s="48">
        <f>ROUNDUP(($C25*10^3)/$B$2,0)</f>
        <v>9</v>
      </c>
      <c r="F25" s="55">
        <f>ROUNDUP($D25*10^3/$C$2,0)</f>
        <v>2080</v>
      </c>
      <c r="G25" s="48">
        <f>MAX(E25:F27)*$D$2</f>
        <v>3140.8</v>
      </c>
      <c r="H25" s="48">
        <f>MAX(F25,E25)*$E$2</f>
        <v>14664</v>
      </c>
      <c r="I25" s="48">
        <f>-C25*$F$2</f>
        <v>-1.0753205598375863</v>
      </c>
      <c r="J25" s="48">
        <f>I25+'Profil énergétique d''un train'!$N$30</f>
        <v>0.87117595129067182</v>
      </c>
    </row>
    <row r="26" spans="1:10" x14ac:dyDescent="0.25">
      <c r="A26" s="47"/>
      <c r="B26" s="46"/>
      <c r="C26" s="57"/>
      <c r="D26" s="57"/>
      <c r="E26" s="48"/>
      <c r="F26" s="55"/>
      <c r="G26" s="48"/>
      <c r="H26" s="48"/>
      <c r="I26" s="48"/>
      <c r="J26" s="48"/>
    </row>
    <row r="27" spans="1:10" x14ac:dyDescent="0.25">
      <c r="A27" s="47"/>
      <c r="B27" s="46"/>
      <c r="C27" s="57"/>
      <c r="D27" s="57"/>
      <c r="E27" s="48"/>
      <c r="F27" s="55"/>
      <c r="G27" s="48"/>
      <c r="H27" s="48"/>
      <c r="I27" s="48"/>
      <c r="J27" s="48"/>
    </row>
    <row r="28" spans="1:10" x14ac:dyDescent="0.25">
      <c r="A28" s="47"/>
      <c r="B28" s="46" t="s">
        <v>41</v>
      </c>
      <c r="C28" s="57"/>
      <c r="D28" s="57"/>
      <c r="E28" s="53">
        <f>ROUNDUP(($C25*10^3)/$B$5,0)</f>
        <v>308</v>
      </c>
      <c r="F28" s="55">
        <f>ROUNDUP($D25*10^3/$C$5,0)</f>
        <v>401</v>
      </c>
      <c r="G28" s="54">
        <f>MAX(E28:F30)*$D$5</f>
        <v>372.93</v>
      </c>
      <c r="H28" s="54">
        <f>MAX(F28,E28)*$E$5</f>
        <v>421.05</v>
      </c>
      <c r="I28" s="54">
        <f>-C25*$F$5</f>
        <v>-1.2366186438132243</v>
      </c>
      <c r="J28" s="54">
        <f>I28+'Profil énergétique d''un train'!$N$30</f>
        <v>0.70987786731503388</v>
      </c>
    </row>
    <row r="29" spans="1:10" x14ac:dyDescent="0.25">
      <c r="A29" s="47"/>
      <c r="B29" s="46"/>
      <c r="C29" s="57"/>
      <c r="D29" s="57"/>
      <c r="E29" s="53"/>
      <c r="F29" s="55"/>
      <c r="G29" s="54"/>
      <c r="H29" s="54"/>
      <c r="I29" s="54"/>
      <c r="J29" s="54"/>
    </row>
    <row r="30" spans="1:10" x14ac:dyDescent="0.25">
      <c r="A30" s="47"/>
      <c r="B30" s="46"/>
      <c r="C30" s="57"/>
      <c r="D30" s="57"/>
      <c r="E30" s="53"/>
      <c r="F30" s="55"/>
      <c r="G30" s="54"/>
      <c r="H30" s="54"/>
      <c r="I30" s="54"/>
      <c r="J30" s="54"/>
    </row>
    <row r="31" spans="1:10" x14ac:dyDescent="0.25">
      <c r="A31" s="47"/>
      <c r="B31" s="46" t="s">
        <v>42</v>
      </c>
      <c r="C31" s="57"/>
      <c r="D31" s="57"/>
      <c r="E31" s="48">
        <f>ROUNDUP(($C25*10^3)/$B$8,0)</f>
        <v>4</v>
      </c>
      <c r="F31" s="55">
        <f>ROUNDUP($D25*10^3/$C$8,0)</f>
        <v>26</v>
      </c>
      <c r="G31" s="48">
        <f>MAX(E31:F33)*$D$8</f>
        <v>4303</v>
      </c>
      <c r="H31" s="48">
        <f>MAX(F31,E31)*$E$8</f>
        <v>3120</v>
      </c>
      <c r="I31" s="48">
        <f>-C25*$F$8</f>
        <v>-1.1828526158213448</v>
      </c>
      <c r="J31" s="48">
        <f>I31+'Profil énergétique d''un train'!$N$30</f>
        <v>0.76364389530691335</v>
      </c>
    </row>
    <row r="32" spans="1:10" x14ac:dyDescent="0.25">
      <c r="A32" s="47"/>
      <c r="B32" s="46"/>
      <c r="C32" s="57"/>
      <c r="D32" s="57"/>
      <c r="E32" s="48"/>
      <c r="F32" s="55"/>
      <c r="G32" s="48"/>
      <c r="H32" s="48"/>
      <c r="I32" s="48"/>
      <c r="J32" s="48"/>
    </row>
    <row r="33" spans="1:10" ht="15.75" thickBot="1" x14ac:dyDescent="0.3">
      <c r="A33" s="47"/>
      <c r="B33" s="46"/>
      <c r="C33" s="61"/>
      <c r="D33" s="61"/>
      <c r="E33" s="48"/>
      <c r="F33" s="55"/>
      <c r="G33" s="48"/>
      <c r="H33" s="48"/>
      <c r="I33" s="48"/>
      <c r="J33" s="48"/>
    </row>
    <row r="34" spans="1:10" ht="33" thickTop="1" x14ac:dyDescent="0.25">
      <c r="A34" s="47" t="s">
        <v>14</v>
      </c>
      <c r="B34" s="52" t="s">
        <v>35</v>
      </c>
      <c r="C34" s="51" t="s">
        <v>49</v>
      </c>
      <c r="D34" s="51" t="s">
        <v>50</v>
      </c>
      <c r="E34" s="51" t="s">
        <v>45</v>
      </c>
      <c r="F34" s="51" t="s">
        <v>46</v>
      </c>
      <c r="G34" s="51" t="s">
        <v>47</v>
      </c>
      <c r="H34" s="51" t="s">
        <v>48</v>
      </c>
      <c r="I34" s="51" t="s">
        <v>51</v>
      </c>
      <c r="J34" s="51" t="s">
        <v>52</v>
      </c>
    </row>
    <row r="35" spans="1:10" x14ac:dyDescent="0.25">
      <c r="A35" s="47"/>
      <c r="B35" s="46" t="s">
        <v>40</v>
      </c>
      <c r="C35" s="56">
        <f>-'Profil énergétique d''un train'!N47</f>
        <v>30.000658139403296</v>
      </c>
      <c r="D35" s="56">
        <f>-'Profil énergétique d''un train'!H42</f>
        <v>6000.1316278806589</v>
      </c>
      <c r="E35" s="48">
        <f>ROUNDUP(($C35*10^3)/$B$2,0)</f>
        <v>186</v>
      </c>
      <c r="F35" s="55">
        <f>ROUNDUP($D35*10^3/$C$2,0)</f>
        <v>14852</v>
      </c>
      <c r="G35" s="48">
        <f>MAX(E35:F37)*$D$2</f>
        <v>22426.52</v>
      </c>
      <c r="H35" s="48">
        <f>MAX(F35,E35)*$E$2</f>
        <v>104706.59999999999</v>
      </c>
      <c r="I35" s="48">
        <f>-C35*$F$2</f>
        <v>-24.000526511522636</v>
      </c>
      <c r="J35" s="48">
        <f>I35+'Profil énergétique d''un train'!$N$46</f>
        <v>38.625274188065845</v>
      </c>
    </row>
    <row r="36" spans="1:10" x14ac:dyDescent="0.25">
      <c r="A36" s="47"/>
      <c r="B36" s="46"/>
      <c r="C36" s="57"/>
      <c r="D36" s="57"/>
      <c r="E36" s="48"/>
      <c r="F36" s="55"/>
      <c r="G36" s="48"/>
      <c r="H36" s="48"/>
      <c r="I36" s="48"/>
      <c r="J36" s="48"/>
    </row>
    <row r="37" spans="1:10" x14ac:dyDescent="0.25">
      <c r="A37" s="47"/>
      <c r="B37" s="46"/>
      <c r="C37" s="57"/>
      <c r="D37" s="57"/>
      <c r="E37" s="48"/>
      <c r="F37" s="55"/>
      <c r="G37" s="48"/>
      <c r="H37" s="48"/>
      <c r="I37" s="48"/>
      <c r="J37" s="48"/>
    </row>
    <row r="38" spans="1:10" x14ac:dyDescent="0.25">
      <c r="A38" s="47"/>
      <c r="B38" s="46" t="s">
        <v>41</v>
      </c>
      <c r="C38" s="57"/>
      <c r="D38" s="57"/>
      <c r="E38" s="55">
        <f>ROUNDUP(($C35*10^3)/$B$5,0)</f>
        <v>6866</v>
      </c>
      <c r="F38" s="53">
        <f>ROUNDUP($D35*10^3/$C$5,0)</f>
        <v>2858</v>
      </c>
      <c r="G38" s="54">
        <f>MAX(E38:F40)*$D$5</f>
        <v>6385.38</v>
      </c>
      <c r="H38" s="54">
        <f>MAX(F38,E38)*$E$5</f>
        <v>7209.3</v>
      </c>
      <c r="I38" s="54">
        <f>-C35*$F$5</f>
        <v>-27.600605488251034</v>
      </c>
      <c r="J38" s="54">
        <f>I38+'Profil énergétique d''un train'!$N$46</f>
        <v>35.025195211337447</v>
      </c>
    </row>
    <row r="39" spans="1:10" x14ac:dyDescent="0.25">
      <c r="A39" s="47"/>
      <c r="B39" s="46"/>
      <c r="C39" s="57"/>
      <c r="D39" s="57"/>
      <c r="E39" s="55"/>
      <c r="F39" s="53"/>
      <c r="G39" s="54"/>
      <c r="H39" s="54"/>
      <c r="I39" s="54"/>
      <c r="J39" s="54"/>
    </row>
    <row r="40" spans="1:10" x14ac:dyDescent="0.25">
      <c r="A40" s="47"/>
      <c r="B40" s="46"/>
      <c r="C40" s="57"/>
      <c r="D40" s="57"/>
      <c r="E40" s="55"/>
      <c r="F40" s="53"/>
      <c r="G40" s="54"/>
      <c r="H40" s="54"/>
      <c r="I40" s="54"/>
      <c r="J40" s="54"/>
    </row>
    <row r="41" spans="1:10" x14ac:dyDescent="0.25">
      <c r="A41" s="47"/>
      <c r="B41" s="46" t="s">
        <v>42</v>
      </c>
      <c r="C41" s="57"/>
      <c r="D41" s="57"/>
      <c r="E41" s="48">
        <f>ROUNDUP(($C35*10^3)/$B$8,0)</f>
        <v>76</v>
      </c>
      <c r="F41" s="55">
        <f>ROUNDUP($D35*10^3/$C$8,0)</f>
        <v>182</v>
      </c>
      <c r="G41" s="48">
        <f>MAX(E41:F43)*$D$8</f>
        <v>30121</v>
      </c>
      <c r="H41" s="48">
        <f>MAX(F41,E41)*$E$8</f>
        <v>21840</v>
      </c>
      <c r="I41" s="48">
        <f>-C35*$F$8</f>
        <v>-26.400579162674902</v>
      </c>
      <c r="J41" s="48">
        <f>I41+'Profil énergétique d''un train'!$N$46</f>
        <v>36.22522153691358</v>
      </c>
    </row>
    <row r="42" spans="1:10" x14ac:dyDescent="0.25">
      <c r="A42" s="47"/>
      <c r="B42" s="46"/>
      <c r="C42" s="57"/>
      <c r="D42" s="57"/>
      <c r="E42" s="48"/>
      <c r="F42" s="55"/>
      <c r="G42" s="48"/>
      <c r="H42" s="48"/>
      <c r="I42" s="48"/>
      <c r="J42" s="48"/>
    </row>
    <row r="43" spans="1:10" ht="15.75" thickBot="1" x14ac:dyDescent="0.3">
      <c r="A43" s="47"/>
      <c r="B43" s="46"/>
      <c r="C43" s="61"/>
      <c r="D43" s="61"/>
      <c r="E43" s="48"/>
      <c r="F43" s="55"/>
      <c r="G43" s="48"/>
      <c r="H43" s="48"/>
      <c r="I43" s="48"/>
      <c r="J43" s="48"/>
    </row>
    <row r="44" spans="1:10" ht="33" thickTop="1" x14ac:dyDescent="0.25">
      <c r="A44" s="47" t="s">
        <v>15</v>
      </c>
      <c r="B44" s="52" t="s">
        <v>35</v>
      </c>
      <c r="C44" s="51" t="s">
        <v>49</v>
      </c>
      <c r="D44" s="51" t="s">
        <v>50</v>
      </c>
      <c r="E44" s="51" t="s">
        <v>45</v>
      </c>
      <c r="F44" s="51" t="s">
        <v>46</v>
      </c>
      <c r="G44" s="51" t="s">
        <v>47</v>
      </c>
      <c r="H44" s="51" t="s">
        <v>48</v>
      </c>
      <c r="I44" s="51" t="s">
        <v>51</v>
      </c>
      <c r="J44" s="51" t="s">
        <v>52</v>
      </c>
    </row>
    <row r="45" spans="1:10" x14ac:dyDescent="0.25">
      <c r="A45" s="47"/>
      <c r="B45" s="46" t="s">
        <v>40</v>
      </c>
      <c r="C45" s="56">
        <f>-'Profil énergétique d''un train'!N63</f>
        <v>315.62599160493824</v>
      </c>
      <c r="D45" s="56">
        <f>-'Profil énergétique d''un train'!H58</f>
        <v>15781.299580246912</v>
      </c>
      <c r="E45" s="48">
        <f>ROUNDUP(($C45*10^3)/$B$2,0)</f>
        <v>1949</v>
      </c>
      <c r="F45" s="55">
        <f>ROUNDUP($D45*10^3/$C$2,0)</f>
        <v>39063</v>
      </c>
      <c r="G45" s="48">
        <f>MAX(E45:F47)*$D$2</f>
        <v>58985.13</v>
      </c>
      <c r="H45" s="48">
        <f>MAX(F45,E45)*$E$2</f>
        <v>275394.14999999997</v>
      </c>
      <c r="I45" s="48">
        <f>-C45*$F$2</f>
        <v>-252.5007932839506</v>
      </c>
      <c r="J45" s="48">
        <f>I45+'Profil énergétique d''un train'!$N$62</f>
        <v>6412.8229746172829</v>
      </c>
    </row>
    <row r="46" spans="1:10" x14ac:dyDescent="0.25">
      <c r="A46" s="47"/>
      <c r="B46" s="46"/>
      <c r="C46" s="57"/>
      <c r="D46" s="57"/>
      <c r="E46" s="48"/>
      <c r="F46" s="55"/>
      <c r="G46" s="48"/>
      <c r="H46" s="48"/>
      <c r="I46" s="48"/>
      <c r="J46" s="48"/>
    </row>
    <row r="47" spans="1:10" x14ac:dyDescent="0.25">
      <c r="A47" s="47"/>
      <c r="B47" s="46"/>
      <c r="C47" s="57"/>
      <c r="D47" s="57"/>
      <c r="E47" s="48"/>
      <c r="F47" s="55"/>
      <c r="G47" s="48"/>
      <c r="H47" s="48"/>
      <c r="I47" s="48"/>
      <c r="J47" s="48"/>
    </row>
    <row r="48" spans="1:10" x14ac:dyDescent="0.25">
      <c r="A48" s="47"/>
      <c r="B48" s="46" t="s">
        <v>41</v>
      </c>
      <c r="C48" s="57"/>
      <c r="D48" s="57"/>
      <c r="E48" s="55">
        <f>ROUNDUP(($C45*10^3)/$B$5,0)</f>
        <v>72226</v>
      </c>
      <c r="F48" s="53">
        <f>ROUNDUP($D45*10^3/$C$5,0)</f>
        <v>7515</v>
      </c>
      <c r="G48" s="54">
        <f>MAX(E48:F50)*$D$5</f>
        <v>67170.180000000008</v>
      </c>
      <c r="H48" s="54">
        <f>MAX(F48,E48)*$E$5</f>
        <v>75837.3</v>
      </c>
      <c r="I48" s="54">
        <f>-C45*$F$5</f>
        <v>-290.3759122765432</v>
      </c>
      <c r="J48" s="54">
        <f>I48+'Profil énergétique d''un train'!$N$62</f>
        <v>6374.9478556246904</v>
      </c>
    </row>
    <row r="49" spans="1:10" x14ac:dyDescent="0.25">
      <c r="A49" s="47"/>
      <c r="B49" s="46"/>
      <c r="C49" s="57"/>
      <c r="D49" s="57"/>
      <c r="E49" s="55"/>
      <c r="F49" s="53"/>
      <c r="G49" s="54"/>
      <c r="H49" s="54"/>
      <c r="I49" s="54"/>
      <c r="J49" s="54"/>
    </row>
    <row r="50" spans="1:10" x14ac:dyDescent="0.25">
      <c r="A50" s="47"/>
      <c r="B50" s="46"/>
      <c r="C50" s="57"/>
      <c r="D50" s="57"/>
      <c r="E50" s="55"/>
      <c r="F50" s="53"/>
      <c r="G50" s="54"/>
      <c r="H50" s="54"/>
      <c r="I50" s="54"/>
      <c r="J50" s="54"/>
    </row>
    <row r="51" spans="1:10" x14ac:dyDescent="0.25">
      <c r="A51" s="47"/>
      <c r="B51" s="46" t="s">
        <v>42</v>
      </c>
      <c r="C51" s="57"/>
      <c r="D51" s="57"/>
      <c r="E51" s="55">
        <f>ROUNDUP(($C45*10^3)/$B$8,0)</f>
        <v>790</v>
      </c>
      <c r="F51" s="53">
        <f>ROUNDUP($D45*10^3/$C$8,0)</f>
        <v>479</v>
      </c>
      <c r="G51" s="48">
        <f>MAX(E51:F53)*$D$8</f>
        <v>130745</v>
      </c>
      <c r="H51" s="48">
        <f>MAX(F51,E51)*$E$8</f>
        <v>94800</v>
      </c>
      <c r="I51" s="48">
        <f>-C45*$F$8</f>
        <v>-277.75087261234563</v>
      </c>
      <c r="J51" s="48">
        <f>I51+'Profil énergétique d''un train'!$N$62</f>
        <v>6387.5728952888876</v>
      </c>
    </row>
    <row r="52" spans="1:10" x14ac:dyDescent="0.25">
      <c r="A52" s="47"/>
      <c r="B52" s="46"/>
      <c r="C52" s="57"/>
      <c r="D52" s="57"/>
      <c r="E52" s="55"/>
      <c r="F52" s="53"/>
      <c r="G52" s="48"/>
      <c r="H52" s="48"/>
      <c r="I52" s="48"/>
      <c r="J52" s="48"/>
    </row>
    <row r="53" spans="1:10" x14ac:dyDescent="0.25">
      <c r="A53" s="47"/>
      <c r="B53" s="46"/>
      <c r="C53" s="58"/>
      <c r="D53" s="58"/>
      <c r="E53" s="55"/>
      <c r="F53" s="53"/>
      <c r="G53" s="48"/>
      <c r="H53" s="48"/>
      <c r="I53" s="48"/>
      <c r="J53" s="48"/>
    </row>
    <row r="55" spans="1:10" x14ac:dyDescent="0.25">
      <c r="A55" s="45" t="s">
        <v>53</v>
      </c>
      <c r="B55" s="45"/>
      <c r="C55" s="45"/>
      <c r="D55" s="45"/>
      <c r="E55" s="45"/>
      <c r="F55" s="45"/>
      <c r="G55" s="45"/>
      <c r="H55" s="45"/>
      <c r="I55" s="45"/>
      <c r="J55" s="45"/>
    </row>
    <row r="56" spans="1:10" ht="15.75" thickBo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ht="33" thickTop="1" x14ac:dyDescent="0.25">
      <c r="A57" s="49" t="s">
        <v>8</v>
      </c>
      <c r="B57" s="51" t="s">
        <v>35</v>
      </c>
      <c r="C57" s="51" t="s">
        <v>49</v>
      </c>
      <c r="D57" s="51" t="s">
        <v>50</v>
      </c>
      <c r="E57" s="51" t="s">
        <v>45</v>
      </c>
      <c r="F57" s="51" t="s">
        <v>46</v>
      </c>
      <c r="G57" s="51" t="s">
        <v>47</v>
      </c>
      <c r="H57" s="51" t="s">
        <v>48</v>
      </c>
    </row>
    <row r="58" spans="1:10" x14ac:dyDescent="0.25">
      <c r="A58" s="47"/>
      <c r="B58" s="46" t="s">
        <v>40</v>
      </c>
      <c r="C58" s="56">
        <f>'Profil énergétique d''un train'!$N$14/SQRT($F$2)</f>
        <v>405.73134218414447</v>
      </c>
      <c r="D58" s="56">
        <f>'Profil énergétique d''un train'!$H$7/SQRT($F$2)</f>
        <v>6588.5807945632496</v>
      </c>
      <c r="E58" s="56">
        <f>ROUNDUP((C58*10^3)/$B$2,0)</f>
        <v>2505</v>
      </c>
      <c r="F58" s="59">
        <f>ROUNDUP($D58*10^3/$C$2,0)</f>
        <v>16309</v>
      </c>
      <c r="G58" s="54">
        <f>MAX(E58:F60)*$D$2</f>
        <v>24626.59</v>
      </c>
      <c r="H58" s="54">
        <f>MAX(F58,E58)*$E$2</f>
        <v>114978.45</v>
      </c>
    </row>
    <row r="59" spans="1:10" x14ac:dyDescent="0.25">
      <c r="A59" s="47"/>
      <c r="B59" s="46"/>
      <c r="C59" s="57"/>
      <c r="D59" s="57"/>
      <c r="E59" s="57"/>
      <c r="F59" s="60"/>
      <c r="G59" s="54"/>
      <c r="H59" s="54"/>
    </row>
    <row r="60" spans="1:10" x14ac:dyDescent="0.25">
      <c r="A60" s="47"/>
      <c r="B60" s="46"/>
      <c r="C60" s="58"/>
      <c r="D60" s="58"/>
      <c r="E60" s="58"/>
      <c r="F60" s="62"/>
      <c r="G60" s="54"/>
      <c r="H60" s="54"/>
    </row>
    <row r="61" spans="1:10" x14ac:dyDescent="0.25">
      <c r="A61" s="47"/>
      <c r="B61" s="46" t="s">
        <v>41</v>
      </c>
      <c r="C61" s="56">
        <f>'Profil énergétique d''un train'!$N$14/SQRT($F$5)</f>
        <v>378.34642744051075</v>
      </c>
      <c r="D61" s="56">
        <f>'Profil énergétique d''un train'!$H$7/SQRT($F$5)</f>
        <v>6143.8832704100168</v>
      </c>
      <c r="E61" s="59">
        <f>ROUNDUP((C61*10^3)/$B$5,0)</f>
        <v>86579</v>
      </c>
      <c r="F61" s="56">
        <f>ROUNDUP($D61*10^3/$C$5,0)</f>
        <v>2926</v>
      </c>
      <c r="G61" s="63">
        <f>MAX(E61:F63)*$D$5</f>
        <v>80518.47</v>
      </c>
      <c r="H61" s="63">
        <f>MAX(F61,E61)*$E$5</f>
        <v>90907.95</v>
      </c>
    </row>
    <row r="62" spans="1:10" x14ac:dyDescent="0.25">
      <c r="A62" s="47"/>
      <c r="B62" s="46"/>
      <c r="C62" s="57"/>
      <c r="D62" s="57"/>
      <c r="E62" s="60"/>
      <c r="F62" s="57"/>
      <c r="G62" s="64"/>
      <c r="H62" s="64"/>
    </row>
    <row r="63" spans="1:10" x14ac:dyDescent="0.25">
      <c r="A63" s="47"/>
      <c r="B63" s="46"/>
      <c r="C63" s="58"/>
      <c r="D63" s="58"/>
      <c r="E63" s="62"/>
      <c r="F63" s="58"/>
      <c r="G63" s="65"/>
      <c r="H63" s="65"/>
    </row>
    <row r="64" spans="1:10" x14ac:dyDescent="0.25">
      <c r="A64" s="47"/>
      <c r="B64" s="46" t="s">
        <v>42</v>
      </c>
      <c r="C64" s="56">
        <f>'Profil énergétique d''un train'!$N$14/SQRT($F$8)</f>
        <v>386.8496560569838</v>
      </c>
      <c r="D64" s="56">
        <f>'Profil énergétique d''un train'!$H$7/SQRT($F$8)</f>
        <v>6281.9653038380575</v>
      </c>
      <c r="E64" s="59">
        <f>ROUNDUP((C64*10^3)/$B$8,0)</f>
        <v>968</v>
      </c>
      <c r="F64" s="56">
        <f>ROUNDUP($D64*10^3/$C$8,0)</f>
        <v>191</v>
      </c>
      <c r="G64" s="48">
        <f>MAX(E64:F66)*$D$8</f>
        <v>160204</v>
      </c>
      <c r="H64" s="48">
        <f>MAX(F64,E64)*$E$8</f>
        <v>116160</v>
      </c>
    </row>
    <row r="65" spans="1:8" x14ac:dyDescent="0.25">
      <c r="A65" s="47"/>
      <c r="B65" s="46"/>
      <c r="C65" s="57"/>
      <c r="D65" s="57"/>
      <c r="E65" s="60"/>
      <c r="F65" s="57"/>
      <c r="G65" s="48"/>
      <c r="H65" s="48"/>
    </row>
    <row r="66" spans="1:8" ht="15.75" thickBot="1" x14ac:dyDescent="0.3">
      <c r="A66" s="47"/>
      <c r="B66" s="46"/>
      <c r="C66" s="58"/>
      <c r="D66" s="58"/>
      <c r="E66" s="62"/>
      <c r="F66" s="58"/>
      <c r="G66" s="48"/>
      <c r="H66" s="48"/>
    </row>
    <row r="67" spans="1:8" ht="33" thickTop="1" x14ac:dyDescent="0.25">
      <c r="A67" s="47" t="s">
        <v>13</v>
      </c>
      <c r="B67" s="52" t="s">
        <v>35</v>
      </c>
      <c r="C67" s="51" t="s">
        <v>49</v>
      </c>
      <c r="D67" s="51" t="s">
        <v>50</v>
      </c>
      <c r="E67" s="51" t="s">
        <v>45</v>
      </c>
      <c r="F67" s="51" t="s">
        <v>46</v>
      </c>
      <c r="G67" s="51" t="s">
        <v>47</v>
      </c>
      <c r="H67" s="51" t="s">
        <v>48</v>
      </c>
    </row>
    <row r="68" spans="1:8" x14ac:dyDescent="0.25">
      <c r="A68" s="47"/>
      <c r="B68" s="46" t="s">
        <v>40</v>
      </c>
      <c r="C68" s="56">
        <f>'Profil énergétique d''un train'!$N$30/SQRT($F$2)</f>
        <v>2.1762492584244808</v>
      </c>
      <c r="D68" s="56">
        <f>'Profil énergétique d''un train'!$H$23/SQRT($F$2)</f>
        <v>805.40326108429429</v>
      </c>
      <c r="E68" s="56">
        <f>ROUNDUP((C68*10^3)/$B$2,0)</f>
        <v>14</v>
      </c>
      <c r="F68" s="59">
        <f>ROUNDUP($D68*10^3/$C$2,0)</f>
        <v>1994</v>
      </c>
      <c r="G68" s="56">
        <f>MAX(E68:F70)*$D$2</f>
        <v>3010.94</v>
      </c>
      <c r="H68" s="56">
        <f>MAX(F68,E68)*$E$2</f>
        <v>14057.699999999999</v>
      </c>
    </row>
    <row r="69" spans="1:8" x14ac:dyDescent="0.25">
      <c r="A69" s="47"/>
      <c r="B69" s="46"/>
      <c r="C69" s="57"/>
      <c r="D69" s="57"/>
      <c r="E69" s="57"/>
      <c r="F69" s="60"/>
      <c r="G69" s="57"/>
      <c r="H69" s="57"/>
    </row>
    <row r="70" spans="1:8" x14ac:dyDescent="0.25">
      <c r="A70" s="47"/>
      <c r="B70" s="46"/>
      <c r="C70" s="58"/>
      <c r="D70" s="58"/>
      <c r="E70" s="58"/>
      <c r="F70" s="62"/>
      <c r="G70" s="58"/>
      <c r="H70" s="58"/>
    </row>
    <row r="71" spans="1:8" x14ac:dyDescent="0.25">
      <c r="A71" s="47"/>
      <c r="B71" s="46" t="s">
        <v>41</v>
      </c>
      <c r="C71" s="56">
        <f>'Profil énergétique d''un train'!$N$30/SQRT($F$5)</f>
        <v>2.0293628974102451</v>
      </c>
      <c r="D71" s="56">
        <f>'Profil énergétique d''un train'!$H$23/SQRT($F$5)</f>
        <v>751.04241353353314</v>
      </c>
      <c r="E71" s="59">
        <f>ROUNDUP((C71*10^3)/$B$5,0)</f>
        <v>465</v>
      </c>
      <c r="F71" s="56">
        <f>ROUNDUP($D71*10^3/$C$5,0)</f>
        <v>358</v>
      </c>
      <c r="G71" s="63">
        <f>MAX(E71:F73)*$D$5</f>
        <v>432.45000000000005</v>
      </c>
      <c r="H71" s="63">
        <f>MAX(F71,E71)*$E$5</f>
        <v>488.25</v>
      </c>
    </row>
    <row r="72" spans="1:8" x14ac:dyDescent="0.25">
      <c r="A72" s="47"/>
      <c r="B72" s="46"/>
      <c r="C72" s="57"/>
      <c r="D72" s="57"/>
      <c r="E72" s="60"/>
      <c r="F72" s="57"/>
      <c r="G72" s="64"/>
      <c r="H72" s="64"/>
    </row>
    <row r="73" spans="1:8" x14ac:dyDescent="0.25">
      <c r="A73" s="47"/>
      <c r="B73" s="46"/>
      <c r="C73" s="58"/>
      <c r="D73" s="58"/>
      <c r="E73" s="62"/>
      <c r="F73" s="58"/>
      <c r="G73" s="65"/>
      <c r="H73" s="65"/>
    </row>
    <row r="74" spans="1:8" x14ac:dyDescent="0.25">
      <c r="A74" s="47"/>
      <c r="B74" s="46" t="s">
        <v>42</v>
      </c>
      <c r="C74" s="56">
        <f>'Profil énergétique d''un train'!$N$30/SQRT($F$8)</f>
        <v>2.0749722527812051</v>
      </c>
      <c r="D74" s="56">
        <f>'Profil énergétique d''un train'!$H$23/SQRT($F$8)</f>
        <v>767.92187870027499</v>
      </c>
      <c r="E74" s="56">
        <f>ROUNDUP((C74*10^3)/$B$8,0)</f>
        <v>6</v>
      </c>
      <c r="F74" s="59">
        <f>ROUNDUP($D74*10^3/$C$8,0)</f>
        <v>24</v>
      </c>
      <c r="G74" s="48">
        <f>MAX(E74:F76)*$D$8</f>
        <v>3972</v>
      </c>
      <c r="H74" s="48">
        <f>MAX(F74,E74)*$E$8</f>
        <v>2880</v>
      </c>
    </row>
    <row r="75" spans="1:8" x14ac:dyDescent="0.25">
      <c r="A75" s="47"/>
      <c r="B75" s="46"/>
      <c r="C75" s="57"/>
      <c r="D75" s="57"/>
      <c r="E75" s="57"/>
      <c r="F75" s="60"/>
      <c r="G75" s="48"/>
      <c r="H75" s="48"/>
    </row>
    <row r="76" spans="1:8" ht="15.75" thickBot="1" x14ac:dyDescent="0.3">
      <c r="A76" s="47"/>
      <c r="B76" s="46"/>
      <c r="C76" s="58"/>
      <c r="D76" s="58"/>
      <c r="E76" s="58"/>
      <c r="F76" s="62"/>
      <c r="G76" s="48"/>
      <c r="H76" s="48"/>
    </row>
    <row r="77" spans="1:8" ht="33" thickTop="1" x14ac:dyDescent="0.25">
      <c r="A77" s="47" t="s">
        <v>14</v>
      </c>
      <c r="B77" s="52" t="s">
        <v>35</v>
      </c>
      <c r="C77" s="51" t="s">
        <v>49</v>
      </c>
      <c r="D77" s="51" t="s">
        <v>50</v>
      </c>
      <c r="E77" s="51" t="s">
        <v>45</v>
      </c>
      <c r="F77" s="51" t="s">
        <v>46</v>
      </c>
      <c r="G77" s="51" t="s">
        <v>47</v>
      </c>
      <c r="H77" s="51" t="s">
        <v>48</v>
      </c>
    </row>
    <row r="78" spans="1:8" x14ac:dyDescent="0.25">
      <c r="A78" s="47"/>
      <c r="B78" s="46" t="s">
        <v>40</v>
      </c>
      <c r="C78" s="56">
        <f>'Profil énergétique d''un train'!$N$46/SQRT($F$2)</f>
        <v>70.017773754816872</v>
      </c>
      <c r="D78" s="56">
        <f>'Profil énergétique d''un train'!$H$39/SQRT($F$2)</f>
        <v>4000.8179147792071</v>
      </c>
      <c r="E78" s="56">
        <f>ROUNDUP((C78*10^3)/$B$2,0)</f>
        <v>433</v>
      </c>
      <c r="F78" s="59">
        <f>ROUNDUP($D78*10^3/$C$2,0)</f>
        <v>9904</v>
      </c>
      <c r="G78" s="56">
        <f>MAX(E78:F80)*$D$2</f>
        <v>14955.04</v>
      </c>
      <c r="H78" s="56">
        <f>MAX(F78,E78)*$E$2</f>
        <v>69823.199999999997</v>
      </c>
    </row>
    <row r="79" spans="1:8" x14ac:dyDescent="0.25">
      <c r="A79" s="47"/>
      <c r="B79" s="46"/>
      <c r="C79" s="57"/>
      <c r="D79" s="57"/>
      <c r="E79" s="57"/>
      <c r="F79" s="60"/>
      <c r="G79" s="57"/>
      <c r="H79" s="57"/>
    </row>
    <row r="80" spans="1:8" x14ac:dyDescent="0.25">
      <c r="A80" s="47"/>
      <c r="B80" s="46"/>
      <c r="C80" s="58"/>
      <c r="D80" s="58"/>
      <c r="E80" s="58"/>
      <c r="F80" s="62"/>
      <c r="G80" s="58"/>
      <c r="H80" s="58"/>
    </row>
    <row r="81" spans="1:8" x14ac:dyDescent="0.25">
      <c r="A81" s="47"/>
      <c r="B81" s="46" t="s">
        <v>41</v>
      </c>
      <c r="C81" s="56">
        <f>'Profil énergétique d''un train'!$N$46/SQRT($F$5)</f>
        <v>65.291910688649168</v>
      </c>
      <c r="D81" s="56">
        <f>'Profil énergétique d''un train'!$H$39/SQRT($F$5)</f>
        <v>3730.7819424255963</v>
      </c>
      <c r="E81" s="59">
        <f>ROUNDUP((C81*10^3)/$B$5,0)</f>
        <v>14941</v>
      </c>
      <c r="F81" s="56">
        <f>ROUNDUP($D81*10^3/$C$5,0)</f>
        <v>1777</v>
      </c>
      <c r="G81" s="63">
        <f>MAX(E81:F83)*$D$5</f>
        <v>13895.130000000001</v>
      </c>
      <c r="H81" s="63">
        <f>MAX(F81,E81)*$E$5</f>
        <v>15688.050000000001</v>
      </c>
    </row>
    <row r="82" spans="1:8" x14ac:dyDescent="0.25">
      <c r="A82" s="47"/>
      <c r="B82" s="46"/>
      <c r="C82" s="57"/>
      <c r="D82" s="57"/>
      <c r="E82" s="60"/>
      <c r="F82" s="57"/>
      <c r="G82" s="64"/>
      <c r="H82" s="64"/>
    </row>
    <row r="83" spans="1:8" x14ac:dyDescent="0.25">
      <c r="A83" s="47"/>
      <c r="B83" s="46"/>
      <c r="C83" s="58"/>
      <c r="D83" s="58"/>
      <c r="E83" s="62"/>
      <c r="F83" s="58"/>
      <c r="G83" s="65"/>
      <c r="H83" s="65"/>
    </row>
    <row r="84" spans="1:8" x14ac:dyDescent="0.25">
      <c r="A84" s="47"/>
      <c r="B84" s="46" t="s">
        <v>42</v>
      </c>
      <c r="C84" s="56">
        <f>'Profil énergétique d''un train'!$N$46/SQRT($F$8)</f>
        <v>66.759327857479761</v>
      </c>
      <c r="D84" s="56">
        <f>'Profil énergétique d''un train'!$H$39/SQRT($F$8)</f>
        <v>3814.630208125534</v>
      </c>
      <c r="E84" s="59">
        <f>ROUNDUP((C84*10^3)/$B$8,0)</f>
        <v>167</v>
      </c>
      <c r="F84" s="56">
        <f>ROUNDUP($D84*10^3/$C$8,0)</f>
        <v>116</v>
      </c>
      <c r="G84" s="48">
        <f>MAX(E84:F86)*$D$8</f>
        <v>27638.5</v>
      </c>
      <c r="H84" s="48">
        <f>MAX(F84,E84)*$E$8</f>
        <v>20040</v>
      </c>
    </row>
    <row r="85" spans="1:8" x14ac:dyDescent="0.25">
      <c r="A85" s="47"/>
      <c r="B85" s="46"/>
      <c r="C85" s="57"/>
      <c r="D85" s="57"/>
      <c r="E85" s="60"/>
      <c r="F85" s="57"/>
      <c r="G85" s="48"/>
      <c r="H85" s="48"/>
    </row>
    <row r="86" spans="1:8" ht="15.75" thickBot="1" x14ac:dyDescent="0.3">
      <c r="A86" s="47"/>
      <c r="B86" s="46"/>
      <c r="C86" s="58"/>
      <c r="D86" s="58"/>
      <c r="E86" s="62"/>
      <c r="F86" s="58"/>
      <c r="G86" s="48"/>
      <c r="H86" s="48"/>
    </row>
    <row r="87" spans="1:8" ht="33" thickTop="1" x14ac:dyDescent="0.25">
      <c r="A87" s="47" t="s">
        <v>15</v>
      </c>
      <c r="B87" s="52" t="s">
        <v>35</v>
      </c>
      <c r="C87" s="51" t="s">
        <v>49</v>
      </c>
      <c r="D87" s="51" t="s">
        <v>50</v>
      </c>
      <c r="E87" s="51" t="s">
        <v>45</v>
      </c>
      <c r="F87" s="51" t="s">
        <v>46</v>
      </c>
      <c r="G87" s="51" t="s">
        <v>47</v>
      </c>
      <c r="H87" s="51" t="s">
        <v>48</v>
      </c>
    </row>
    <row r="88" spans="1:8" x14ac:dyDescent="0.25">
      <c r="A88" s="47"/>
      <c r="B88" s="46" t="s">
        <v>40</v>
      </c>
      <c r="C88" s="56">
        <f>'Profil énergétique d''un train'!$N$62/SQRT($F$2)</f>
        <v>7452.0585185360951</v>
      </c>
      <c r="D88" s="56">
        <f>'Profil énergétique d''un train'!$H$55/SQRT($F$2)</f>
        <v>10815.167212006794</v>
      </c>
      <c r="E88" s="59">
        <f>ROUNDUP((C88*10^3)/$B$2,0)</f>
        <v>46001</v>
      </c>
      <c r="F88" s="56">
        <f>ROUNDUP($D88*10^3/$C$2,0)</f>
        <v>26771</v>
      </c>
      <c r="G88" s="63">
        <f>MAX(E88:F90)*$D$2</f>
        <v>69461.509999999995</v>
      </c>
      <c r="H88" s="63">
        <f>MAX(F88,E88)*$E$2</f>
        <v>324307.05</v>
      </c>
    </row>
    <row r="89" spans="1:8" x14ac:dyDescent="0.25">
      <c r="A89" s="47"/>
      <c r="B89" s="46"/>
      <c r="C89" s="57"/>
      <c r="D89" s="57"/>
      <c r="E89" s="60"/>
      <c r="F89" s="57"/>
      <c r="G89" s="64"/>
      <c r="H89" s="64"/>
    </row>
    <row r="90" spans="1:8" x14ac:dyDescent="0.25">
      <c r="A90" s="47"/>
      <c r="B90" s="46"/>
      <c r="C90" s="58"/>
      <c r="D90" s="58"/>
      <c r="E90" s="62"/>
      <c r="F90" s="58"/>
      <c r="G90" s="65"/>
      <c r="H90" s="65"/>
    </row>
    <row r="91" spans="1:8" x14ac:dyDescent="0.25">
      <c r="A91" s="47"/>
      <c r="B91" s="46" t="s">
        <v>41</v>
      </c>
      <c r="C91" s="56">
        <f>'Profil énergétique d''un train'!$N$62/SQRT($F$5)</f>
        <v>6949.0803998230977</v>
      </c>
      <c r="D91" s="56">
        <f>'Profil énergétique d''un train'!$H$55/SQRT($F$5)</f>
        <v>10085.195427119323</v>
      </c>
      <c r="E91" s="59">
        <f>ROUNDUP((C91*10^3)/$B$5,0)</f>
        <v>1590179</v>
      </c>
      <c r="F91" s="56">
        <f>ROUNDUP($D91*10^3/$C$5,0)</f>
        <v>4803</v>
      </c>
      <c r="G91" s="56">
        <f>MAX(E91:F93)*$D$5</f>
        <v>1478866.47</v>
      </c>
      <c r="H91" s="56">
        <f>MAX(F91,E91)*$E$5</f>
        <v>1669687.9500000002</v>
      </c>
    </row>
    <row r="92" spans="1:8" x14ac:dyDescent="0.25">
      <c r="A92" s="47"/>
      <c r="B92" s="46"/>
      <c r="C92" s="57"/>
      <c r="D92" s="57"/>
      <c r="E92" s="60"/>
      <c r="F92" s="57"/>
      <c r="G92" s="57"/>
      <c r="H92" s="57"/>
    </row>
    <row r="93" spans="1:8" x14ac:dyDescent="0.25">
      <c r="A93" s="47"/>
      <c r="B93" s="46"/>
      <c r="C93" s="58"/>
      <c r="D93" s="58"/>
      <c r="E93" s="62"/>
      <c r="F93" s="58"/>
      <c r="G93" s="58"/>
      <c r="H93" s="58"/>
    </row>
    <row r="94" spans="1:8" x14ac:dyDescent="0.25">
      <c r="A94" s="47"/>
      <c r="B94" s="46" t="s">
        <v>42</v>
      </c>
      <c r="C94" s="56">
        <f>'Profil énergétique d''un train'!$N$62/SQRT($F$8)</f>
        <v>7105.2590102930972</v>
      </c>
      <c r="D94" s="56">
        <f>'Profil énergétique d''un train'!$H$55/SQRT($F$8)</f>
        <v>10311.85733308403</v>
      </c>
      <c r="E94" s="59">
        <f>ROUNDUP((C94*10^3)/$B$8,0)</f>
        <v>17764</v>
      </c>
      <c r="F94" s="56">
        <f>ROUNDUP($D94*10^3/$C$8,0)</f>
        <v>313</v>
      </c>
      <c r="G94" s="48">
        <f>MAX(E94:F96)*$D$8</f>
        <v>2939942</v>
      </c>
      <c r="H94" s="48">
        <f>MAX(F94,E94)*$E$8</f>
        <v>2131680</v>
      </c>
    </row>
    <row r="95" spans="1:8" x14ac:dyDescent="0.25">
      <c r="A95" s="47"/>
      <c r="B95" s="46"/>
      <c r="C95" s="57"/>
      <c r="D95" s="57"/>
      <c r="E95" s="60"/>
      <c r="F95" s="57"/>
      <c r="G95" s="48"/>
      <c r="H95" s="48"/>
    </row>
    <row r="96" spans="1:8" x14ac:dyDescent="0.25">
      <c r="A96" s="47"/>
      <c r="B96" s="46"/>
      <c r="C96" s="58"/>
      <c r="D96" s="58"/>
      <c r="E96" s="62"/>
      <c r="F96" s="58"/>
      <c r="G96" s="48"/>
      <c r="H96" s="48"/>
    </row>
  </sheetData>
  <mergeCells count="204">
    <mergeCell ref="C88:C90"/>
    <mergeCell ref="D88:D90"/>
    <mergeCell ref="C91:C93"/>
    <mergeCell ref="D91:D93"/>
    <mergeCell ref="C94:C96"/>
    <mergeCell ref="D94:D96"/>
    <mergeCell ref="C78:C80"/>
    <mergeCell ref="D78:D80"/>
    <mergeCell ref="C81:C83"/>
    <mergeCell ref="D81:D83"/>
    <mergeCell ref="C84:C86"/>
    <mergeCell ref="D84:D86"/>
    <mergeCell ref="C68:C70"/>
    <mergeCell ref="D68:D70"/>
    <mergeCell ref="C71:C73"/>
    <mergeCell ref="D71:D73"/>
    <mergeCell ref="C74:C76"/>
    <mergeCell ref="D74:D76"/>
    <mergeCell ref="C58:C60"/>
    <mergeCell ref="D58:D60"/>
    <mergeCell ref="C61:C63"/>
    <mergeCell ref="D61:D63"/>
    <mergeCell ref="G88:G90"/>
    <mergeCell ref="H88:H90"/>
    <mergeCell ref="G91:G93"/>
    <mergeCell ref="H91:H93"/>
    <mergeCell ref="G94:G96"/>
    <mergeCell ref="H94:H96"/>
    <mergeCell ref="G78:G80"/>
    <mergeCell ref="H78:H80"/>
    <mergeCell ref="G81:G83"/>
    <mergeCell ref="H81:H83"/>
    <mergeCell ref="G84:G86"/>
    <mergeCell ref="H84:H86"/>
    <mergeCell ref="G68:G70"/>
    <mergeCell ref="H68:H70"/>
    <mergeCell ref="G71:G73"/>
    <mergeCell ref="H71:H73"/>
    <mergeCell ref="G74:G76"/>
    <mergeCell ref="H74:H76"/>
    <mergeCell ref="G58:G60"/>
    <mergeCell ref="H58:H60"/>
    <mergeCell ref="G61:G63"/>
    <mergeCell ref="H61:H63"/>
    <mergeCell ref="G64:G66"/>
    <mergeCell ref="H64:H66"/>
    <mergeCell ref="B91:B93"/>
    <mergeCell ref="E91:E93"/>
    <mergeCell ref="F91:F93"/>
    <mergeCell ref="B94:B96"/>
    <mergeCell ref="E94:E96"/>
    <mergeCell ref="F94:F96"/>
    <mergeCell ref="F81:F83"/>
    <mergeCell ref="B84:B86"/>
    <mergeCell ref="E84:E86"/>
    <mergeCell ref="F84:F86"/>
    <mergeCell ref="A87:A96"/>
    <mergeCell ref="B88:B90"/>
    <mergeCell ref="E88:E90"/>
    <mergeCell ref="F88:F90"/>
    <mergeCell ref="E74:E76"/>
    <mergeCell ref="F74:F76"/>
    <mergeCell ref="A77:A86"/>
    <mergeCell ref="B78:B80"/>
    <mergeCell ref="E78:E80"/>
    <mergeCell ref="F78:F80"/>
    <mergeCell ref="B81:B83"/>
    <mergeCell ref="E81:E83"/>
    <mergeCell ref="A67:A76"/>
    <mergeCell ref="B68:B70"/>
    <mergeCell ref="E68:E70"/>
    <mergeCell ref="F68:F70"/>
    <mergeCell ref="B71:B73"/>
    <mergeCell ref="E71:E73"/>
    <mergeCell ref="F71:F73"/>
    <mergeCell ref="B74:B76"/>
    <mergeCell ref="F58:F60"/>
    <mergeCell ref="B61:B63"/>
    <mergeCell ref="E61:E63"/>
    <mergeCell ref="F61:F63"/>
    <mergeCell ref="B64:B66"/>
    <mergeCell ref="E64:E66"/>
    <mergeCell ref="F64:F66"/>
    <mergeCell ref="C64:C66"/>
    <mergeCell ref="D64:D66"/>
    <mergeCell ref="J41:J43"/>
    <mergeCell ref="J45:J47"/>
    <mergeCell ref="J48:J50"/>
    <mergeCell ref="J51:J53"/>
    <mergeCell ref="A55:J56"/>
    <mergeCell ref="A57:A66"/>
    <mergeCell ref="B58:B60"/>
    <mergeCell ref="E58:E60"/>
    <mergeCell ref="I38:I40"/>
    <mergeCell ref="I41:I43"/>
    <mergeCell ref="I45:I47"/>
    <mergeCell ref="I48:I50"/>
    <mergeCell ref="I51:I53"/>
    <mergeCell ref="J25:J27"/>
    <mergeCell ref="J28:J30"/>
    <mergeCell ref="J31:J33"/>
    <mergeCell ref="J35:J37"/>
    <mergeCell ref="J38:J40"/>
    <mergeCell ref="J15:J17"/>
    <mergeCell ref="I18:I20"/>
    <mergeCell ref="J18:J20"/>
    <mergeCell ref="I21:I23"/>
    <mergeCell ref="J21:J23"/>
    <mergeCell ref="A12:J13"/>
    <mergeCell ref="B51:B53"/>
    <mergeCell ref="E51:E53"/>
    <mergeCell ref="F51:F53"/>
    <mergeCell ref="G51:G53"/>
    <mergeCell ref="H51:H53"/>
    <mergeCell ref="I15:I17"/>
    <mergeCell ref="I25:I27"/>
    <mergeCell ref="I28:I30"/>
    <mergeCell ref="I31:I33"/>
    <mergeCell ref="I35:I37"/>
    <mergeCell ref="F45:F47"/>
    <mergeCell ref="G45:G47"/>
    <mergeCell ref="H45:H47"/>
    <mergeCell ref="B48:B50"/>
    <mergeCell ref="E48:E50"/>
    <mergeCell ref="F48:F50"/>
    <mergeCell ref="G48:G50"/>
    <mergeCell ref="H48:H50"/>
    <mergeCell ref="B41:B43"/>
    <mergeCell ref="E41:E43"/>
    <mergeCell ref="F41:F43"/>
    <mergeCell ref="G41:G43"/>
    <mergeCell ref="H41:H43"/>
    <mergeCell ref="A44:A53"/>
    <mergeCell ref="B45:B47"/>
    <mergeCell ref="C45:C53"/>
    <mergeCell ref="D45:D53"/>
    <mergeCell ref="E45:E47"/>
    <mergeCell ref="G35:G37"/>
    <mergeCell ref="H35:H37"/>
    <mergeCell ref="B38:B40"/>
    <mergeCell ref="E38:E40"/>
    <mergeCell ref="F38:F40"/>
    <mergeCell ref="G38:G40"/>
    <mergeCell ref="H38:H40"/>
    <mergeCell ref="E31:E33"/>
    <mergeCell ref="F31:F33"/>
    <mergeCell ref="G31:G33"/>
    <mergeCell ref="H31:H33"/>
    <mergeCell ref="A34:A43"/>
    <mergeCell ref="B35:B37"/>
    <mergeCell ref="C35:C43"/>
    <mergeCell ref="D35:D43"/>
    <mergeCell ref="E35:E37"/>
    <mergeCell ref="F35:F37"/>
    <mergeCell ref="G25:G27"/>
    <mergeCell ref="H25:H27"/>
    <mergeCell ref="B28:B30"/>
    <mergeCell ref="E28:E30"/>
    <mergeCell ref="G28:G30"/>
    <mergeCell ref="H28:H30"/>
    <mergeCell ref="F28:F30"/>
    <mergeCell ref="C15:C23"/>
    <mergeCell ref="D15:D23"/>
    <mergeCell ref="A24:A33"/>
    <mergeCell ref="B25:B27"/>
    <mergeCell ref="C25:C33"/>
    <mergeCell ref="D25:D33"/>
    <mergeCell ref="E25:E27"/>
    <mergeCell ref="F25:F27"/>
    <mergeCell ref="B31:B33"/>
    <mergeCell ref="H15:H17"/>
    <mergeCell ref="G18:G20"/>
    <mergeCell ref="H18:H20"/>
    <mergeCell ref="H21:H23"/>
    <mergeCell ref="G21:G23"/>
    <mergeCell ref="F21:F23"/>
    <mergeCell ref="E21:E23"/>
    <mergeCell ref="G15:G17"/>
    <mergeCell ref="B21:B23"/>
    <mergeCell ref="A14:A23"/>
    <mergeCell ref="E15:E17"/>
    <mergeCell ref="F15:F17"/>
    <mergeCell ref="E18:E20"/>
    <mergeCell ref="D8:D10"/>
    <mergeCell ref="E8:E10"/>
    <mergeCell ref="F8:F10"/>
    <mergeCell ref="B15:B17"/>
    <mergeCell ref="B18:B20"/>
    <mergeCell ref="F18:F20"/>
    <mergeCell ref="F5:F7"/>
    <mergeCell ref="A8:A10"/>
    <mergeCell ref="B8:B10"/>
    <mergeCell ref="C8:C10"/>
    <mergeCell ref="A5:A7"/>
    <mergeCell ref="B5:B7"/>
    <mergeCell ref="C5:C7"/>
    <mergeCell ref="D5:D7"/>
    <mergeCell ref="E5:E7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Profil énergétique d'un train</vt:lpstr>
      <vt:lpstr>Dimensionnement</vt:lpstr>
      <vt:lpstr>'Profil énergétique d''un train'!Zone_d_impression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Undisclosed</dc:creator>
  <cp:lastModifiedBy>Undisclosed</cp:lastModifiedBy>
  <cp:lastPrinted>2017-03-28T21:08:19Z</cp:lastPrinted>
  <dcterms:created xsi:type="dcterms:W3CDTF">2017-03-28T13:36:30Z</dcterms:created>
  <dcterms:modified xsi:type="dcterms:W3CDTF">2017-04-12T00:24:48Z</dcterms:modified>
</cp:coreProperties>
</file>