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Calculateur V3" sheetId="1" r:id="rId1"/>
    <sheet name="Calculateur V3 (2)" sheetId="3" state="hidden" r:id="rId2"/>
  </sheets>
  <definedNames>
    <definedName name="Cdr_C">'Calculateur V3'!$S$10</definedName>
    <definedName name="Cdr_M">'Calculateur V3'!$S$9</definedName>
    <definedName name="Cyclo">'Calculateur V3'!$S$11</definedName>
  </definedNames>
  <calcPr calcId="124519"/>
</workbook>
</file>

<file path=xl/calcChain.xml><?xml version="1.0" encoding="utf-8"?>
<calcChain xmlns="http://schemas.openxmlformats.org/spreadsheetml/2006/main">
  <c r="K33" i="1"/>
  <c r="J33"/>
  <c r="S11" l="1"/>
  <c r="S12" s="1"/>
  <c r="K33" i="3"/>
  <c r="J33"/>
  <c r="K35"/>
  <c r="J35"/>
  <c r="F34"/>
  <c r="D15" s="1"/>
  <c r="J14" s="1"/>
  <c r="F33"/>
  <c r="D14" s="1"/>
  <c r="K32"/>
  <c r="J32"/>
  <c r="F32"/>
  <c r="K31"/>
  <c r="J31"/>
  <c r="F31"/>
  <c r="D12" s="1"/>
  <c r="K30"/>
  <c r="J30"/>
  <c r="F30"/>
  <c r="D11" s="1"/>
  <c r="K29"/>
  <c r="J29"/>
  <c r="F29"/>
  <c r="K28"/>
  <c r="J28"/>
  <c r="F28"/>
  <c r="K27"/>
  <c r="J27"/>
  <c r="F27"/>
  <c r="K26"/>
  <c r="J26"/>
  <c r="F26"/>
  <c r="D7" s="1"/>
  <c r="K25"/>
  <c r="J25"/>
  <c r="F25"/>
  <c r="D6" s="1"/>
  <c r="K24"/>
  <c r="J24"/>
  <c r="F24"/>
  <c r="D5" s="1"/>
  <c r="K23"/>
  <c r="J23"/>
  <c r="F23"/>
  <c r="D4" s="1"/>
  <c r="K22"/>
  <c r="J22"/>
  <c r="F22"/>
  <c r="D3" s="1"/>
  <c r="E19"/>
  <c r="G20" s="1"/>
  <c r="H13"/>
  <c r="G13"/>
  <c r="D13"/>
  <c r="H12"/>
  <c r="G12"/>
  <c r="H11"/>
  <c r="G11"/>
  <c r="H10"/>
  <c r="G10"/>
  <c r="D10"/>
  <c r="H9"/>
  <c r="G9"/>
  <c r="D9"/>
  <c r="H8"/>
  <c r="G8"/>
  <c r="D8"/>
  <c r="H7"/>
  <c r="G7"/>
  <c r="H6"/>
  <c r="G6"/>
  <c r="H5"/>
  <c r="G5"/>
  <c r="H4"/>
  <c r="G4"/>
  <c r="G20" i="1"/>
  <c r="F18" l="1"/>
  <c r="J12"/>
  <c r="E6" i="3"/>
  <c r="E14"/>
  <c r="E13"/>
  <c r="E12"/>
  <c r="E9"/>
  <c r="E11"/>
  <c r="J36"/>
  <c r="Q1" s="1"/>
  <c r="E10"/>
  <c r="F18"/>
  <c r="J12"/>
  <c r="D16"/>
  <c r="E16" s="1"/>
  <c r="E4"/>
  <c r="E8"/>
  <c r="E7"/>
  <c r="E5"/>
  <c r="E3"/>
  <c r="D17"/>
  <c r="J16" s="1"/>
  <c r="J23" i="1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5"/>
  <c r="K35"/>
  <c r="K22"/>
  <c r="J22"/>
  <c r="F22"/>
  <c r="D3" s="1"/>
  <c r="F23"/>
  <c r="D4" s="1"/>
  <c r="F24"/>
  <c r="D5" s="1"/>
  <c r="F25"/>
  <c r="D6" s="1"/>
  <c r="F26"/>
  <c r="D7" s="1"/>
  <c r="F27"/>
  <c r="D8" s="1"/>
  <c r="F28"/>
  <c r="D9" s="1"/>
  <c r="F29"/>
  <c r="D10" s="1"/>
  <c r="F30"/>
  <c r="D11" s="1"/>
  <c r="F31"/>
  <c r="D12" s="1"/>
  <c r="F32"/>
  <c r="D13" s="1"/>
  <c r="F34"/>
  <c r="D15" s="1"/>
  <c r="F33"/>
  <c r="D14" s="1"/>
  <c r="H14" i="3" l="1"/>
  <c r="G14"/>
  <c r="Q2"/>
  <c r="G2" s="1"/>
  <c r="J4"/>
  <c r="F13"/>
  <c r="F10"/>
  <c r="F5"/>
  <c r="F8"/>
  <c r="F14"/>
  <c r="F11"/>
  <c r="F6"/>
  <c r="F3"/>
  <c r="F9"/>
  <c r="F12"/>
  <c r="F7"/>
  <c r="F4"/>
  <c r="R23"/>
  <c r="R24" s="1"/>
  <c r="H3"/>
  <c r="R22" s="1"/>
  <c r="G3"/>
  <c r="H2"/>
  <c r="J36" i="1"/>
  <c r="J14"/>
  <c r="D17"/>
  <c r="D16"/>
  <c r="E16" s="1"/>
  <c r="Q1" l="1"/>
  <c r="Q2"/>
  <c r="R21" i="3"/>
  <c r="G15"/>
  <c r="E8" i="1"/>
  <c r="E14"/>
  <c r="E4"/>
  <c r="E12"/>
  <c r="E10"/>
  <c r="E6"/>
  <c r="E11"/>
  <c r="E7"/>
  <c r="E5"/>
  <c r="E9"/>
  <c r="E13"/>
  <c r="J16"/>
  <c r="F3" s="1"/>
  <c r="E3"/>
  <c r="J4" l="1"/>
  <c r="F6"/>
  <c r="F10"/>
  <c r="F14"/>
  <c r="F5"/>
  <c r="F13"/>
  <c r="F4"/>
  <c r="F8"/>
  <c r="F12"/>
  <c r="F7"/>
  <c r="F11"/>
  <c r="F9"/>
  <c r="H13"/>
  <c r="G13"/>
  <c r="H8"/>
  <c r="G8"/>
  <c r="H7"/>
  <c r="G7"/>
  <c r="G3"/>
  <c r="G5"/>
  <c r="H5"/>
  <c r="H11"/>
  <c r="G11"/>
  <c r="H9"/>
  <c r="G9"/>
  <c r="H4"/>
  <c r="G4"/>
  <c r="H3"/>
  <c r="G10"/>
  <c r="H10"/>
  <c r="R20" i="3"/>
  <c r="R26" s="1"/>
  <c r="H6" i="1"/>
  <c r="G6"/>
  <c r="G12"/>
  <c r="H12"/>
  <c r="G14"/>
  <c r="H14"/>
  <c r="H2"/>
  <c r="G2"/>
  <c r="R23"/>
  <c r="R22" l="1"/>
  <c r="S10" s="1"/>
  <c r="T6" s="1"/>
  <c r="G15"/>
  <c r="R21"/>
  <c r="S18" i="3" l="1"/>
  <c r="R20" i="1"/>
  <c r="S21" s="1"/>
  <c r="S9"/>
  <c r="H15" i="3"/>
  <c r="S21" l="1"/>
  <c r="S23" i="1"/>
  <c r="S22"/>
  <c r="T9"/>
  <c r="X6"/>
  <c r="U6"/>
  <c r="U10" s="1"/>
  <c r="S8"/>
  <c r="V6"/>
  <c r="V10" s="1"/>
  <c r="W6"/>
  <c r="V18" i="3"/>
  <c r="U18"/>
  <c r="U22" s="1"/>
  <c r="W18"/>
  <c r="T18"/>
  <c r="T22" s="1"/>
  <c r="S24" i="1" l="1"/>
  <c r="S14"/>
  <c r="Z8"/>
  <c r="V21" i="3"/>
  <c r="U21" s="1"/>
  <c r="W9" i="1"/>
  <c r="V9" s="1"/>
  <c r="W22" i="3"/>
  <c r="W21"/>
  <c r="X10" i="1"/>
  <c r="X9"/>
  <c r="V22" i="3" l="1"/>
  <c r="W10" i="1"/>
  <c r="Y10" s="1"/>
  <c r="Z10" s="1"/>
  <c r="AA10" s="1"/>
  <c r="T23" s="1"/>
  <c r="T24" s="1"/>
  <c r="Y9"/>
  <c r="Z9" s="1"/>
  <c r="AA9" s="1"/>
  <c r="U23" s="1"/>
  <c r="R24" l="1"/>
  <c r="U24" s="1"/>
  <c r="T25" s="1"/>
  <c r="H15" s="1"/>
</calcChain>
</file>

<file path=xl/sharedStrings.xml><?xml version="1.0" encoding="utf-8"?>
<sst xmlns="http://schemas.openxmlformats.org/spreadsheetml/2006/main" count="140" uniqueCount="61">
  <si>
    <r>
      <t>Chasseur lourd</t>
    </r>
    <r>
      <rPr>
        <sz val="11"/>
        <color theme="1"/>
        <rFont val="Calibri"/>
        <family val="2"/>
        <scheme val="minor"/>
      </rPr>
      <t/>
    </r>
  </si>
  <si>
    <r>
      <t>Vaisseau de bataille</t>
    </r>
    <r>
      <rPr>
        <sz val="11"/>
        <color theme="1"/>
        <rFont val="Calibri"/>
        <family val="2"/>
        <scheme val="minor"/>
      </rPr>
      <t/>
    </r>
  </si>
  <si>
    <r>
      <t>Destructeur</t>
    </r>
    <r>
      <rPr>
        <sz val="11"/>
        <color theme="1"/>
        <rFont val="Calibri"/>
        <family val="2"/>
        <scheme val="minor"/>
      </rPr>
      <t/>
    </r>
  </si>
  <si>
    <t xml:space="preserve">Petit transporteur </t>
  </si>
  <si>
    <t>Grand transporteur</t>
  </si>
  <si>
    <t xml:space="preserve">Vaisseau de colonisation </t>
  </si>
  <si>
    <t>Recycleur</t>
  </si>
  <si>
    <t>Sonde d'espionnage</t>
  </si>
  <si>
    <t xml:space="preserve">Chasseur léger </t>
  </si>
  <si>
    <t xml:space="preserve">Croiseur </t>
  </si>
  <si>
    <t xml:space="preserve">Traqueur </t>
  </si>
  <si>
    <t xml:space="preserve">Bombardier </t>
  </si>
  <si>
    <t xml:space="preserve">Etoile de la mort </t>
  </si>
  <si>
    <t>Quantité</t>
  </si>
  <si>
    <t>Coût total</t>
  </si>
  <si>
    <t>%</t>
  </si>
  <si>
    <t>Total avec recycleur:</t>
  </si>
  <si>
    <t>Total sans recycleur:</t>
  </si>
  <si>
    <t>Chasseur lourd</t>
  </si>
  <si>
    <t>Vaisseau de bataille</t>
  </si>
  <si>
    <t>Destructeur</t>
  </si>
  <si>
    <t>Champs à remplir :</t>
  </si>
  <si>
    <t>Pondération :</t>
  </si>
  <si>
    <t>Ressources totales :</t>
  </si>
  <si>
    <t>vaisseaux max</t>
  </si>
  <si>
    <t>valeur</t>
  </si>
  <si>
    <t>% max pour un type de vaisseau :</t>
  </si>
  <si>
    <t>Ressources disponibles pour la flotte combattante :</t>
  </si>
  <si>
    <t>Ressources restantes pour la flotte combattante :</t>
  </si>
  <si>
    <t>Métal</t>
  </si>
  <si>
    <t>Cristal</t>
  </si>
  <si>
    <t>% Pts structure allant dans le Cdr :</t>
  </si>
  <si>
    <t>Cdr Métal</t>
  </si>
  <si>
    <t>Fret Recycleur</t>
  </si>
  <si>
    <r>
      <t>Cdr Total / % Cdr recy.</t>
    </r>
    <r>
      <rPr>
        <i/>
        <sz val="1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(M / C)</t>
    </r>
  </si>
  <si>
    <t>Unité Cdr</t>
  </si>
  <si>
    <t>Cdr tot cristal</t>
  </si>
  <si>
    <t>Cdr tot Métal</t>
  </si>
  <si>
    <t>Capacité total cyclo</t>
  </si>
  <si>
    <t>Total Cdr</t>
  </si>
  <si>
    <t>% Cdr</t>
  </si>
  <si>
    <t>Ku Cdr</t>
  </si>
  <si>
    <t>Cdr cristal</t>
  </si>
  <si>
    <t>Capacité cyclo apres Cristal</t>
  </si>
  <si>
    <t>,</t>
  </si>
  <si>
    <t>CALCULATEUR V3</t>
  </si>
  <si>
    <t>Tech. Armes</t>
  </si>
  <si>
    <t>Tech. Bouclier</t>
  </si>
  <si>
    <t>Tech. Protec.</t>
  </si>
  <si>
    <t xml:space="preserve">MAX : </t>
  </si>
  <si>
    <t>TOTAL :</t>
  </si>
  <si>
    <t>RESTANT:</t>
  </si>
  <si>
    <t>A REPARTIR:</t>
  </si>
  <si>
    <t>NOM IG :</t>
  </si>
  <si>
    <t>C=0</t>
  </si>
  <si>
    <t>M=0</t>
  </si>
  <si>
    <t>M&gt;C</t>
  </si>
  <si>
    <t>C&gt;M</t>
  </si>
  <si>
    <t>M=C</t>
  </si>
  <si>
    <t>1/2 Cyclo:</t>
  </si>
  <si>
    <t>Cdr restant :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</si>
</sst>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0.0000%"/>
    <numFmt numFmtId="167" formatCode="0_ ;[Red]\-0\ "/>
    <numFmt numFmtId="168" formatCode="_-* #,##0\ _€_-;\-* #,##0\ _€_-;_-* &quot;-&quot;??\ _€_-;_-@_-"/>
  </numFmts>
  <fonts count="2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36"/>
      <name val="Calibri"/>
      <family val="2"/>
      <scheme val="minor"/>
    </font>
    <font>
      <b/>
      <u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07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164" fontId="0" fillId="2" borderId="0" xfId="0" applyNumberFormat="1" applyFill="1" applyProtection="1">
      <protection hidden="1"/>
    </xf>
    <xf numFmtId="164" fontId="3" fillId="3" borderId="3" xfId="0" applyNumberFormat="1" applyFont="1" applyFill="1" applyBorder="1" applyAlignment="1">
      <alignment horizontal="center"/>
    </xf>
    <xf numFmtId="166" fontId="6" fillId="2" borderId="0" xfId="0" applyNumberFormat="1" applyFont="1" applyFill="1" applyAlignment="1" applyProtection="1">
      <alignment horizontal="right"/>
      <protection hidden="1"/>
    </xf>
    <xf numFmtId="166" fontId="0" fillId="2" borderId="0" xfId="0" applyNumberFormat="1" applyFill="1" applyAlignment="1" applyProtection="1">
      <alignment horizontal="right"/>
      <protection hidden="1"/>
    </xf>
    <xf numFmtId="164" fontId="7" fillId="3" borderId="2" xfId="0" applyNumberFormat="1" applyFont="1" applyFill="1" applyBorder="1" applyAlignment="1">
      <alignment horizontal="right"/>
    </xf>
    <xf numFmtId="1" fontId="6" fillId="2" borderId="0" xfId="0" applyNumberFormat="1" applyFont="1" applyFill="1" applyAlignment="1" applyProtection="1">
      <alignment horizontal="right"/>
      <protection hidden="1"/>
    </xf>
    <xf numFmtId="164" fontId="3" fillId="3" borderId="4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10" fillId="2" borderId="0" xfId="0" applyNumberFormat="1" applyFont="1" applyFill="1"/>
    <xf numFmtId="164" fontId="0" fillId="2" borderId="0" xfId="0" applyNumberFormat="1" applyFill="1" applyProtection="1"/>
    <xf numFmtId="164" fontId="6" fillId="2" borderId="0" xfId="0" applyNumberFormat="1" applyFont="1" applyFill="1" applyProtection="1"/>
    <xf numFmtId="164" fontId="6" fillId="2" borderId="0" xfId="0" applyNumberFormat="1" applyFont="1" applyFill="1" applyBorder="1" applyProtection="1"/>
    <xf numFmtId="164" fontId="3" fillId="3" borderId="13" xfId="0" applyNumberFormat="1" applyFont="1" applyFill="1" applyBorder="1" applyAlignment="1">
      <alignment horizontal="center"/>
    </xf>
    <xf numFmtId="166" fontId="5" fillId="4" borderId="14" xfId="0" applyNumberFormat="1" applyFont="1" applyFill="1" applyBorder="1" applyAlignment="1">
      <alignment horizontal="right"/>
    </xf>
    <xf numFmtId="167" fontId="5" fillId="4" borderId="14" xfId="0" applyNumberFormat="1" applyFont="1" applyFill="1" applyBorder="1" applyAlignment="1">
      <alignment horizontal="right"/>
    </xf>
    <xf numFmtId="164" fontId="12" fillId="2" borderId="0" xfId="0" applyNumberFormat="1" applyFont="1" applyFill="1" applyBorder="1" applyAlignment="1">
      <alignment horizontal="right"/>
    </xf>
    <xf numFmtId="9" fontId="12" fillId="2" borderId="0" xfId="2" applyFont="1" applyFill="1" applyBorder="1" applyAlignment="1">
      <alignment horizontal="right"/>
    </xf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/>
    </xf>
    <xf numFmtId="164" fontId="1" fillId="3" borderId="1" xfId="0" applyNumberFormat="1" applyFont="1" applyFill="1" applyBorder="1" applyAlignment="1" applyProtection="1">
      <alignment horizontal="right"/>
      <protection locked="0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164" fontId="4" fillId="4" borderId="1" xfId="0" applyNumberFormat="1" applyFont="1" applyFill="1" applyBorder="1" applyAlignment="1" applyProtection="1">
      <alignment horizontal="right"/>
      <protection locked="0"/>
    </xf>
    <xf numFmtId="164" fontId="1" fillId="4" borderId="1" xfId="0" applyNumberFormat="1" applyFont="1" applyFill="1" applyBorder="1" applyAlignment="1" applyProtection="1">
      <alignment horizontal="right"/>
      <protection locked="0"/>
    </xf>
    <xf numFmtId="164" fontId="2" fillId="2" borderId="0" xfId="0" applyNumberFormat="1" applyFont="1" applyFill="1" applyProtection="1">
      <protection hidden="1"/>
    </xf>
    <xf numFmtId="166" fontId="2" fillId="2" borderId="0" xfId="0" applyNumberFormat="1" applyFont="1" applyFill="1" applyAlignment="1" applyProtection="1">
      <alignment horizontal="right"/>
      <protection hidden="1"/>
    </xf>
    <xf numFmtId="9" fontId="14" fillId="2" borderId="0" xfId="2" applyFont="1" applyFill="1"/>
    <xf numFmtId="164" fontId="7" fillId="3" borderId="23" xfId="0" applyNumberFormat="1" applyFont="1" applyFill="1" applyBorder="1" applyAlignment="1">
      <alignment horizontal="right"/>
    </xf>
    <xf numFmtId="164" fontId="4" fillId="4" borderId="3" xfId="0" applyNumberFormat="1" applyFont="1" applyFill="1" applyBorder="1" applyAlignment="1">
      <alignment horizontal="left" indent="1"/>
    </xf>
    <xf numFmtId="164" fontId="5" fillId="4" borderId="24" xfId="0" applyNumberFormat="1" applyFont="1" applyFill="1" applyBorder="1" applyAlignment="1">
      <alignment horizontal="right"/>
    </xf>
    <xf numFmtId="164" fontId="4" fillId="3" borderId="3" xfId="0" applyNumberFormat="1" applyFont="1" applyFill="1" applyBorder="1" applyAlignment="1">
      <alignment horizontal="left" indent="1"/>
    </xf>
    <xf numFmtId="164" fontId="5" fillId="3" borderId="24" xfId="0" applyNumberFormat="1" applyFont="1" applyFill="1" applyBorder="1" applyAlignment="1">
      <alignment horizontal="right"/>
    </xf>
    <xf numFmtId="164" fontId="1" fillId="4" borderId="3" xfId="0" applyNumberFormat="1" applyFont="1" applyFill="1" applyBorder="1" applyAlignment="1">
      <alignment horizontal="left" indent="1"/>
    </xf>
    <xf numFmtId="164" fontId="1" fillId="3" borderId="3" xfId="0" applyNumberFormat="1" applyFont="1" applyFill="1" applyBorder="1" applyAlignment="1">
      <alignment horizontal="left" indent="1"/>
    </xf>
    <xf numFmtId="164" fontId="3" fillId="3" borderId="25" xfId="0" applyNumberFormat="1" applyFont="1" applyFill="1" applyBorder="1" applyAlignment="1">
      <alignment horizontal="center"/>
    </xf>
    <xf numFmtId="164" fontId="3" fillId="3" borderId="24" xfId="0" applyNumberFormat="1" applyFont="1" applyFill="1" applyBorder="1" applyAlignment="1">
      <alignment horizontal="center"/>
    </xf>
    <xf numFmtId="168" fontId="5" fillId="4" borderId="24" xfId="1" applyNumberFormat="1" applyFont="1" applyFill="1" applyBorder="1" applyAlignment="1">
      <alignment horizontal="right"/>
    </xf>
    <xf numFmtId="168" fontId="5" fillId="4" borderId="25" xfId="1" applyNumberFormat="1" applyFont="1" applyFill="1" applyBorder="1" applyAlignment="1">
      <alignment horizontal="center" vertical="center"/>
    </xf>
    <xf numFmtId="9" fontId="5" fillId="4" borderId="24" xfId="2" applyFont="1" applyFill="1" applyBorder="1" applyAlignment="1">
      <alignment horizontal="center" vertical="center"/>
    </xf>
    <xf numFmtId="168" fontId="5" fillId="4" borderId="3" xfId="1" applyNumberFormat="1" applyFont="1" applyFill="1" applyBorder="1" applyAlignment="1">
      <alignment horizontal="right"/>
    </xf>
    <xf numFmtId="164" fontId="17" fillId="2" borderId="0" xfId="0" applyNumberFormat="1" applyFont="1" applyFill="1" applyAlignment="1" applyProtection="1">
      <alignment vertical="center"/>
      <protection hidden="1"/>
    </xf>
    <xf numFmtId="164" fontId="2" fillId="2" borderId="0" xfId="0" applyNumberFormat="1" applyFont="1" applyFill="1" applyBorder="1" applyAlignment="1" applyProtection="1">
      <protection hidden="1"/>
    </xf>
    <xf numFmtId="164" fontId="2" fillId="2" borderId="0" xfId="0" applyNumberFormat="1" applyFont="1" applyFill="1" applyAlignment="1" applyProtection="1">
      <protection hidden="1"/>
    </xf>
    <xf numFmtId="164" fontId="2" fillId="2" borderId="0" xfId="0" applyNumberFormat="1" applyFont="1" applyFill="1" applyProtection="1"/>
    <xf numFmtId="164" fontId="3" fillId="6" borderId="26" xfId="0" applyNumberFormat="1" applyFont="1" applyFill="1" applyBorder="1" applyAlignment="1">
      <alignment horizontal="center" vertical="center"/>
    </xf>
    <xf numFmtId="164" fontId="20" fillId="2" borderId="2" xfId="0" applyNumberFormat="1" applyFont="1" applyFill="1" applyBorder="1" applyAlignment="1" applyProtection="1">
      <alignment horizontal="center"/>
      <protection locked="0"/>
    </xf>
    <xf numFmtId="165" fontId="2" fillId="3" borderId="2" xfId="0" applyNumberFormat="1" applyFont="1" applyFill="1" applyBorder="1" applyAlignment="1" applyProtection="1">
      <alignment horizontal="center"/>
      <protection hidden="1"/>
    </xf>
    <xf numFmtId="164" fontId="2" fillId="3" borderId="2" xfId="0" applyNumberFormat="1" applyFont="1" applyFill="1" applyBorder="1" applyAlignment="1" applyProtection="1">
      <alignment horizontal="center"/>
      <protection hidden="1"/>
    </xf>
    <xf numFmtId="164" fontId="0" fillId="3" borderId="0" xfId="0" applyNumberFormat="1" applyFill="1"/>
    <xf numFmtId="164" fontId="10" fillId="3" borderId="0" xfId="0" applyNumberFormat="1" applyFont="1" applyFill="1"/>
    <xf numFmtId="164" fontId="20" fillId="3" borderId="2" xfId="0" applyNumberFormat="1" applyFont="1" applyFill="1" applyBorder="1" applyAlignment="1" applyProtection="1">
      <alignment horizontal="center"/>
      <protection locked="0"/>
    </xf>
    <xf numFmtId="166" fontId="6" fillId="3" borderId="0" xfId="0" applyNumberFormat="1" applyFont="1" applyFill="1" applyAlignment="1" applyProtection="1">
      <alignment horizontal="right"/>
      <protection hidden="1"/>
    </xf>
    <xf numFmtId="164" fontId="0" fillId="3" borderId="0" xfId="0" applyNumberFormat="1" applyFill="1" applyProtection="1">
      <protection hidden="1"/>
    </xf>
    <xf numFmtId="164" fontId="2" fillId="3" borderId="0" xfId="0" applyNumberFormat="1" applyFont="1" applyFill="1" applyProtection="1">
      <protection hidden="1"/>
    </xf>
    <xf numFmtId="164" fontId="2" fillId="3" borderId="0" xfId="0" applyNumberFormat="1" applyFont="1" applyFill="1" applyAlignment="1" applyProtection="1">
      <alignment horizontal="center"/>
      <protection hidden="1"/>
    </xf>
    <xf numFmtId="166" fontId="5" fillId="3" borderId="14" xfId="0" applyNumberFormat="1" applyFont="1" applyFill="1" applyBorder="1" applyAlignment="1">
      <alignment horizontal="right"/>
    </xf>
    <xf numFmtId="167" fontId="5" fillId="3" borderId="14" xfId="0" applyNumberFormat="1" applyFont="1" applyFill="1" applyBorder="1" applyAlignment="1">
      <alignment horizontal="right"/>
    </xf>
    <xf numFmtId="168" fontId="5" fillId="3" borderId="3" xfId="1" applyNumberFormat="1" applyFont="1" applyFill="1" applyBorder="1" applyAlignment="1">
      <alignment horizontal="right"/>
    </xf>
    <xf numFmtId="168" fontId="5" fillId="3" borderId="24" xfId="1" applyNumberFormat="1" applyFont="1" applyFill="1" applyBorder="1" applyAlignment="1">
      <alignment horizontal="right"/>
    </xf>
    <xf numFmtId="164" fontId="12" fillId="3" borderId="0" xfId="0" applyNumberFormat="1" applyFont="1" applyFill="1" applyBorder="1" applyAlignment="1">
      <alignment horizontal="right"/>
    </xf>
    <xf numFmtId="164" fontId="2" fillId="3" borderId="0" xfId="0" applyNumberFormat="1" applyFont="1" applyFill="1" applyProtection="1"/>
    <xf numFmtId="168" fontId="5" fillId="3" borderId="25" xfId="1" applyNumberFormat="1" applyFont="1" applyFill="1" applyBorder="1" applyAlignment="1">
      <alignment horizontal="center" vertical="center"/>
    </xf>
    <xf numFmtId="9" fontId="5" fillId="3" borderId="24" xfId="2" applyFont="1" applyFill="1" applyBorder="1" applyAlignment="1">
      <alignment horizontal="center" vertical="center"/>
    </xf>
    <xf numFmtId="9" fontId="12" fillId="3" borderId="0" xfId="2" applyFont="1" applyFill="1" applyBorder="1" applyAlignment="1">
      <alignment horizontal="right"/>
    </xf>
    <xf numFmtId="164" fontId="3" fillId="3" borderId="26" xfId="0" applyNumberFormat="1" applyFont="1" applyFill="1" applyBorder="1" applyAlignment="1">
      <alignment horizontal="center" vertical="center"/>
    </xf>
    <xf numFmtId="164" fontId="0" fillId="3" borderId="0" xfId="0" applyNumberFormat="1" applyFill="1" applyBorder="1" applyAlignment="1" applyProtection="1">
      <protection hidden="1"/>
    </xf>
    <xf numFmtId="1" fontId="6" fillId="3" borderId="0" xfId="0" applyNumberFormat="1" applyFont="1" applyFill="1" applyAlignment="1" applyProtection="1">
      <alignment horizontal="right"/>
      <protection hidden="1"/>
    </xf>
    <xf numFmtId="164" fontId="3" fillId="3" borderId="27" xfId="0" applyNumberFormat="1" applyFont="1" applyFill="1" applyBorder="1" applyAlignment="1">
      <alignment horizontal="center"/>
    </xf>
    <xf numFmtId="9" fontId="14" fillId="3" borderId="0" xfId="2" applyFont="1" applyFill="1"/>
    <xf numFmtId="164" fontId="14" fillId="3" borderId="0" xfId="0" applyNumberFormat="1" applyFont="1" applyFill="1"/>
    <xf numFmtId="164" fontId="2" fillId="3" borderId="0" xfId="0" applyNumberFormat="1" applyFont="1" applyFill="1"/>
    <xf numFmtId="164" fontId="2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 applyProtection="1">
      <alignment horizontal="right"/>
      <protection hidden="1"/>
    </xf>
    <xf numFmtId="168" fontId="3" fillId="3" borderId="0" xfId="1" applyNumberFormat="1" applyFont="1" applyFill="1" applyAlignment="1" applyProtection="1">
      <alignment horizontal="center" vertical="center"/>
      <protection hidden="1"/>
    </xf>
    <xf numFmtId="164" fontId="0" fillId="3" borderId="0" xfId="0" applyNumberFormat="1" applyFill="1" applyBorder="1" applyProtection="1">
      <protection hidden="1"/>
    </xf>
    <xf numFmtId="164" fontId="6" fillId="3" borderId="0" xfId="0" applyNumberFormat="1" applyFont="1" applyFill="1" applyBorder="1" applyAlignment="1" applyProtection="1">
      <protection hidden="1"/>
    </xf>
    <xf numFmtId="164" fontId="17" fillId="3" borderId="0" xfId="0" applyNumberFormat="1" applyFont="1" applyFill="1" applyAlignment="1" applyProtection="1">
      <alignment vertical="center"/>
      <protection hidden="1"/>
    </xf>
    <xf numFmtId="166" fontId="2" fillId="3" borderId="0" xfId="0" applyNumberFormat="1" applyFont="1" applyFill="1" applyAlignment="1" applyProtection="1">
      <alignment horizontal="right"/>
      <protection hidden="1"/>
    </xf>
    <xf numFmtId="164" fontId="2" fillId="3" borderId="0" xfId="0" applyNumberFormat="1" applyFont="1" applyFill="1" applyBorder="1" applyAlignment="1" applyProtection="1">
      <protection hidden="1"/>
    </xf>
    <xf numFmtId="164" fontId="14" fillId="3" borderId="0" xfId="0" applyNumberFormat="1" applyFont="1" applyFill="1" applyAlignment="1">
      <alignment horizontal="right"/>
    </xf>
    <xf numFmtId="166" fontId="14" fillId="3" borderId="0" xfId="0" applyNumberFormat="1" applyFont="1" applyFill="1" applyAlignment="1" applyProtection="1">
      <alignment horizontal="right"/>
      <protection hidden="1"/>
    </xf>
    <xf numFmtId="164" fontId="14" fillId="3" borderId="0" xfId="0" applyNumberFormat="1" applyFont="1" applyFill="1" applyAlignment="1" applyProtection="1">
      <protection hidden="1"/>
    </xf>
    <xf numFmtId="164" fontId="14" fillId="3" borderId="0" xfId="0" applyNumberFormat="1" applyFont="1" applyFill="1" applyAlignment="1">
      <alignment horizontal="left" indent="1"/>
    </xf>
    <xf numFmtId="164" fontId="14" fillId="3" borderId="0" xfId="0" applyNumberFormat="1" applyFont="1" applyFill="1" applyAlignment="1" applyProtection="1">
      <alignment horizontal="center" vertical="center"/>
      <protection hidden="1"/>
    </xf>
    <xf numFmtId="164" fontId="14" fillId="3" borderId="0" xfId="0" applyNumberFormat="1" applyFont="1" applyFill="1" applyAlignment="1">
      <alignment horizontal="left"/>
    </xf>
    <xf numFmtId="164" fontId="14" fillId="3" borderId="0" xfId="0" applyNumberFormat="1" applyFont="1" applyFill="1" applyProtection="1">
      <protection hidden="1"/>
    </xf>
    <xf numFmtId="164" fontId="0" fillId="3" borderId="0" xfId="0" applyNumberFormat="1" applyFill="1" applyAlignment="1">
      <alignment horizontal="right"/>
    </xf>
    <xf numFmtId="166" fontId="0" fillId="3" borderId="0" xfId="0" applyNumberFormat="1" applyFill="1" applyAlignment="1" applyProtection="1">
      <alignment horizontal="right"/>
      <protection hidden="1"/>
    </xf>
    <xf numFmtId="165" fontId="3" fillId="3" borderId="5" xfId="0" applyNumberFormat="1" applyFont="1" applyFill="1" applyBorder="1" applyProtection="1">
      <protection locked="0"/>
    </xf>
    <xf numFmtId="164" fontId="2" fillId="3" borderId="0" xfId="0" applyNumberFormat="1" applyFont="1" applyFill="1" applyBorder="1" applyProtection="1"/>
    <xf numFmtId="164" fontId="2" fillId="3" borderId="0" xfId="0" applyNumberFormat="1" applyFont="1" applyFill="1" applyAlignment="1" applyProtection="1">
      <protection hidden="1"/>
    </xf>
    <xf numFmtId="164" fontId="14" fillId="3" borderId="0" xfId="0" applyNumberFormat="1" applyFont="1" applyFill="1" applyBorder="1"/>
    <xf numFmtId="164" fontId="14" fillId="3" borderId="0" xfId="0" applyNumberFormat="1" applyFont="1" applyFill="1" applyBorder="1" applyAlignment="1" applyProtection="1">
      <protection hidden="1"/>
    </xf>
    <xf numFmtId="164" fontId="14" fillId="3" borderId="28" xfId="0" applyNumberFormat="1" applyFont="1" applyFill="1" applyBorder="1"/>
    <xf numFmtId="164" fontId="14" fillId="3" borderId="28" xfId="0" applyNumberFormat="1" applyFont="1" applyFill="1" applyBorder="1" applyAlignment="1">
      <alignment horizontal="center"/>
    </xf>
    <xf numFmtId="164" fontId="0" fillId="3" borderId="28" xfId="0" applyNumberFormat="1" applyFill="1" applyBorder="1"/>
    <xf numFmtId="164" fontId="14" fillId="3" borderId="28" xfId="0" applyNumberFormat="1" applyFont="1" applyFill="1" applyBorder="1" applyAlignment="1">
      <alignment horizontal="right"/>
    </xf>
    <xf numFmtId="168" fontId="14" fillId="3" borderId="28" xfId="1" applyNumberFormat="1" applyFont="1" applyFill="1" applyBorder="1"/>
    <xf numFmtId="168" fontId="14" fillId="3" borderId="28" xfId="1" applyNumberFormat="1" applyFont="1" applyFill="1" applyBorder="1" applyAlignment="1" applyProtection="1">
      <alignment horizontal="right" vertical="center"/>
      <protection hidden="1"/>
    </xf>
    <xf numFmtId="168" fontId="14" fillId="3" borderId="28" xfId="1" applyNumberFormat="1" applyFont="1" applyFill="1" applyBorder="1" applyAlignment="1">
      <alignment horizontal="center" vertical="center"/>
    </xf>
    <xf numFmtId="1" fontId="14" fillId="3" borderId="28" xfId="0" applyNumberFormat="1" applyFont="1" applyFill="1" applyBorder="1" applyAlignment="1" applyProtection="1">
      <alignment horizontal="right"/>
      <protection hidden="1"/>
    </xf>
    <xf numFmtId="168" fontId="14" fillId="3" borderId="28" xfId="1" applyNumberFormat="1" applyFont="1" applyFill="1" applyBorder="1" applyAlignment="1" applyProtection="1">
      <alignment horizontal="center" vertical="center"/>
      <protection hidden="1"/>
    </xf>
    <xf numFmtId="164" fontId="0" fillId="3" borderId="28" xfId="0" applyNumberFormat="1" applyFill="1" applyBorder="1" applyAlignment="1">
      <alignment horizontal="center" vertical="center"/>
    </xf>
    <xf numFmtId="164" fontId="14" fillId="3" borderId="0" xfId="0" applyNumberFormat="1" applyFont="1" applyFill="1" applyBorder="1" applyAlignment="1">
      <alignment horizontal="center" vertical="center"/>
    </xf>
    <xf numFmtId="168" fontId="14" fillId="3" borderId="28" xfId="1" applyNumberFormat="1" applyFont="1" applyFill="1" applyBorder="1" applyAlignment="1"/>
    <xf numFmtId="164" fontId="14" fillId="7" borderId="0" xfId="0" applyNumberFormat="1" applyFont="1" applyFill="1" applyBorder="1" applyAlignment="1">
      <alignment horizontal="center" vertical="center"/>
    </xf>
    <xf numFmtId="164" fontId="0" fillId="7" borderId="28" xfId="0" applyNumberFormat="1" applyFill="1" applyBorder="1" applyAlignment="1">
      <alignment horizontal="center" vertical="center"/>
    </xf>
    <xf numFmtId="10" fontId="14" fillId="7" borderId="28" xfId="0" applyNumberFormat="1" applyFont="1" applyFill="1" applyBorder="1"/>
    <xf numFmtId="164" fontId="14" fillId="7" borderId="28" xfId="0" applyNumberFormat="1" applyFont="1" applyFill="1" applyBorder="1"/>
    <xf numFmtId="10" fontId="14" fillId="7" borderId="28" xfId="2" applyNumberFormat="1" applyFont="1" applyFill="1" applyBorder="1" applyAlignment="1" applyProtection="1">
      <alignment horizontal="right"/>
      <protection hidden="1"/>
    </xf>
    <xf numFmtId="168" fontId="14" fillId="7" borderId="28" xfId="0" applyNumberFormat="1" applyFont="1" applyFill="1" applyBorder="1"/>
    <xf numFmtId="164" fontId="3" fillId="6" borderId="27" xfId="0" applyNumberFormat="1" applyFont="1" applyFill="1" applyBorder="1" applyAlignment="1" applyProtection="1">
      <alignment horizontal="center"/>
      <protection locked="0"/>
    </xf>
    <xf numFmtId="165" fontId="9" fillId="5" borderId="28" xfId="0" applyNumberFormat="1" applyFont="1" applyFill="1" applyBorder="1" applyProtection="1">
      <protection locked="0"/>
    </xf>
    <xf numFmtId="165" fontId="2" fillId="2" borderId="2" xfId="0" applyNumberFormat="1" applyFont="1" applyFill="1" applyBorder="1" applyAlignment="1" applyProtection="1">
      <alignment horizontal="center"/>
      <protection hidden="1"/>
    </xf>
    <xf numFmtId="164" fontId="2" fillId="2" borderId="2" xfId="0" applyNumberFormat="1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Alignment="1" applyProtection="1">
      <alignment horizontal="center"/>
      <protection hidden="1"/>
    </xf>
    <xf numFmtId="164" fontId="2" fillId="2" borderId="0" xfId="0" applyNumberFormat="1" applyFont="1" applyFill="1" applyBorder="1"/>
    <xf numFmtId="164" fontId="2" fillId="2" borderId="0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/>
    <xf numFmtId="164" fontId="2" fillId="2" borderId="28" xfId="0" applyNumberFormat="1" applyFont="1" applyFill="1" applyBorder="1" applyAlignment="1">
      <alignment horizontal="center"/>
    </xf>
    <xf numFmtId="164" fontId="2" fillId="2" borderId="28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right"/>
    </xf>
    <xf numFmtId="168" fontId="2" fillId="2" borderId="28" xfId="1" applyNumberFormat="1" applyFont="1" applyFill="1" applyBorder="1"/>
    <xf numFmtId="10" fontId="2" fillId="2" borderId="28" xfId="0" applyNumberFormat="1" applyFont="1" applyFill="1" applyBorder="1"/>
    <xf numFmtId="168" fontId="2" fillId="2" borderId="28" xfId="1" applyNumberFormat="1" applyFont="1" applyFill="1" applyBorder="1" applyAlignment="1" applyProtection="1">
      <alignment horizontal="right" vertical="center"/>
      <protection hidden="1"/>
    </xf>
    <xf numFmtId="168" fontId="2" fillId="2" borderId="28" xfId="1" applyNumberFormat="1" applyFont="1" applyFill="1" applyBorder="1" applyAlignment="1">
      <alignment horizontal="center" vertical="center"/>
    </xf>
    <xf numFmtId="168" fontId="2" fillId="2" borderId="28" xfId="0" applyNumberFormat="1" applyFont="1" applyFill="1" applyBorder="1"/>
    <xf numFmtId="9" fontId="2" fillId="2" borderId="28" xfId="2" applyFont="1" applyFill="1" applyBorder="1"/>
    <xf numFmtId="1" fontId="2" fillId="2" borderId="28" xfId="0" applyNumberFormat="1" applyFont="1" applyFill="1" applyBorder="1" applyAlignment="1" applyProtection="1">
      <alignment horizontal="right"/>
      <protection hidden="1"/>
    </xf>
    <xf numFmtId="168" fontId="2" fillId="2" borderId="28" xfId="1" applyNumberFormat="1" applyFont="1" applyFill="1" applyBorder="1" applyAlignment="1" applyProtection="1">
      <alignment horizontal="center" vertical="center"/>
      <protection hidden="1"/>
    </xf>
    <xf numFmtId="10" fontId="2" fillId="2" borderId="28" xfId="2" applyNumberFormat="1" applyFont="1" applyFill="1" applyBorder="1" applyAlignment="1" applyProtection="1">
      <alignment horizontal="right"/>
      <protection hidden="1"/>
    </xf>
    <xf numFmtId="168" fontId="2" fillId="2" borderId="28" xfId="1" applyNumberFormat="1" applyFont="1" applyFill="1" applyBorder="1" applyAlignment="1"/>
    <xf numFmtId="9" fontId="2" fillId="2" borderId="0" xfId="2" applyFont="1" applyFill="1"/>
    <xf numFmtId="164" fontId="2" fillId="2" borderId="0" xfId="0" applyNumberFormat="1" applyFont="1" applyFill="1" applyAlignment="1">
      <alignment horizontal="center"/>
    </xf>
    <xf numFmtId="168" fontId="2" fillId="2" borderId="0" xfId="1" applyNumberFormat="1" applyFont="1" applyFill="1"/>
    <xf numFmtId="10" fontId="2" fillId="2" borderId="0" xfId="2" applyNumberFormat="1" applyFont="1" applyFill="1"/>
    <xf numFmtId="10" fontId="2" fillId="2" borderId="0" xfId="0" applyNumberFormat="1" applyFont="1" applyFill="1"/>
    <xf numFmtId="168" fontId="2" fillId="2" borderId="22" xfId="1" applyNumberFormat="1" applyFont="1" applyFill="1" applyBorder="1" applyAlignment="1" applyProtection="1">
      <alignment horizontal="right" vertical="center"/>
      <protection hidden="1"/>
    </xf>
    <xf numFmtId="168" fontId="2" fillId="2" borderId="0" xfId="1" applyNumberFormat="1" applyFont="1" applyFill="1" applyAlignment="1">
      <alignment horizontal="center" vertical="center"/>
    </xf>
    <xf numFmtId="10" fontId="2" fillId="2" borderId="0" xfId="2" applyNumberFormat="1" applyFont="1" applyFill="1" applyAlignment="1" applyProtection="1">
      <alignment horizontal="right"/>
      <protection hidden="1"/>
    </xf>
    <xf numFmtId="1" fontId="2" fillId="2" borderId="0" xfId="0" applyNumberFormat="1" applyFont="1" applyFill="1" applyAlignment="1" applyProtection="1">
      <alignment horizontal="right"/>
      <protection hidden="1"/>
    </xf>
    <xf numFmtId="168" fontId="2" fillId="2" borderId="21" xfId="1" applyNumberFormat="1" applyFont="1" applyFill="1" applyBorder="1" applyAlignment="1" applyProtection="1">
      <alignment horizontal="center" vertical="center"/>
      <protection hidden="1"/>
    </xf>
    <xf numFmtId="168" fontId="2" fillId="2" borderId="0" xfId="1" applyNumberFormat="1" applyFont="1" applyFill="1" applyAlignment="1"/>
    <xf numFmtId="164" fontId="3" fillId="2" borderId="0" xfId="0" applyNumberFormat="1" applyFont="1" applyFill="1" applyAlignment="1" applyProtection="1">
      <alignment horizontal="right"/>
      <protection hidden="1"/>
    </xf>
    <xf numFmtId="168" fontId="3" fillId="2" borderId="0" xfId="1" applyNumberFormat="1" applyFont="1" applyFill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Protection="1">
      <protection hidden="1"/>
    </xf>
    <xf numFmtId="164" fontId="2" fillId="2" borderId="0" xfId="0" applyNumberFormat="1" applyFont="1" applyFill="1" applyAlignment="1">
      <alignment horizontal="left" indent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164" fontId="2" fillId="2" borderId="0" xfId="0" applyNumberFormat="1" applyFont="1" applyFill="1" applyAlignment="1">
      <alignment horizontal="left"/>
    </xf>
    <xf numFmtId="164" fontId="3" fillId="2" borderId="22" xfId="0" applyNumberFormat="1" applyFont="1" applyFill="1" applyBorder="1" applyAlignment="1">
      <alignment horizontal="center"/>
    </xf>
    <xf numFmtId="164" fontId="19" fillId="6" borderId="30" xfId="0" applyNumberFormat="1" applyFont="1" applyFill="1" applyBorder="1" applyAlignment="1" applyProtection="1">
      <alignment horizontal="center"/>
      <protection hidden="1"/>
    </xf>
    <xf numFmtId="166" fontId="15" fillId="4" borderId="13" xfId="0" applyNumberFormat="1" applyFont="1" applyFill="1" applyBorder="1" applyAlignment="1">
      <alignment horizontal="center"/>
    </xf>
    <xf numFmtId="166" fontId="15" fillId="4" borderId="15" xfId="0" applyNumberFormat="1" applyFont="1" applyFill="1" applyBorder="1" applyAlignment="1">
      <alignment horizontal="center"/>
    </xf>
    <xf numFmtId="9" fontId="2" fillId="2" borderId="0" xfId="2" applyFont="1" applyFill="1" applyAlignment="1">
      <alignment horizontal="center"/>
    </xf>
    <xf numFmtId="164" fontId="18" fillId="2" borderId="0" xfId="0" applyNumberFormat="1" applyFont="1" applyFill="1" applyAlignment="1">
      <alignment horizontal="center"/>
    </xf>
    <xf numFmtId="164" fontId="18" fillId="2" borderId="16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right"/>
    </xf>
    <xf numFmtId="164" fontId="6" fillId="2" borderId="16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6" fillId="2" borderId="7" xfId="0" applyNumberFormat="1" applyFont="1" applyFill="1" applyBorder="1" applyAlignment="1" applyProtection="1">
      <alignment horizontal="center"/>
    </xf>
    <xf numFmtId="164" fontId="6" fillId="2" borderId="8" xfId="0" applyNumberFormat="1" applyFont="1" applyFill="1" applyBorder="1" applyAlignment="1" applyProtection="1">
      <alignment horizontal="center"/>
    </xf>
    <xf numFmtId="164" fontId="6" fillId="2" borderId="9" xfId="0" applyNumberFormat="1" applyFont="1" applyFill="1" applyBorder="1" applyAlignment="1" applyProtection="1">
      <alignment horizontal="center"/>
    </xf>
    <xf numFmtId="164" fontId="6" fillId="2" borderId="10" xfId="0" applyNumberFormat="1" applyFont="1" applyFill="1" applyBorder="1" applyAlignment="1" applyProtection="1">
      <alignment horizontal="center"/>
    </xf>
    <xf numFmtId="164" fontId="6" fillId="2" borderId="12" xfId="0" applyNumberFormat="1" applyFont="1" applyFill="1" applyBorder="1" applyAlignment="1" applyProtection="1">
      <alignment horizontal="center"/>
    </xf>
    <xf numFmtId="164" fontId="6" fillId="2" borderId="11" xfId="0" applyNumberFormat="1" applyFont="1" applyFill="1" applyBorder="1" applyAlignment="1" applyProtection="1">
      <alignment horizontal="center"/>
    </xf>
    <xf numFmtId="164" fontId="6" fillId="2" borderId="17" xfId="0" applyNumberFormat="1" applyFont="1" applyFill="1" applyBorder="1" applyAlignment="1" applyProtection="1">
      <alignment horizontal="right"/>
    </xf>
    <xf numFmtId="164" fontId="6" fillId="2" borderId="0" xfId="0" applyNumberFormat="1" applyFont="1" applyFill="1" applyBorder="1" applyAlignment="1" applyProtection="1">
      <alignment horizontal="right"/>
    </xf>
    <xf numFmtId="164" fontId="8" fillId="2" borderId="0" xfId="0" applyNumberFormat="1" applyFont="1" applyFill="1" applyAlignment="1" applyProtection="1">
      <alignment horizontal="center" vertical="center"/>
    </xf>
    <xf numFmtId="164" fontId="11" fillId="2" borderId="0" xfId="0" applyNumberFormat="1" applyFont="1" applyFill="1" applyAlignment="1" applyProtection="1">
      <alignment horizontal="center" vertical="center"/>
    </xf>
    <xf numFmtId="9" fontId="9" fillId="5" borderId="28" xfId="0" applyNumberFormat="1" applyFont="1" applyFill="1" applyBorder="1" applyAlignment="1" applyProtection="1">
      <alignment horizontal="center"/>
      <protection locked="0"/>
    </xf>
    <xf numFmtId="164" fontId="9" fillId="5" borderId="28" xfId="0" applyNumberFormat="1" applyFont="1" applyFill="1" applyBorder="1" applyAlignment="1" applyProtection="1">
      <alignment horizontal="center"/>
      <protection locked="0"/>
    </xf>
    <xf numFmtId="9" fontId="9" fillId="5" borderId="29" xfId="0" applyNumberFormat="1" applyFont="1" applyFill="1" applyBorder="1" applyAlignment="1" applyProtection="1">
      <alignment horizontal="center"/>
      <protection locked="0"/>
    </xf>
    <xf numFmtId="164" fontId="3" fillId="3" borderId="22" xfId="0" applyNumberFormat="1" applyFont="1" applyFill="1" applyBorder="1" applyAlignment="1">
      <alignment horizontal="center"/>
    </xf>
    <xf numFmtId="9" fontId="14" fillId="3" borderId="0" xfId="2" applyFont="1" applyFill="1" applyAlignment="1">
      <alignment horizontal="center"/>
    </xf>
    <xf numFmtId="164" fontId="2" fillId="3" borderId="10" xfId="0" applyNumberFormat="1" applyFont="1" applyFill="1" applyBorder="1" applyAlignment="1" applyProtection="1">
      <alignment horizontal="center"/>
    </xf>
    <xf numFmtId="164" fontId="2" fillId="3" borderId="12" xfId="0" applyNumberFormat="1" applyFont="1" applyFill="1" applyBorder="1" applyAlignment="1" applyProtection="1">
      <alignment horizontal="center"/>
    </xf>
    <xf numFmtId="164" fontId="2" fillId="3" borderId="11" xfId="0" applyNumberFormat="1" applyFont="1" applyFill="1" applyBorder="1" applyAlignment="1" applyProtection="1">
      <alignment horizontal="center"/>
    </xf>
    <xf numFmtId="166" fontId="15" fillId="3" borderId="13" xfId="0" applyNumberFormat="1" applyFont="1" applyFill="1" applyBorder="1" applyAlignment="1">
      <alignment horizontal="center"/>
    </xf>
    <xf numFmtId="166" fontId="15" fillId="3" borderId="4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 applyProtection="1">
      <alignment horizontal="center"/>
    </xf>
    <xf numFmtId="164" fontId="2" fillId="3" borderId="8" xfId="0" applyNumberFormat="1" applyFont="1" applyFill="1" applyBorder="1" applyAlignment="1" applyProtection="1">
      <alignment horizontal="center"/>
    </xf>
    <xf numFmtId="164" fontId="2" fillId="3" borderId="9" xfId="0" applyNumberFormat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>
      <alignment horizontal="right"/>
    </xf>
    <xf numFmtId="164" fontId="6" fillId="3" borderId="16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164" fontId="2" fillId="3" borderId="17" xfId="0" applyNumberFormat="1" applyFont="1" applyFill="1" applyBorder="1" applyAlignment="1" applyProtection="1">
      <alignment horizontal="right"/>
    </xf>
    <xf numFmtId="164" fontId="2" fillId="3" borderId="16" xfId="0" applyNumberFormat="1" applyFont="1" applyFill="1" applyBorder="1" applyAlignment="1" applyProtection="1">
      <alignment horizontal="right"/>
    </xf>
    <xf numFmtId="9" fontId="3" fillId="3" borderId="13" xfId="0" applyNumberFormat="1" applyFont="1" applyFill="1" applyBorder="1" applyAlignment="1" applyProtection="1">
      <alignment horizontal="center"/>
      <protection locked="0"/>
    </xf>
    <xf numFmtId="9" fontId="3" fillId="3" borderId="4" xfId="0" applyNumberFormat="1" applyFont="1" applyFill="1" applyBorder="1" applyAlignment="1" applyProtection="1">
      <alignment horizontal="center"/>
      <protection locked="0"/>
    </xf>
    <xf numFmtId="9" fontId="3" fillId="3" borderId="15" xfId="0" applyNumberFormat="1" applyFont="1" applyFill="1" applyBorder="1" applyAlignment="1" applyProtection="1">
      <alignment horizontal="center"/>
      <protection locked="0"/>
    </xf>
    <xf numFmtId="164" fontId="3" fillId="3" borderId="12" xfId="0" applyNumberFormat="1" applyFont="1" applyFill="1" applyBorder="1" applyAlignment="1" applyProtection="1">
      <alignment horizontal="center"/>
      <protection hidden="1"/>
    </xf>
    <xf numFmtId="164" fontId="18" fillId="3" borderId="0" xfId="0" applyNumberFormat="1" applyFont="1" applyFill="1" applyAlignment="1">
      <alignment horizontal="center"/>
    </xf>
    <xf numFmtId="164" fontId="18" fillId="3" borderId="16" xfId="0" applyNumberFormat="1" applyFont="1" applyFill="1" applyBorder="1" applyAlignment="1">
      <alignment horizontal="center"/>
    </xf>
    <xf numFmtId="164" fontId="21" fillId="3" borderId="0" xfId="0" applyNumberFormat="1" applyFont="1" applyFill="1" applyAlignment="1" applyProtection="1">
      <alignment horizontal="center" vertical="center"/>
    </xf>
    <xf numFmtId="164" fontId="22" fillId="3" borderId="0" xfId="0" applyNumberFormat="1" applyFont="1" applyFill="1" applyAlignment="1" applyProtection="1">
      <alignment horizontal="center" vertical="center"/>
    </xf>
    <xf numFmtId="164" fontId="2" fillId="3" borderId="6" xfId="0" applyNumberFormat="1" applyFont="1" applyFill="1" applyBorder="1" applyAlignment="1" applyProtection="1">
      <alignment horizontal="right"/>
    </xf>
    <xf numFmtId="164" fontId="3" fillId="3" borderId="18" xfId="0" applyNumberFormat="1" applyFont="1" applyFill="1" applyBorder="1" applyAlignment="1" applyProtection="1">
      <alignment horizontal="center"/>
      <protection locked="0"/>
    </xf>
    <xf numFmtId="164" fontId="3" fillId="3" borderId="19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14" fillId="2" borderId="0" xfId="0" applyNumberFormat="1" applyFont="1" applyFill="1"/>
    <xf numFmtId="164" fontId="14" fillId="2" borderId="0" xfId="0" applyNumberFormat="1" applyFont="1" applyFill="1" applyAlignment="1">
      <alignment horizontal="right"/>
    </xf>
    <xf numFmtId="166" fontId="14" fillId="2" borderId="0" xfId="0" applyNumberFormat="1" applyFont="1" applyFill="1" applyAlignment="1" applyProtection="1">
      <alignment horizontal="right"/>
      <protection hidden="1"/>
    </xf>
    <xf numFmtId="164" fontId="14" fillId="2" borderId="0" xfId="0" applyNumberFormat="1" applyFont="1" applyFill="1" applyProtection="1">
      <protection hidden="1"/>
    </xf>
  </cellXfs>
  <cellStyles count="3">
    <cellStyle name="Milliers" xfId="1" builtinId="3"/>
    <cellStyle name="Normal" xfId="0" builtinId="0"/>
    <cellStyle name="Pourcentage" xfId="2" builtinId="5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67"/>
  <sheetViews>
    <sheetView tabSelected="1" workbookViewId="0">
      <selection activeCell="B2" sqref="B2"/>
    </sheetView>
  </sheetViews>
  <sheetFormatPr baseColWidth="10" defaultRowHeight="15"/>
  <cols>
    <col min="1" max="1" width="2.5703125" style="4" customWidth="1"/>
    <col min="2" max="2" width="24.85546875" style="1" bestFit="1" customWidth="1"/>
    <col min="3" max="3" width="12.7109375" style="2" bestFit="1" customWidth="1"/>
    <col min="4" max="4" width="18.42578125" style="3" bestFit="1" customWidth="1"/>
    <col min="5" max="5" width="11.85546875" style="8" customWidth="1"/>
    <col min="6" max="6" width="13.85546875" style="8" bestFit="1" customWidth="1"/>
    <col min="7" max="8" width="13.85546875" style="8" customWidth="1"/>
    <col min="9" max="9" width="3.140625" style="7" customWidth="1"/>
    <col min="10" max="10" width="14.28515625" style="5" bestFit="1" customWidth="1"/>
    <col min="11" max="11" width="18.42578125" style="5" customWidth="1"/>
    <col min="12" max="13" width="5.7109375" style="5" customWidth="1"/>
    <col min="14" max="14" width="5.7109375" style="4" customWidth="1"/>
    <col min="15" max="15" width="11.42578125" style="4"/>
    <col min="16" max="16" width="12.140625" style="22" bestFit="1" customWidth="1"/>
    <col min="17" max="17" width="11.42578125" style="22"/>
    <col min="18" max="18" width="18.140625" style="22" bestFit="1" customWidth="1"/>
    <col min="19" max="28" width="11.42578125" style="22"/>
    <col min="29" max="16384" width="11.42578125" style="4"/>
  </cols>
  <sheetData>
    <row r="1" spans="1:30" ht="24" thickBot="1">
      <c r="A1" s="158" t="s">
        <v>45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117" t="s">
        <v>35</v>
      </c>
      <c r="Q1" s="118">
        <f>IF($J$36&gt;=1000000,1,1)</f>
        <v>1</v>
      </c>
      <c r="AC1" s="22"/>
      <c r="AD1" s="22"/>
    </row>
    <row r="2" spans="1:30" ht="16.5" thickBot="1">
      <c r="A2" s="13"/>
      <c r="B2" s="49" t="s">
        <v>53</v>
      </c>
      <c r="C2" s="6" t="s">
        <v>13</v>
      </c>
      <c r="D2" s="11" t="s">
        <v>14</v>
      </c>
      <c r="E2" s="17" t="s">
        <v>15</v>
      </c>
      <c r="F2" s="12" t="s">
        <v>24</v>
      </c>
      <c r="G2" s="38" t="str">
        <f>CONCATENATE("Cdr Métal ",Q2)</f>
        <v>Cdr Métal (u)</v>
      </c>
      <c r="H2" s="39" t="str">
        <f>CONCATENATE("Cdr Cristal ",Q2)</f>
        <v>Cdr Cristal (u)</v>
      </c>
      <c r="P2" s="28"/>
      <c r="Q2" s="119" t="str">
        <f>IF($J$36&gt;=1000000,"(u)","(u)")</f>
        <v>(u)</v>
      </c>
      <c r="AC2" s="22"/>
      <c r="AD2" s="22"/>
    </row>
    <row r="3" spans="1:30" ht="15.75" thickBot="1">
      <c r="B3" s="32" t="s">
        <v>8</v>
      </c>
      <c r="C3" s="26"/>
      <c r="D3" s="33">
        <f t="shared" ref="D3:D15" si="0">SUM(F22*C3)</f>
        <v>0</v>
      </c>
      <c r="E3" s="18">
        <f t="shared" ref="E3:E14" si="1">D3/$J$14</f>
        <v>0</v>
      </c>
      <c r="F3" s="19">
        <f>IF($J$16&gt;=$J$14*$L$10,ROUNDDOWN(($J$14*$L$10/F22)-C3,0),ROUNDDOWN(($J$16/F22),0))</f>
        <v>279069</v>
      </c>
      <c r="G3" s="43" t="str">
        <f t="shared" ref="G3:G14" si="2">IF($C3="","",J22/$Q$1)</f>
        <v/>
      </c>
      <c r="H3" s="40" t="str">
        <f t="shared" ref="H3:H14" si="3">IF($C3="","",K22/$Q$1)</f>
        <v/>
      </c>
      <c r="I3" s="20"/>
      <c r="J3" s="47"/>
      <c r="K3" s="47" t="s">
        <v>44</v>
      </c>
      <c r="L3" s="14"/>
      <c r="M3" s="14"/>
      <c r="N3" s="14"/>
      <c r="O3" s="14"/>
      <c r="AC3" s="22"/>
      <c r="AD3" s="22"/>
    </row>
    <row r="4" spans="1:30" ht="15.75" customHeight="1" thickBot="1">
      <c r="B4" s="34" t="s">
        <v>0</v>
      </c>
      <c r="C4" s="25"/>
      <c r="D4" s="35">
        <f t="shared" si="0"/>
        <v>0</v>
      </c>
      <c r="E4" s="18">
        <f t="shared" si="1"/>
        <v>0</v>
      </c>
      <c r="F4" s="19">
        <f t="shared" ref="F4:F14" si="4">IF($J$16&gt;=$J$14*$L$10,ROUNDDOWN(($J$14*$L$10/F23)-C4,0),ROUNDDOWN(($J$16/F23),0))</f>
        <v>107142</v>
      </c>
      <c r="G4" s="43" t="str">
        <f t="shared" si="2"/>
        <v/>
      </c>
      <c r="H4" s="40" t="str">
        <f t="shared" si="3"/>
        <v/>
      </c>
      <c r="I4" s="20"/>
      <c r="J4" s="171" t="str">
        <f>IF(AND(E16=1,E3&lt;$L$10,E4&lt;$L$10,E5&lt;$L$10,E6&lt;$L$10,E7&lt;$L$10,E8&lt;$L$10,E9&lt;$L$10,E10&lt;$L$10,E11&lt;$L$10,E12&lt;$L$10,E13&lt;$L$10,E14&lt;$L$10,F17&lt;=$E$18,G17&lt;=$E$18,H17&lt;=$E$18,G20&gt;=0,F17&gt;=5,G17&gt;=5,H17&gt;=5),"COMPO VALIDE","COMPO INVALIDE")</f>
        <v>COMPO VALIDE</v>
      </c>
      <c r="K4" s="171"/>
      <c r="L4" s="171"/>
      <c r="M4" s="171"/>
      <c r="N4" s="171"/>
      <c r="O4" s="171"/>
      <c r="P4" s="44"/>
      <c r="AC4" s="22"/>
      <c r="AD4" s="22"/>
    </row>
    <row r="5" spans="1:30" ht="15.75" customHeight="1" thickBot="1">
      <c r="B5" s="32" t="s">
        <v>9</v>
      </c>
      <c r="C5" s="26"/>
      <c r="D5" s="33">
        <f t="shared" si="0"/>
        <v>0</v>
      </c>
      <c r="E5" s="18">
        <f t="shared" si="1"/>
        <v>0</v>
      </c>
      <c r="F5" s="19">
        <f t="shared" si="4"/>
        <v>36923</v>
      </c>
      <c r="G5" s="43" t="str">
        <f t="shared" si="2"/>
        <v/>
      </c>
      <c r="H5" s="40" t="str">
        <f t="shared" si="3"/>
        <v/>
      </c>
      <c r="I5" s="20"/>
      <c r="J5" s="171"/>
      <c r="K5" s="171"/>
      <c r="L5" s="171"/>
      <c r="M5" s="171"/>
      <c r="N5" s="171"/>
      <c r="O5" s="171"/>
      <c r="P5" s="44"/>
      <c r="AC5" s="22"/>
      <c r="AD5" s="22"/>
    </row>
    <row r="6" spans="1:30" ht="15.75" thickBot="1">
      <c r="B6" s="34" t="s">
        <v>1</v>
      </c>
      <c r="C6" s="25"/>
      <c r="D6" s="35">
        <f t="shared" si="0"/>
        <v>0</v>
      </c>
      <c r="E6" s="18">
        <f t="shared" si="1"/>
        <v>0</v>
      </c>
      <c r="F6" s="19">
        <f t="shared" si="4"/>
        <v>18604</v>
      </c>
      <c r="G6" s="43" t="str">
        <f t="shared" si="2"/>
        <v/>
      </c>
      <c r="H6" s="40" t="str">
        <f t="shared" si="3"/>
        <v/>
      </c>
      <c r="I6" s="20"/>
      <c r="J6" s="172" t="s">
        <v>21</v>
      </c>
      <c r="K6" s="172"/>
      <c r="L6" s="172"/>
      <c r="M6" s="172"/>
      <c r="N6" s="172"/>
      <c r="O6" s="172"/>
      <c r="R6" s="120"/>
      <c r="S6" s="120"/>
      <c r="T6" s="121" t="str">
        <f>IF(Cdr_C=0,"VRAI","FAUX")</f>
        <v>VRAI</v>
      </c>
      <c r="U6" s="121" t="str">
        <f>IF(Cdr_M=0,"VRAI","FAUX")</f>
        <v>VRAI</v>
      </c>
      <c r="V6" s="121" t="str">
        <f>IF(Cdr_M&gt;Cdr_C,"VRAI","FAUX")</f>
        <v>FAUX</v>
      </c>
      <c r="W6" s="121" t="str">
        <f>IF(Cdr_M&lt;Cdr_C,"VRAI","FAUX")</f>
        <v>FAUX</v>
      </c>
      <c r="X6" s="121" t="str">
        <f>IF(Cdr_M=Cdr_C,"VRAI","FAUX")</f>
        <v>VRAI</v>
      </c>
      <c r="Y6" s="122"/>
      <c r="Z6" s="122"/>
      <c r="AA6" s="122"/>
      <c r="AC6" s="22"/>
      <c r="AD6" s="22"/>
    </row>
    <row r="7" spans="1:30" ht="15.75" customHeight="1" thickBot="1">
      <c r="B7" s="32" t="s">
        <v>10</v>
      </c>
      <c r="C7" s="26"/>
      <c r="D7" s="33">
        <f t="shared" si="0"/>
        <v>0</v>
      </c>
      <c r="E7" s="18">
        <f t="shared" si="1"/>
        <v>0</v>
      </c>
      <c r="F7" s="19">
        <f t="shared" si="4"/>
        <v>11162</v>
      </c>
      <c r="G7" s="43" t="str">
        <f t="shared" si="2"/>
        <v/>
      </c>
      <c r="H7" s="40" t="str">
        <f t="shared" si="3"/>
        <v/>
      </c>
      <c r="I7" s="20"/>
      <c r="J7" s="172"/>
      <c r="K7" s="172"/>
      <c r="L7" s="172"/>
      <c r="M7" s="172"/>
      <c r="N7" s="172"/>
      <c r="O7" s="172"/>
      <c r="R7" s="122"/>
      <c r="S7" s="123"/>
      <c r="T7" s="124" t="s">
        <v>54</v>
      </c>
      <c r="U7" s="124" t="s">
        <v>55</v>
      </c>
      <c r="V7" s="124" t="s">
        <v>56</v>
      </c>
      <c r="W7" s="124" t="s">
        <v>57</v>
      </c>
      <c r="X7" s="124" t="s">
        <v>58</v>
      </c>
      <c r="Y7" s="122"/>
      <c r="Z7" s="122"/>
      <c r="AA7" s="122"/>
      <c r="AC7" s="22"/>
      <c r="AD7" s="22"/>
    </row>
    <row r="8" spans="1:30" ht="15.75" customHeight="1" thickBot="1">
      <c r="B8" s="34" t="s">
        <v>11</v>
      </c>
      <c r="C8" s="25"/>
      <c r="D8" s="35">
        <f t="shared" si="0"/>
        <v>0</v>
      </c>
      <c r="E8" s="18">
        <f t="shared" si="1"/>
        <v>0</v>
      </c>
      <c r="F8" s="19">
        <f t="shared" si="4"/>
        <v>11111</v>
      </c>
      <c r="G8" s="43" t="str">
        <f t="shared" si="2"/>
        <v/>
      </c>
      <c r="H8" s="40" t="str">
        <f t="shared" si="3"/>
        <v/>
      </c>
      <c r="I8" s="20"/>
      <c r="J8" s="169" t="s">
        <v>22</v>
      </c>
      <c r="K8" s="170"/>
      <c r="L8" s="116">
        <v>1</v>
      </c>
      <c r="M8" s="116">
        <v>1.3</v>
      </c>
      <c r="N8" s="116">
        <v>1.7</v>
      </c>
      <c r="O8" s="15"/>
      <c r="R8" s="125" t="s">
        <v>39</v>
      </c>
      <c r="S8" s="126">
        <f>S9+S10</f>
        <v>0</v>
      </c>
      <c r="T8" s="122"/>
      <c r="U8" s="122"/>
      <c r="V8" s="127"/>
      <c r="W8" s="122"/>
      <c r="X8" s="122"/>
      <c r="Y8" s="122"/>
      <c r="Z8" s="122">
        <f>S8</f>
        <v>0</v>
      </c>
      <c r="AA8" s="122"/>
      <c r="AC8" s="22"/>
      <c r="AD8" s="22"/>
    </row>
    <row r="9" spans="1:30" ht="15.75" thickBot="1">
      <c r="B9" s="32" t="s">
        <v>2</v>
      </c>
      <c r="C9" s="26"/>
      <c r="D9" s="33">
        <f t="shared" si="0"/>
        <v>0</v>
      </c>
      <c r="E9" s="18">
        <f t="shared" si="1"/>
        <v>0</v>
      </c>
      <c r="F9" s="19">
        <f t="shared" si="4"/>
        <v>7973</v>
      </c>
      <c r="G9" s="43" t="str">
        <f t="shared" si="2"/>
        <v/>
      </c>
      <c r="H9" s="40" t="str">
        <f t="shared" si="3"/>
        <v/>
      </c>
      <c r="I9" s="20"/>
      <c r="J9" s="169" t="s">
        <v>23</v>
      </c>
      <c r="K9" s="170"/>
      <c r="L9" s="174">
        <v>2000000000</v>
      </c>
      <c r="M9" s="174"/>
      <c r="N9" s="174"/>
      <c r="O9" s="15"/>
      <c r="R9" s="128" t="s">
        <v>37</v>
      </c>
      <c r="S9" s="129">
        <f>R21</f>
        <v>0</v>
      </c>
      <c r="T9" s="122">
        <f>IF(T6="VRAI",IF(Cdr_M-Cyclo&lt;0,0,Cdr_M-Cyclo),"")</f>
        <v>0</v>
      </c>
      <c r="U9" s="122"/>
      <c r="V9" s="130" t="str">
        <f>IF(V6="VRAI",IF(IF(W9&lt;=0,Cdr_M-(Cyclo-Cdr_C),Cdr_M-S12)&lt;0,0,IF(W9&lt;=0,Cdr_M-(Cyclo-Cdr_C),Cdr_M-S12)),"")</f>
        <v/>
      </c>
      <c r="W9" s="122" t="str">
        <f>IF(W6="VRAI",IF(Cdr_M-S12&lt;0,0,Cdr_M-S12),"")</f>
        <v/>
      </c>
      <c r="X9" s="122">
        <f>IF(X6="VRAI",IF(Cdr_M-(Cyclo/2)&lt;0,0,Cdr_M-(Cyclo/2)),"")</f>
        <v>0</v>
      </c>
      <c r="Y9" s="122">
        <f>SUM(T9:X9)</f>
        <v>0</v>
      </c>
      <c r="Z9" s="122">
        <f>Cdr_M-Y9</f>
        <v>0</v>
      </c>
      <c r="AA9" s="131" t="e">
        <f>Z9/S9</f>
        <v>#DIV/0!</v>
      </c>
      <c r="AC9" s="22"/>
      <c r="AD9" s="22"/>
    </row>
    <row r="10" spans="1:30" ht="15.75" thickBot="1">
      <c r="B10" s="34" t="s">
        <v>12</v>
      </c>
      <c r="C10" s="25"/>
      <c r="D10" s="35">
        <f t="shared" si="0"/>
        <v>0</v>
      </c>
      <c r="E10" s="18">
        <f t="shared" si="1"/>
        <v>0</v>
      </c>
      <c r="F10" s="19">
        <f t="shared" si="4"/>
        <v>100</v>
      </c>
      <c r="G10" s="43" t="str">
        <f t="shared" si="2"/>
        <v/>
      </c>
      <c r="H10" s="40" t="str">
        <f t="shared" si="3"/>
        <v/>
      </c>
      <c r="I10" s="20"/>
      <c r="J10" s="169" t="s">
        <v>26</v>
      </c>
      <c r="K10" s="170"/>
      <c r="L10" s="173">
        <v>0.6</v>
      </c>
      <c r="M10" s="173"/>
      <c r="N10" s="173"/>
      <c r="O10" s="16"/>
      <c r="R10" s="132" t="s">
        <v>36</v>
      </c>
      <c r="S10" s="129">
        <f>R22</f>
        <v>0</v>
      </c>
      <c r="T10" s="122"/>
      <c r="U10" s="122">
        <f>IF(U6="VRAI",IF(Cdr_C-Cyclo&lt;0,0,Cdr_C-Cyclo),"")</f>
        <v>0</v>
      </c>
      <c r="V10" s="130" t="str">
        <f>IF(V6="VRAI",IF(Cdr_C-S12&lt;0,0,Cdr_C-S12),"")</f>
        <v/>
      </c>
      <c r="W10" s="122" t="str">
        <f>IF(W6="VRAI",IF(IF(W9&lt;=0,Cdr_C-(Cyclo-Cdr_M),Cdr_C-S12)&lt;0,0,IF(W9&lt;=0,Cdr_C-(Cyclo-Cdr_M),Cdr_C-S12)),"")</f>
        <v/>
      </c>
      <c r="X10" s="122">
        <f>IF(X6="VRAI",IF(Cdr_C-(Cyclo/2)&lt;0,0,Cdr_C-(Cyclo/2)),"")</f>
        <v>0</v>
      </c>
      <c r="Y10" s="122">
        <f>SUM(T10:X10)</f>
        <v>0</v>
      </c>
      <c r="Z10" s="122">
        <f>Cdr_C-Y10</f>
        <v>0</v>
      </c>
      <c r="AA10" s="131" t="e">
        <f>Z10/S10</f>
        <v>#DIV/0!</v>
      </c>
      <c r="AC10" s="22"/>
      <c r="AD10" s="22"/>
    </row>
    <row r="11" spans="1:30" ht="15.75" thickBot="1">
      <c r="B11" s="36" t="s">
        <v>3</v>
      </c>
      <c r="C11" s="27"/>
      <c r="D11" s="33">
        <f t="shared" si="0"/>
        <v>0</v>
      </c>
      <c r="E11" s="18">
        <f t="shared" si="1"/>
        <v>0</v>
      </c>
      <c r="F11" s="19">
        <f t="shared" si="4"/>
        <v>260869</v>
      </c>
      <c r="G11" s="43" t="str">
        <f t="shared" si="2"/>
        <v/>
      </c>
      <c r="H11" s="40" t="str">
        <f t="shared" si="3"/>
        <v/>
      </c>
      <c r="I11" s="20"/>
      <c r="J11" s="169" t="s">
        <v>31</v>
      </c>
      <c r="K11" s="170"/>
      <c r="L11" s="175">
        <v>0.4</v>
      </c>
      <c r="M11" s="175"/>
      <c r="N11" s="175"/>
      <c r="R11" s="125" t="s">
        <v>38</v>
      </c>
      <c r="S11" s="133">
        <f>C15*C35</f>
        <v>0</v>
      </c>
      <c r="T11" s="122"/>
      <c r="U11" s="122"/>
      <c r="V11" s="134"/>
      <c r="W11" s="122"/>
      <c r="X11" s="122"/>
      <c r="Y11" s="122"/>
      <c r="Z11" s="122"/>
      <c r="AA11" s="122"/>
      <c r="AC11" s="22"/>
      <c r="AD11" s="22"/>
    </row>
    <row r="12" spans="1:30" ht="15.75" thickBot="1">
      <c r="B12" s="37" t="s">
        <v>4</v>
      </c>
      <c r="C12" s="24"/>
      <c r="D12" s="35">
        <f t="shared" si="0"/>
        <v>0</v>
      </c>
      <c r="E12" s="18">
        <f t="shared" si="1"/>
        <v>0</v>
      </c>
      <c r="F12" s="19">
        <f t="shared" si="4"/>
        <v>86956</v>
      </c>
      <c r="G12" s="43" t="str">
        <f t="shared" si="2"/>
        <v/>
      </c>
      <c r="H12" s="40" t="str">
        <f t="shared" si="3"/>
        <v/>
      </c>
      <c r="I12" s="20"/>
      <c r="J12" s="154" t="str">
        <f>CONCATENATE("Techologie vaisseaux :  ","Lvl max: ",$E$18," | ","Restant à répartir: ",$G$20)</f>
        <v>Techologie vaisseaux :  Lvl max: 16 | Restant à répartir: 15</v>
      </c>
      <c r="K12" s="154"/>
      <c r="L12" s="154"/>
      <c r="M12" s="154"/>
      <c r="N12" s="154"/>
      <c r="O12" s="154"/>
      <c r="R12" s="125" t="s">
        <v>59</v>
      </c>
      <c r="S12" s="135">
        <f>Cyclo/2</f>
        <v>0</v>
      </c>
      <c r="T12" s="136"/>
      <c r="Y12" s="122"/>
      <c r="Z12" s="122"/>
      <c r="AA12" s="122"/>
      <c r="AC12" s="22"/>
      <c r="AD12" s="22"/>
    </row>
    <row r="13" spans="1:30" ht="15.75" customHeight="1" thickBot="1">
      <c r="B13" s="36" t="s">
        <v>5</v>
      </c>
      <c r="C13" s="27"/>
      <c r="D13" s="33">
        <f t="shared" si="0"/>
        <v>0</v>
      </c>
      <c r="E13" s="18">
        <f t="shared" si="1"/>
        <v>0</v>
      </c>
      <c r="F13" s="19">
        <f t="shared" si="4"/>
        <v>22641</v>
      </c>
      <c r="G13" s="43" t="str">
        <f t="shared" si="2"/>
        <v/>
      </c>
      <c r="H13" s="40" t="str">
        <f t="shared" si="3"/>
        <v/>
      </c>
      <c r="I13" s="20"/>
      <c r="J13" s="163" t="s">
        <v>27</v>
      </c>
      <c r="K13" s="164"/>
      <c r="L13" s="164"/>
      <c r="M13" s="164"/>
      <c r="N13" s="164"/>
      <c r="O13" s="165"/>
      <c r="P13" s="46"/>
      <c r="Y13" s="122"/>
      <c r="Z13" s="122"/>
      <c r="AA13" s="122"/>
      <c r="AC13" s="22"/>
      <c r="AD13" s="22"/>
    </row>
    <row r="14" spans="1:30" ht="15.75" customHeight="1" thickBot="1">
      <c r="B14" s="37" t="s">
        <v>7</v>
      </c>
      <c r="C14" s="24"/>
      <c r="D14" s="35">
        <f t="shared" si="0"/>
        <v>0</v>
      </c>
      <c r="E14" s="18">
        <f t="shared" si="1"/>
        <v>0</v>
      </c>
      <c r="F14" s="19">
        <f t="shared" si="4"/>
        <v>923076</v>
      </c>
      <c r="G14" s="43" t="str">
        <f t="shared" si="2"/>
        <v/>
      </c>
      <c r="H14" s="40" t="str">
        <f t="shared" si="3"/>
        <v/>
      </c>
      <c r="I14" s="20"/>
      <c r="J14" s="166">
        <f>$L$9-D15</f>
        <v>2000000000</v>
      </c>
      <c r="K14" s="167"/>
      <c r="L14" s="167"/>
      <c r="M14" s="167"/>
      <c r="N14" s="167"/>
      <c r="O14" s="168"/>
      <c r="P14" s="46"/>
      <c r="R14" s="125" t="s">
        <v>60</v>
      </c>
      <c r="S14" s="135">
        <f>IF(S8-Cyclo&lt;0,0,S8-Cyclo)</f>
        <v>0</v>
      </c>
      <c r="Y14" s="122"/>
      <c r="Z14" s="122"/>
      <c r="AA14" s="122"/>
      <c r="AC14" s="22"/>
      <c r="AD14" s="22"/>
    </row>
    <row r="15" spans="1:30" ht="15.75" customHeight="1" thickBot="1">
      <c r="B15" s="36" t="s">
        <v>6</v>
      </c>
      <c r="C15" s="27"/>
      <c r="D15" s="33">
        <f t="shared" si="0"/>
        <v>0</v>
      </c>
      <c r="E15" s="155" t="s">
        <v>34</v>
      </c>
      <c r="F15" s="156"/>
      <c r="G15" s="41">
        <f>SUM(G3:H14)</f>
        <v>0</v>
      </c>
      <c r="H15" s="42" t="str">
        <f>IF(SUM(C3:C15)=0,"",T25)</f>
        <v/>
      </c>
      <c r="I15" s="21"/>
      <c r="J15" s="163" t="s">
        <v>28</v>
      </c>
      <c r="K15" s="164"/>
      <c r="L15" s="164"/>
      <c r="M15" s="164"/>
      <c r="N15" s="164"/>
      <c r="O15" s="165"/>
      <c r="P15" s="46"/>
      <c r="AC15" s="22"/>
      <c r="AD15" s="22"/>
    </row>
    <row r="16" spans="1:30" ht="16.5" thickBot="1">
      <c r="B16" s="160" t="s">
        <v>16</v>
      </c>
      <c r="C16" s="161"/>
      <c r="D16" s="31">
        <f>SUM(D3:D15)</f>
        <v>0</v>
      </c>
      <c r="E16" s="4">
        <f>IF(D16&gt;$L$9,0,1)</f>
        <v>1</v>
      </c>
      <c r="F16" s="48" t="s">
        <v>46</v>
      </c>
      <c r="G16" s="48" t="s">
        <v>47</v>
      </c>
      <c r="H16" s="48" t="s">
        <v>48</v>
      </c>
      <c r="I16" s="4"/>
      <c r="J16" s="166">
        <f>$J$14-$D$17</f>
        <v>2000000000</v>
      </c>
      <c r="K16" s="167"/>
      <c r="L16" s="167"/>
      <c r="M16" s="167"/>
      <c r="N16" s="167"/>
      <c r="O16" s="168"/>
      <c r="P16" s="45"/>
      <c r="AC16" s="22"/>
      <c r="AD16" s="22"/>
    </row>
    <row r="17" spans="2:30" ht="16.5" thickBot="1">
      <c r="B17" s="162" t="s">
        <v>17</v>
      </c>
      <c r="C17" s="162"/>
      <c r="D17" s="9">
        <f>SUM(D3:D15)-D15</f>
        <v>0</v>
      </c>
      <c r="E17" s="10"/>
      <c r="F17" s="115">
        <v>5</v>
      </c>
      <c r="G17" s="115">
        <v>5</v>
      </c>
      <c r="H17" s="115">
        <v>5</v>
      </c>
      <c r="I17" s="30"/>
      <c r="P17" s="45"/>
      <c r="AC17" s="22"/>
      <c r="AD17" s="22"/>
    </row>
    <row r="18" spans="2:30" s="22" customFormat="1">
      <c r="C18" s="23"/>
      <c r="D18" s="147" t="s">
        <v>49</v>
      </c>
      <c r="E18" s="148">
        <v>16</v>
      </c>
      <c r="F18" s="153" t="str">
        <f>CONCATENATE("Lvl max: ",$E$18," | ","Restant a répartir: ",$G$20)</f>
        <v>Lvl max: 16 | Restant a répartir: 15</v>
      </c>
      <c r="G18" s="153"/>
      <c r="H18" s="153"/>
      <c r="J18" s="149"/>
      <c r="K18" s="45"/>
      <c r="L18" s="45"/>
      <c r="M18" s="45"/>
      <c r="N18" s="45"/>
      <c r="O18" s="45"/>
      <c r="P18" s="45"/>
    </row>
    <row r="19" spans="2:30" s="22" customFormat="1" ht="15.75">
      <c r="B19" s="44"/>
      <c r="C19" s="23"/>
      <c r="D19" s="147" t="s">
        <v>50</v>
      </c>
      <c r="E19" s="148">
        <v>30</v>
      </c>
      <c r="F19" s="29"/>
      <c r="G19" s="29"/>
      <c r="H19" s="29"/>
      <c r="I19" s="29"/>
      <c r="J19" s="45"/>
      <c r="K19" s="45"/>
      <c r="L19" s="45"/>
      <c r="M19" s="45"/>
      <c r="N19" s="45"/>
      <c r="O19" s="45"/>
      <c r="P19" s="45"/>
      <c r="R19" s="137" t="s">
        <v>41</v>
      </c>
      <c r="S19" s="137" t="s">
        <v>40</v>
      </c>
      <c r="T19" s="22" t="s">
        <v>42</v>
      </c>
      <c r="U19" s="22" t="s">
        <v>32</v>
      </c>
    </row>
    <row r="20" spans="2:30" s="22" customFormat="1" ht="15.75" thickBot="1">
      <c r="C20" s="23"/>
      <c r="D20" s="147"/>
      <c r="E20" s="148"/>
      <c r="F20" s="147" t="s">
        <v>51</v>
      </c>
      <c r="G20" s="148">
        <f>$E$19-(F17+G17+H17)</f>
        <v>15</v>
      </c>
      <c r="H20" s="29"/>
      <c r="I20" s="29"/>
      <c r="J20" s="46"/>
      <c r="K20" s="46"/>
      <c r="L20" s="46"/>
      <c r="M20" s="46"/>
      <c r="N20" s="46"/>
      <c r="O20" s="46"/>
      <c r="P20" s="46"/>
      <c r="Q20" s="23" t="s">
        <v>39</v>
      </c>
      <c r="R20" s="138">
        <f>R21+R22</f>
        <v>0</v>
      </c>
      <c r="S20" s="139">
        <v>1</v>
      </c>
      <c r="T20" s="140"/>
      <c r="U20" s="140"/>
    </row>
    <row r="21" spans="2:30" s="22" customFormat="1">
      <c r="B21" s="150"/>
      <c r="C21" s="23"/>
      <c r="D21" s="23"/>
      <c r="E21" s="29"/>
      <c r="F21" s="29" t="s">
        <v>25</v>
      </c>
      <c r="G21" s="29"/>
      <c r="H21" s="29"/>
      <c r="I21" s="29"/>
      <c r="J21" s="151" t="s">
        <v>29</v>
      </c>
      <c r="K21" s="151" t="s">
        <v>30</v>
      </c>
      <c r="L21" s="46"/>
      <c r="M21" s="46"/>
      <c r="N21" s="46"/>
      <c r="Q21" s="141" t="s">
        <v>37</v>
      </c>
      <c r="R21" s="142">
        <f>SUM(G3:G14)</f>
        <v>0</v>
      </c>
      <c r="S21" s="143" t="e">
        <f>R21/$R$20</f>
        <v>#DIV/0!</v>
      </c>
      <c r="T21" s="140"/>
      <c r="U21" s="140"/>
    </row>
    <row r="22" spans="2:30" s="22" customFormat="1" ht="15.75" thickBot="1">
      <c r="B22" s="152" t="s">
        <v>8</v>
      </c>
      <c r="C22" s="28">
        <v>3000</v>
      </c>
      <c r="D22" s="28">
        <v>1000</v>
      </c>
      <c r="E22" s="28">
        <v>0</v>
      </c>
      <c r="F22" s="28">
        <f t="shared" ref="F22:F34" si="5">C22*$L$8+D22*$M$8+E22*$N$8</f>
        <v>4300</v>
      </c>
      <c r="G22" s="28"/>
      <c r="H22" s="28"/>
      <c r="I22" s="28"/>
      <c r="J22" s="28">
        <f t="shared" ref="J22:J32" si="6">$L$11*$C3*C22</f>
        <v>0</v>
      </c>
      <c r="K22" s="28">
        <f t="shared" ref="K22:K32" si="7">$L$11*$C3*D22</f>
        <v>0</v>
      </c>
      <c r="L22" s="28"/>
      <c r="M22" s="28"/>
      <c r="Q22" s="144" t="s">
        <v>36</v>
      </c>
      <c r="R22" s="142">
        <f>SUM(H3:H14)</f>
        <v>0</v>
      </c>
      <c r="S22" s="143" t="e">
        <f>R22/$R$20</f>
        <v>#DIV/0!</v>
      </c>
      <c r="T22" s="140"/>
      <c r="U22" s="140"/>
    </row>
    <row r="23" spans="2:30" s="22" customFormat="1">
      <c r="B23" s="152" t="s">
        <v>18</v>
      </c>
      <c r="C23" s="28">
        <v>6000</v>
      </c>
      <c r="D23" s="28">
        <v>4000</v>
      </c>
      <c r="E23" s="28">
        <v>0</v>
      </c>
      <c r="F23" s="28">
        <f t="shared" si="5"/>
        <v>11200</v>
      </c>
      <c r="G23" s="28"/>
      <c r="H23" s="28"/>
      <c r="I23" s="28"/>
      <c r="J23" s="28">
        <f t="shared" si="6"/>
        <v>0</v>
      </c>
      <c r="K23" s="28">
        <f t="shared" si="7"/>
        <v>0</v>
      </c>
      <c r="L23" s="28"/>
      <c r="M23" s="28"/>
      <c r="Q23" s="23" t="s">
        <v>38</v>
      </c>
      <c r="R23" s="145">
        <f>$C$15*($C$35/$Q$1)</f>
        <v>0</v>
      </c>
      <c r="S23" s="143" t="e">
        <f>R23/$R$20</f>
        <v>#DIV/0!</v>
      </c>
      <c r="T23" s="143" t="e">
        <f>AA10</f>
        <v>#DIV/0!</v>
      </c>
      <c r="U23" s="143" t="e">
        <f>AA9</f>
        <v>#DIV/0!</v>
      </c>
    </row>
    <row r="24" spans="2:30" s="22" customFormat="1">
      <c r="B24" s="152" t="s">
        <v>9</v>
      </c>
      <c r="C24" s="28">
        <v>20000</v>
      </c>
      <c r="D24" s="28">
        <v>7000</v>
      </c>
      <c r="E24" s="28">
        <v>2000</v>
      </c>
      <c r="F24" s="28">
        <f t="shared" si="5"/>
        <v>32500</v>
      </c>
      <c r="G24" s="28"/>
      <c r="H24" s="28"/>
      <c r="I24" s="28"/>
      <c r="J24" s="28">
        <f t="shared" si="6"/>
        <v>0</v>
      </c>
      <c r="K24" s="28">
        <f t="shared" si="7"/>
        <v>0</v>
      </c>
      <c r="L24" s="28"/>
      <c r="M24" s="28"/>
      <c r="Q24" s="23" t="s">
        <v>43</v>
      </c>
      <c r="R24" s="146" t="e">
        <f>IF(T23&lt;1,"",IF(R23=R22,"",S24*R23/S23))</f>
        <v>#DIV/0!</v>
      </c>
      <c r="S24" s="136" t="e">
        <f>IF(S23&gt;S22,S23-S22,"")</f>
        <v>#DIV/0!</v>
      </c>
      <c r="T24" s="22" t="e">
        <f>ROUND(T23*100,0)</f>
        <v>#DIV/0!</v>
      </c>
      <c r="U24" s="22" t="e">
        <f>IF(U23="",0,ROUND(U23*100,0))</f>
        <v>#DIV/0!</v>
      </c>
    </row>
    <row r="25" spans="2:30" s="22" customFormat="1">
      <c r="B25" s="152" t="s">
        <v>19</v>
      </c>
      <c r="C25" s="28">
        <v>45000</v>
      </c>
      <c r="D25" s="28">
        <v>15000</v>
      </c>
      <c r="E25" s="28">
        <v>0</v>
      </c>
      <c r="F25" s="28">
        <f t="shared" si="5"/>
        <v>64500</v>
      </c>
      <c r="G25" s="28"/>
      <c r="H25" s="28"/>
      <c r="I25" s="28"/>
      <c r="J25" s="28">
        <f t="shared" si="6"/>
        <v>0</v>
      </c>
      <c r="K25" s="28">
        <f t="shared" si="7"/>
        <v>0</v>
      </c>
      <c r="L25" s="28"/>
      <c r="M25" s="28"/>
      <c r="T25" s="157" t="e">
        <f>IF(S23&gt;=1,"100%",CONCATENATE(U24,"% / ",T24,"%"))</f>
        <v>#DIV/0!</v>
      </c>
      <c r="U25" s="157"/>
    </row>
    <row r="26" spans="2:30" s="22" customFormat="1">
      <c r="B26" s="152" t="s">
        <v>10</v>
      </c>
      <c r="C26" s="28">
        <v>30000</v>
      </c>
      <c r="D26" s="28">
        <v>40000</v>
      </c>
      <c r="E26" s="28">
        <v>15000</v>
      </c>
      <c r="F26" s="28">
        <f t="shared" si="5"/>
        <v>107500</v>
      </c>
      <c r="G26" s="28"/>
      <c r="H26" s="28"/>
      <c r="I26" s="28"/>
      <c r="J26" s="28">
        <f t="shared" si="6"/>
        <v>0</v>
      </c>
      <c r="K26" s="28">
        <f t="shared" si="7"/>
        <v>0</v>
      </c>
      <c r="L26" s="28"/>
      <c r="M26" s="28"/>
    </row>
    <row r="27" spans="2:30" s="22" customFormat="1">
      <c r="B27" s="152" t="s">
        <v>11</v>
      </c>
      <c r="C27" s="28">
        <v>50000</v>
      </c>
      <c r="D27" s="28">
        <v>25000</v>
      </c>
      <c r="E27" s="28">
        <v>15000</v>
      </c>
      <c r="F27" s="28">
        <f t="shared" si="5"/>
        <v>108000</v>
      </c>
      <c r="G27" s="28"/>
      <c r="H27" s="28"/>
      <c r="I27" s="28"/>
      <c r="J27" s="28">
        <f t="shared" si="6"/>
        <v>0</v>
      </c>
      <c r="K27" s="28">
        <f t="shared" si="7"/>
        <v>0</v>
      </c>
      <c r="L27" s="28"/>
      <c r="M27" s="28"/>
    </row>
    <row r="28" spans="2:30" s="22" customFormat="1">
      <c r="B28" s="152" t="s">
        <v>20</v>
      </c>
      <c r="C28" s="28">
        <v>60000</v>
      </c>
      <c r="D28" s="28">
        <v>50000</v>
      </c>
      <c r="E28" s="28">
        <v>15000</v>
      </c>
      <c r="F28" s="28">
        <f t="shared" si="5"/>
        <v>150500</v>
      </c>
      <c r="G28" s="28"/>
      <c r="H28" s="28"/>
      <c r="I28" s="28"/>
      <c r="J28" s="28">
        <f t="shared" si="6"/>
        <v>0</v>
      </c>
      <c r="K28" s="28">
        <f t="shared" si="7"/>
        <v>0</v>
      </c>
      <c r="L28" s="28"/>
      <c r="M28" s="28"/>
    </row>
    <row r="29" spans="2:30" s="22" customFormat="1">
      <c r="B29" s="152" t="s">
        <v>12</v>
      </c>
      <c r="C29" s="28">
        <v>5000000</v>
      </c>
      <c r="D29" s="28">
        <v>4000000</v>
      </c>
      <c r="E29" s="28">
        <v>1000000</v>
      </c>
      <c r="F29" s="28">
        <f t="shared" si="5"/>
        <v>11900000</v>
      </c>
      <c r="G29" s="28"/>
      <c r="H29" s="28"/>
      <c r="I29" s="28"/>
      <c r="J29" s="28">
        <f t="shared" si="6"/>
        <v>0</v>
      </c>
      <c r="K29" s="28">
        <f t="shared" si="7"/>
        <v>0</v>
      </c>
      <c r="L29" s="28"/>
      <c r="M29" s="28"/>
    </row>
    <row r="30" spans="2:30" s="22" customFormat="1">
      <c r="B30" s="152" t="s">
        <v>3</v>
      </c>
      <c r="C30" s="28">
        <v>2000</v>
      </c>
      <c r="D30" s="28">
        <v>2000</v>
      </c>
      <c r="E30" s="28">
        <v>0</v>
      </c>
      <c r="F30" s="28">
        <f t="shared" si="5"/>
        <v>4600</v>
      </c>
      <c r="G30" s="28"/>
      <c r="H30" s="28"/>
      <c r="I30" s="28"/>
      <c r="J30" s="28">
        <f t="shared" si="6"/>
        <v>0</v>
      </c>
      <c r="K30" s="28">
        <f t="shared" si="7"/>
        <v>0</v>
      </c>
      <c r="L30" s="28"/>
      <c r="M30" s="28"/>
    </row>
    <row r="31" spans="2:30" s="22" customFormat="1">
      <c r="B31" s="152" t="s">
        <v>4</v>
      </c>
      <c r="C31" s="28">
        <v>6000</v>
      </c>
      <c r="D31" s="28">
        <v>6000</v>
      </c>
      <c r="E31" s="28">
        <v>0</v>
      </c>
      <c r="F31" s="28">
        <f t="shared" si="5"/>
        <v>13800</v>
      </c>
      <c r="G31" s="28"/>
      <c r="H31" s="28"/>
      <c r="I31" s="28"/>
      <c r="J31" s="28">
        <f t="shared" si="6"/>
        <v>0</v>
      </c>
      <c r="K31" s="28">
        <f t="shared" si="7"/>
        <v>0</v>
      </c>
      <c r="L31" s="28"/>
      <c r="M31" s="28"/>
    </row>
    <row r="32" spans="2:30" s="22" customFormat="1">
      <c r="B32" s="152" t="s">
        <v>5</v>
      </c>
      <c r="C32" s="28">
        <v>10000</v>
      </c>
      <c r="D32" s="28">
        <v>20000</v>
      </c>
      <c r="E32" s="28">
        <v>10000</v>
      </c>
      <c r="F32" s="28">
        <f t="shared" si="5"/>
        <v>53000</v>
      </c>
      <c r="G32" s="28"/>
      <c r="H32" s="28"/>
      <c r="I32" s="28"/>
      <c r="J32" s="28">
        <f t="shared" si="6"/>
        <v>0</v>
      </c>
      <c r="K32" s="28">
        <f t="shared" si="7"/>
        <v>0</v>
      </c>
      <c r="L32" s="28"/>
      <c r="M32" s="28"/>
    </row>
    <row r="33" spans="2:25" s="22" customFormat="1">
      <c r="B33" s="152" t="s">
        <v>7</v>
      </c>
      <c r="C33" s="28">
        <v>0</v>
      </c>
      <c r="D33" s="28">
        <v>1000</v>
      </c>
      <c r="E33" s="28">
        <v>0</v>
      </c>
      <c r="F33" s="28">
        <f t="shared" si="5"/>
        <v>1300</v>
      </c>
      <c r="G33" s="28"/>
      <c r="H33" s="28"/>
      <c r="I33" s="28"/>
      <c r="J33" s="28">
        <f>$L$11*$C15*C33</f>
        <v>0</v>
      </c>
      <c r="K33" s="28">
        <f>$L$11*$C15*D33</f>
        <v>0</v>
      </c>
      <c r="L33" s="28"/>
      <c r="M33" s="28"/>
    </row>
    <row r="34" spans="2:25" s="22" customFormat="1">
      <c r="B34" s="152" t="s">
        <v>6</v>
      </c>
      <c r="C34" s="28">
        <v>10000</v>
      </c>
      <c r="D34" s="28">
        <v>6000</v>
      </c>
      <c r="E34" s="28">
        <v>2000</v>
      </c>
      <c r="F34" s="28">
        <f t="shared" si="5"/>
        <v>21200</v>
      </c>
      <c r="G34" s="28"/>
      <c r="H34" s="28"/>
      <c r="I34" s="28"/>
      <c r="J34" s="28"/>
      <c r="K34" s="28"/>
      <c r="L34" s="28"/>
      <c r="M34" s="28"/>
    </row>
    <row r="35" spans="2:25" s="22" customFormat="1">
      <c r="B35" s="152" t="s">
        <v>33</v>
      </c>
      <c r="C35" s="28">
        <v>20000</v>
      </c>
      <c r="G35" s="28"/>
      <c r="H35" s="28"/>
      <c r="I35" s="28"/>
      <c r="J35" s="28">
        <f>$L$11*$C14*C33</f>
        <v>0</v>
      </c>
      <c r="K35" s="28">
        <f>$L$11*$C14*D33</f>
        <v>0</v>
      </c>
      <c r="L35" s="28"/>
      <c r="M35" s="28"/>
    </row>
    <row r="36" spans="2:25" s="22" customFormat="1">
      <c r="C36" s="23"/>
      <c r="D36" s="23"/>
      <c r="E36" s="29"/>
      <c r="F36" s="29"/>
      <c r="G36" s="29"/>
      <c r="H36" s="29"/>
      <c r="I36" s="29"/>
      <c r="J36" s="28">
        <f>SUM(J22:K35)</f>
        <v>0</v>
      </c>
      <c r="K36" s="28"/>
      <c r="L36" s="28"/>
      <c r="M36" s="28"/>
    </row>
    <row r="37" spans="2:25" s="22" customFormat="1">
      <c r="B37" s="203"/>
      <c r="C37" s="204"/>
      <c r="D37" s="204"/>
      <c r="E37" s="205"/>
      <c r="F37" s="205"/>
      <c r="G37" s="205"/>
      <c r="H37" s="205"/>
      <c r="I37" s="205"/>
      <c r="J37" s="206"/>
      <c r="K37" s="206"/>
      <c r="L37" s="206"/>
      <c r="M37" s="206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</row>
    <row r="38" spans="2:25" s="22" customFormat="1">
      <c r="B38" s="203"/>
      <c r="C38" s="204"/>
      <c r="D38" s="204"/>
      <c r="E38" s="205"/>
      <c r="F38" s="205"/>
      <c r="G38" s="205"/>
      <c r="H38" s="205"/>
      <c r="I38" s="205"/>
      <c r="J38" s="206"/>
      <c r="K38" s="206"/>
      <c r="L38" s="206"/>
      <c r="M38" s="206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</row>
    <row r="39" spans="2:25" s="22" customFormat="1">
      <c r="B39" s="203"/>
      <c r="C39" s="204"/>
      <c r="D39" s="204"/>
      <c r="E39" s="205"/>
      <c r="F39" s="205"/>
      <c r="G39" s="205"/>
      <c r="H39" s="205"/>
      <c r="I39" s="205"/>
      <c r="J39" s="206"/>
      <c r="K39" s="206"/>
      <c r="L39" s="206"/>
      <c r="M39" s="206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</row>
    <row r="40" spans="2:25" s="22" customFormat="1">
      <c r="B40" s="203"/>
      <c r="C40" s="204"/>
      <c r="D40" s="204"/>
      <c r="E40" s="205"/>
      <c r="F40" s="205"/>
      <c r="G40" s="205"/>
      <c r="H40" s="205"/>
      <c r="I40" s="205"/>
      <c r="J40" s="206"/>
      <c r="K40" s="206"/>
      <c r="L40" s="206"/>
      <c r="M40" s="206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</row>
    <row r="41" spans="2:25" s="22" customFormat="1">
      <c r="B41" s="203"/>
      <c r="C41" s="204"/>
      <c r="D41" s="204"/>
      <c r="E41" s="205"/>
      <c r="F41" s="205"/>
      <c r="G41" s="205"/>
      <c r="H41" s="205"/>
      <c r="I41" s="205"/>
      <c r="J41" s="206"/>
      <c r="K41" s="206"/>
      <c r="L41" s="206"/>
      <c r="M41" s="206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</row>
    <row r="42" spans="2:25" s="22" customFormat="1">
      <c r="B42" s="203"/>
      <c r="C42" s="204"/>
      <c r="D42" s="204"/>
      <c r="E42" s="205"/>
      <c r="F42" s="205"/>
      <c r="G42" s="205"/>
      <c r="H42" s="205"/>
      <c r="I42" s="205"/>
      <c r="J42" s="206"/>
      <c r="K42" s="206"/>
      <c r="L42" s="206"/>
      <c r="M42" s="206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</row>
    <row r="43" spans="2:25">
      <c r="B43" s="203"/>
      <c r="C43" s="204"/>
      <c r="D43" s="204"/>
      <c r="E43" s="205"/>
      <c r="F43" s="205"/>
      <c r="G43" s="205"/>
      <c r="H43" s="205"/>
      <c r="I43" s="205"/>
      <c r="J43" s="206"/>
      <c r="K43" s="206"/>
      <c r="L43" s="206"/>
      <c r="M43" s="206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</row>
    <row r="44" spans="2:25">
      <c r="B44" s="203"/>
      <c r="C44" s="204"/>
      <c r="D44" s="204"/>
      <c r="E44" s="205"/>
      <c r="F44" s="205"/>
      <c r="G44" s="205"/>
      <c r="H44" s="205"/>
      <c r="I44" s="205"/>
      <c r="J44" s="206"/>
      <c r="K44" s="206"/>
      <c r="L44" s="206"/>
      <c r="M44" s="206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</row>
    <row r="45" spans="2:25">
      <c r="B45" s="203"/>
      <c r="C45" s="204"/>
      <c r="D45" s="204"/>
      <c r="E45" s="205"/>
      <c r="F45" s="205"/>
      <c r="G45" s="205"/>
      <c r="H45" s="205"/>
      <c r="I45" s="205"/>
      <c r="J45" s="206"/>
      <c r="K45" s="206"/>
      <c r="L45" s="206"/>
      <c r="M45" s="206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</row>
    <row r="46" spans="2:25">
      <c r="B46" s="203"/>
      <c r="C46" s="204"/>
      <c r="D46" s="204"/>
      <c r="E46" s="205"/>
      <c r="F46" s="205"/>
      <c r="G46" s="205"/>
      <c r="H46" s="205"/>
      <c r="I46" s="205"/>
      <c r="J46" s="206"/>
      <c r="K46" s="206"/>
      <c r="L46" s="206"/>
      <c r="M46" s="206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</row>
    <row r="47" spans="2:25">
      <c r="B47" s="203"/>
      <c r="C47" s="204"/>
      <c r="D47" s="204"/>
      <c r="E47" s="205"/>
      <c r="F47" s="205"/>
      <c r="G47" s="205"/>
      <c r="H47" s="205"/>
      <c r="I47" s="205"/>
      <c r="J47" s="206"/>
      <c r="K47" s="206"/>
      <c r="L47" s="206"/>
      <c r="M47" s="206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</row>
    <row r="48" spans="2:25">
      <c r="B48" s="203"/>
      <c r="C48" s="204"/>
      <c r="D48" s="204"/>
      <c r="E48" s="205"/>
      <c r="F48" s="205"/>
      <c r="G48" s="205"/>
      <c r="H48" s="205"/>
      <c r="I48" s="205"/>
      <c r="J48" s="206"/>
      <c r="K48" s="206"/>
      <c r="L48" s="206"/>
      <c r="M48" s="206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</row>
    <row r="49" spans="2:25">
      <c r="B49" s="203"/>
      <c r="C49" s="204"/>
      <c r="D49" s="204"/>
      <c r="E49" s="205"/>
      <c r="F49" s="205"/>
      <c r="G49" s="205"/>
      <c r="H49" s="205"/>
      <c r="I49" s="205"/>
      <c r="J49" s="206"/>
      <c r="K49" s="206"/>
      <c r="L49" s="206"/>
      <c r="M49" s="206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</row>
    <row r="50" spans="2:25">
      <c r="B50" s="203"/>
      <c r="C50" s="204"/>
      <c r="D50" s="204"/>
      <c r="E50" s="205"/>
      <c r="F50" s="205"/>
      <c r="G50" s="205"/>
      <c r="H50" s="205"/>
      <c r="I50" s="205"/>
      <c r="J50" s="206"/>
      <c r="K50" s="206"/>
      <c r="L50" s="206"/>
      <c r="M50" s="206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</row>
    <row r="51" spans="2:25">
      <c r="B51" s="203"/>
      <c r="C51" s="204"/>
      <c r="D51" s="204"/>
      <c r="E51" s="205"/>
      <c r="F51" s="205"/>
      <c r="G51" s="205"/>
      <c r="H51" s="205"/>
      <c r="I51" s="205"/>
      <c r="J51" s="206"/>
      <c r="K51" s="206"/>
      <c r="L51" s="206"/>
      <c r="M51" s="206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</row>
    <row r="52" spans="2:25">
      <c r="B52" s="203"/>
      <c r="C52" s="204"/>
      <c r="D52" s="204"/>
      <c r="E52" s="205"/>
      <c r="F52" s="205"/>
      <c r="G52" s="205"/>
      <c r="H52" s="205"/>
      <c r="I52" s="205"/>
      <c r="J52" s="206"/>
      <c r="K52" s="206"/>
      <c r="L52" s="206"/>
      <c r="M52" s="206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</row>
    <row r="53" spans="2:25">
      <c r="B53" s="203"/>
      <c r="C53" s="204"/>
      <c r="D53" s="204"/>
      <c r="E53" s="205"/>
      <c r="F53" s="205"/>
      <c r="G53" s="205"/>
      <c r="H53" s="205"/>
      <c r="I53" s="205"/>
      <c r="J53" s="206"/>
      <c r="K53" s="206"/>
      <c r="L53" s="206"/>
      <c r="M53" s="206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</row>
    <row r="54" spans="2:25">
      <c r="B54" s="203"/>
      <c r="C54" s="204"/>
      <c r="D54" s="204"/>
      <c r="E54" s="205"/>
      <c r="F54" s="205"/>
      <c r="G54" s="205"/>
      <c r="H54" s="205"/>
      <c r="I54" s="205"/>
      <c r="J54" s="206"/>
      <c r="K54" s="206"/>
      <c r="L54" s="206"/>
      <c r="M54" s="206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</row>
    <row r="55" spans="2:25">
      <c r="B55" s="203"/>
      <c r="C55" s="204"/>
      <c r="D55" s="204"/>
      <c r="E55" s="205"/>
      <c r="F55" s="205"/>
      <c r="G55" s="205"/>
      <c r="H55" s="205"/>
      <c r="I55" s="205"/>
      <c r="J55" s="206"/>
      <c r="K55" s="206"/>
      <c r="L55" s="206"/>
      <c r="M55" s="206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</row>
    <row r="56" spans="2:25">
      <c r="B56" s="203"/>
      <c r="C56" s="204"/>
      <c r="D56" s="204"/>
      <c r="E56" s="205"/>
      <c r="F56" s="205"/>
      <c r="G56" s="205"/>
      <c r="H56" s="205"/>
      <c r="I56" s="205"/>
      <c r="J56" s="206"/>
      <c r="K56" s="206"/>
      <c r="L56" s="206"/>
      <c r="M56" s="206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</row>
    <row r="57" spans="2:25">
      <c r="B57" s="203"/>
      <c r="C57" s="204"/>
      <c r="D57" s="204"/>
      <c r="E57" s="205"/>
      <c r="F57" s="205"/>
      <c r="G57" s="205"/>
      <c r="H57" s="205"/>
      <c r="I57" s="205"/>
      <c r="J57" s="206"/>
      <c r="K57" s="206"/>
      <c r="L57" s="206"/>
      <c r="M57" s="206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</row>
    <row r="58" spans="2:25">
      <c r="B58" s="203"/>
      <c r="C58" s="204"/>
      <c r="D58" s="204"/>
      <c r="E58" s="205"/>
      <c r="F58" s="205"/>
      <c r="G58" s="205"/>
      <c r="H58" s="205"/>
      <c r="I58" s="205"/>
      <c r="J58" s="206"/>
      <c r="K58" s="206"/>
      <c r="L58" s="206"/>
      <c r="M58" s="206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</row>
    <row r="59" spans="2:25">
      <c r="B59" s="203"/>
      <c r="C59" s="204"/>
      <c r="D59" s="204"/>
      <c r="E59" s="205"/>
      <c r="F59" s="205"/>
      <c r="G59" s="205"/>
      <c r="H59" s="205"/>
      <c r="I59" s="205"/>
      <c r="J59" s="206"/>
      <c r="K59" s="206"/>
      <c r="L59" s="206"/>
      <c r="M59" s="206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</row>
    <row r="60" spans="2:25">
      <c r="B60" s="203"/>
      <c r="C60" s="204"/>
      <c r="D60" s="204"/>
      <c r="E60" s="205"/>
      <c r="F60" s="205"/>
      <c r="G60" s="205"/>
      <c r="H60" s="205"/>
      <c r="I60" s="205"/>
      <c r="J60" s="206"/>
      <c r="K60" s="206"/>
      <c r="L60" s="206"/>
      <c r="M60" s="206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</row>
    <row r="61" spans="2:25">
      <c r="B61" s="203"/>
      <c r="C61" s="204"/>
      <c r="D61" s="204"/>
      <c r="E61" s="205"/>
      <c r="F61" s="205"/>
      <c r="G61" s="205"/>
      <c r="H61" s="205"/>
      <c r="I61" s="205"/>
      <c r="J61" s="206"/>
      <c r="K61" s="206"/>
      <c r="L61" s="206"/>
      <c r="M61" s="206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</row>
    <row r="62" spans="2:25">
      <c r="B62" s="203"/>
      <c r="C62" s="204"/>
      <c r="D62" s="204"/>
      <c r="E62" s="205"/>
      <c r="F62" s="205"/>
      <c r="G62" s="205"/>
      <c r="H62" s="205"/>
      <c r="I62" s="205"/>
      <c r="J62" s="206"/>
      <c r="K62" s="206"/>
      <c r="L62" s="206"/>
      <c r="M62" s="206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</row>
    <row r="63" spans="2:25">
      <c r="B63" s="203"/>
      <c r="C63" s="204"/>
      <c r="D63" s="204"/>
      <c r="E63" s="205"/>
      <c r="F63" s="205"/>
      <c r="G63" s="205"/>
      <c r="H63" s="205"/>
      <c r="I63" s="205"/>
      <c r="J63" s="206"/>
      <c r="K63" s="206"/>
      <c r="L63" s="206"/>
      <c r="M63" s="206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</row>
    <row r="64" spans="2:25">
      <c r="B64" s="203"/>
      <c r="C64" s="204"/>
      <c r="D64" s="204"/>
      <c r="E64" s="205"/>
      <c r="F64" s="205"/>
      <c r="G64" s="205"/>
      <c r="H64" s="205"/>
      <c r="I64" s="205"/>
      <c r="J64" s="206"/>
      <c r="K64" s="206"/>
      <c r="L64" s="206"/>
      <c r="M64" s="206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</row>
    <row r="65" spans="2:25">
      <c r="B65" s="203"/>
      <c r="C65" s="204"/>
      <c r="D65" s="204"/>
      <c r="E65" s="205"/>
      <c r="F65" s="205"/>
      <c r="G65" s="205"/>
      <c r="H65" s="205"/>
      <c r="I65" s="205"/>
      <c r="J65" s="206"/>
      <c r="K65" s="206"/>
      <c r="L65" s="206"/>
      <c r="M65" s="206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</row>
    <row r="66" spans="2:25">
      <c r="B66" s="203"/>
      <c r="C66" s="204"/>
      <c r="D66" s="204"/>
      <c r="E66" s="205"/>
      <c r="F66" s="205"/>
      <c r="G66" s="205"/>
      <c r="H66" s="205"/>
      <c r="I66" s="205"/>
      <c r="J66" s="206"/>
      <c r="K66" s="206"/>
      <c r="L66" s="206"/>
      <c r="M66" s="206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</row>
    <row r="67" spans="2:25">
      <c r="B67" s="203"/>
      <c r="C67" s="204"/>
      <c r="D67" s="204"/>
      <c r="E67" s="205"/>
      <c r="F67" s="205"/>
      <c r="G67" s="205"/>
      <c r="H67" s="205"/>
      <c r="I67" s="205"/>
      <c r="J67" s="206"/>
      <c r="K67" s="206"/>
      <c r="L67" s="206"/>
      <c r="M67" s="206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</row>
  </sheetData>
  <sheetProtection password="C400" sheet="1" objects="1" scenarios="1" selectLockedCells="1"/>
  <mergeCells count="20">
    <mergeCell ref="L9:N9"/>
    <mergeCell ref="J9:K9"/>
    <mergeCell ref="J11:K11"/>
    <mergeCell ref="L11:N11"/>
    <mergeCell ref="F18:H18"/>
    <mergeCell ref="J12:O12"/>
    <mergeCell ref="E15:F15"/>
    <mergeCell ref="T25:U25"/>
    <mergeCell ref="A1:O1"/>
    <mergeCell ref="B16:C16"/>
    <mergeCell ref="B17:C17"/>
    <mergeCell ref="J13:O13"/>
    <mergeCell ref="J15:O15"/>
    <mergeCell ref="J16:O16"/>
    <mergeCell ref="J8:K8"/>
    <mergeCell ref="J4:O5"/>
    <mergeCell ref="J6:O7"/>
    <mergeCell ref="J10:K10"/>
    <mergeCell ref="L10:N10"/>
    <mergeCell ref="J14:O14"/>
  </mergeCells>
  <conditionalFormatting sqref="J4">
    <cfRule type="containsText" dxfId="3" priority="4" operator="containsText" text="COMPO VALIDE">
      <formula>NOT(ISERROR(SEARCH("COMPO VALIDE",J4)))</formula>
    </cfRule>
  </conditionalFormatting>
  <conditionalFormatting sqref="J4">
    <cfRule type="containsText" dxfId="2" priority="3" operator="containsText" text="COMPO INVALIDE">
      <formula>NOT(ISERROR(SEARCH("COMPO INVALIDE",J4)))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42"/>
  <sheetViews>
    <sheetView topLeftCell="A16" zoomScale="85" zoomScaleNormal="85" workbookViewId="0">
      <selection activeCell="Q27" sqref="Q27"/>
    </sheetView>
  </sheetViews>
  <sheetFormatPr baseColWidth="10" defaultRowHeight="15"/>
  <cols>
    <col min="1" max="1" width="2.5703125" style="52" customWidth="1"/>
    <col min="2" max="2" width="24.85546875" style="74" bestFit="1" customWidth="1"/>
    <col min="3" max="3" width="12.7109375" style="75" bestFit="1" customWidth="1"/>
    <col min="4" max="4" width="18.42578125" style="90" bestFit="1" customWidth="1"/>
    <col min="5" max="5" width="11.85546875" style="91" customWidth="1"/>
    <col min="6" max="6" width="13.85546875" style="91" bestFit="1" customWidth="1"/>
    <col min="7" max="8" width="13.85546875" style="91" customWidth="1"/>
    <col min="9" max="9" width="3.140625" style="55" customWidth="1"/>
    <col min="10" max="10" width="14.28515625" style="56" bestFit="1" customWidth="1"/>
    <col min="11" max="11" width="18.42578125" style="56" customWidth="1"/>
    <col min="12" max="13" width="5.7109375" style="56" customWidth="1"/>
    <col min="14" max="14" width="5.7109375" style="52" customWidth="1"/>
    <col min="15" max="15" width="11.42578125" style="52"/>
    <col min="16" max="16" width="12.140625" style="52" bestFit="1" customWidth="1"/>
    <col min="17" max="17" width="19" style="52" bestFit="1" customWidth="1"/>
    <col min="18" max="18" width="14.5703125" style="52" bestFit="1" customWidth="1"/>
    <col min="19" max="22" width="14.140625" style="52" customWidth="1"/>
    <col min="23" max="23" width="11.42578125" style="52"/>
    <col min="24" max="24" width="3.140625" style="52" customWidth="1"/>
    <col min="25" max="16384" width="11.42578125" style="52"/>
  </cols>
  <sheetData>
    <row r="1" spans="1:17" ht="24" thickBot="1">
      <c r="A1" s="195" t="s">
        <v>45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6"/>
      <c r="P1" s="50" t="s">
        <v>35</v>
      </c>
      <c r="Q1" s="51">
        <f>IF($J$36&gt;=1000000,1000,1)</f>
        <v>1</v>
      </c>
    </row>
    <row r="2" spans="1:17" ht="16.5" thickBot="1">
      <c r="A2" s="53"/>
      <c r="B2" s="54" t="s">
        <v>53</v>
      </c>
      <c r="C2" s="6" t="s">
        <v>13</v>
      </c>
      <c r="D2" s="11" t="s">
        <v>14</v>
      </c>
      <c r="E2" s="17" t="s">
        <v>15</v>
      </c>
      <c r="F2" s="12" t="s">
        <v>24</v>
      </c>
      <c r="G2" s="38" t="str">
        <f>CONCATENATE("Cdr Métal ",Q2)</f>
        <v>Cdr Métal (u)</v>
      </c>
      <c r="H2" s="39" t="str">
        <f>CONCATENATE("Cdr Cristal ",Q2)</f>
        <v>Cdr Cristal (u)</v>
      </c>
      <c r="J2" s="57"/>
      <c r="K2" s="57"/>
      <c r="L2" s="57"/>
      <c r="M2" s="57"/>
      <c r="N2" s="74"/>
      <c r="O2" s="74"/>
      <c r="P2" s="57"/>
      <c r="Q2" s="58" t="str">
        <f>IF($J$36&gt;=1000000,"(ku)","(u)")</f>
        <v>(u)</v>
      </c>
    </row>
    <row r="3" spans="1:17" ht="15.75" thickBot="1">
      <c r="B3" s="34" t="s">
        <v>8</v>
      </c>
      <c r="C3" s="25">
        <v>20</v>
      </c>
      <c r="D3" s="35">
        <f t="shared" ref="D3:D15" si="0">SUM(F22*C3)</f>
        <v>86000</v>
      </c>
      <c r="E3" s="59">
        <f t="shared" ref="E3:E14" si="1">D3/$J$14</f>
        <v>4.3000455804831529E-5</v>
      </c>
      <c r="F3" s="60">
        <f t="shared" ref="F3:F14" si="2">IF($J$16&gt;=$J$14*$L$10,ROUNDDOWN($J$14*$L$10/F22,0),ROUNDDOWN($J$16/F22,0))</f>
        <v>279066</v>
      </c>
      <c r="G3" s="61">
        <f t="shared" ref="G3:H14" si="3">IF($C3="","",J22/$Q$1)</f>
        <v>30000</v>
      </c>
      <c r="H3" s="62">
        <f t="shared" si="3"/>
        <v>10000</v>
      </c>
      <c r="I3" s="63"/>
      <c r="J3" s="64"/>
      <c r="K3" s="64" t="s">
        <v>44</v>
      </c>
      <c r="L3" s="64"/>
      <c r="M3" s="64"/>
      <c r="N3" s="64"/>
      <c r="O3" s="64"/>
      <c r="P3" s="74"/>
    </row>
    <row r="4" spans="1:17" ht="15.75" customHeight="1" thickBot="1">
      <c r="B4" s="34" t="s">
        <v>0</v>
      </c>
      <c r="C4" s="25"/>
      <c r="D4" s="35">
        <f t="shared" si="0"/>
        <v>0</v>
      </c>
      <c r="E4" s="59">
        <f t="shared" si="1"/>
        <v>0</v>
      </c>
      <c r="F4" s="60">
        <f t="shared" si="2"/>
        <v>107141</v>
      </c>
      <c r="G4" s="61" t="str">
        <f t="shared" si="3"/>
        <v/>
      </c>
      <c r="H4" s="62" t="str">
        <f t="shared" si="3"/>
        <v/>
      </c>
      <c r="I4" s="63"/>
      <c r="J4" s="197" t="str">
        <f>IF(AND(E16=1,E3&lt;$L$10,E4&lt;$L$10,E5&lt;$L$10,E6&lt;$L$10,E7&lt;$L$10,E8&lt;$L$10,E9&lt;$L$10,E10&lt;$L$10,E11&lt;$L$10,E12&lt;$L$10,E13&lt;$L$10,E14&lt;$L$10,F17&lt;=$E$18,G17&lt;=$E$18,H17&lt;=$E$18,G20&gt;=0),"COMPO VALIDE","COMPO INVALIDE")</f>
        <v>COMPO VALIDE</v>
      </c>
      <c r="K4" s="197"/>
      <c r="L4" s="197"/>
      <c r="M4" s="197"/>
      <c r="N4" s="197"/>
      <c r="O4" s="197"/>
      <c r="P4" s="80"/>
    </row>
    <row r="5" spans="1:17" ht="15.75" customHeight="1" thickBot="1">
      <c r="B5" s="34" t="s">
        <v>9</v>
      </c>
      <c r="C5" s="25"/>
      <c r="D5" s="35">
        <f t="shared" si="0"/>
        <v>0</v>
      </c>
      <c r="E5" s="59">
        <f t="shared" si="1"/>
        <v>0</v>
      </c>
      <c r="F5" s="60">
        <f t="shared" si="2"/>
        <v>36922</v>
      </c>
      <c r="G5" s="61" t="str">
        <f t="shared" si="3"/>
        <v/>
      </c>
      <c r="H5" s="62" t="str">
        <f t="shared" si="3"/>
        <v/>
      </c>
      <c r="I5" s="63"/>
      <c r="J5" s="197"/>
      <c r="K5" s="197"/>
      <c r="L5" s="197"/>
      <c r="M5" s="197"/>
      <c r="N5" s="197"/>
      <c r="O5" s="197"/>
      <c r="P5" s="80"/>
    </row>
    <row r="6" spans="1:17" ht="15.75" thickBot="1">
      <c r="B6" s="34" t="s">
        <v>1</v>
      </c>
      <c r="C6" s="25"/>
      <c r="D6" s="35">
        <f t="shared" si="0"/>
        <v>0</v>
      </c>
      <c r="E6" s="59">
        <f t="shared" si="1"/>
        <v>0</v>
      </c>
      <c r="F6" s="60">
        <f t="shared" si="2"/>
        <v>18604</v>
      </c>
      <c r="G6" s="61" t="str">
        <f t="shared" si="3"/>
        <v/>
      </c>
      <c r="H6" s="62" t="str">
        <f t="shared" si="3"/>
        <v/>
      </c>
      <c r="I6" s="63"/>
      <c r="J6" s="198" t="s">
        <v>21</v>
      </c>
      <c r="K6" s="198"/>
      <c r="L6" s="198"/>
      <c r="M6" s="198"/>
      <c r="N6" s="198"/>
      <c r="O6" s="198"/>
      <c r="P6" s="74"/>
    </row>
    <row r="7" spans="1:17" ht="15.75" customHeight="1" thickBot="1">
      <c r="B7" s="34" t="s">
        <v>10</v>
      </c>
      <c r="C7" s="25"/>
      <c r="D7" s="35">
        <f t="shared" si="0"/>
        <v>0</v>
      </c>
      <c r="E7" s="59">
        <f t="shared" si="1"/>
        <v>0</v>
      </c>
      <c r="F7" s="60">
        <f t="shared" si="2"/>
        <v>11162</v>
      </c>
      <c r="G7" s="61" t="str">
        <f t="shared" si="3"/>
        <v/>
      </c>
      <c r="H7" s="62" t="str">
        <f t="shared" si="3"/>
        <v/>
      </c>
      <c r="I7" s="63"/>
      <c r="J7" s="198"/>
      <c r="K7" s="198"/>
      <c r="L7" s="198"/>
      <c r="M7" s="198"/>
      <c r="N7" s="198"/>
      <c r="O7" s="198"/>
      <c r="P7" s="74"/>
    </row>
    <row r="8" spans="1:17" ht="15.75" customHeight="1" thickTop="1" thickBot="1">
      <c r="B8" s="34" t="s">
        <v>11</v>
      </c>
      <c r="C8" s="25"/>
      <c r="D8" s="35">
        <f t="shared" si="0"/>
        <v>0</v>
      </c>
      <c r="E8" s="59">
        <f t="shared" si="1"/>
        <v>0</v>
      </c>
      <c r="F8" s="60">
        <f t="shared" si="2"/>
        <v>11110</v>
      </c>
      <c r="G8" s="61" t="str">
        <f t="shared" si="3"/>
        <v/>
      </c>
      <c r="H8" s="62" t="str">
        <f t="shared" si="3"/>
        <v/>
      </c>
      <c r="I8" s="63"/>
      <c r="J8" s="189" t="s">
        <v>22</v>
      </c>
      <c r="K8" s="199"/>
      <c r="L8" s="92">
        <v>1</v>
      </c>
      <c r="M8" s="92">
        <v>1.3</v>
      </c>
      <c r="N8" s="92">
        <v>1.7</v>
      </c>
      <c r="O8" s="64"/>
      <c r="P8" s="74"/>
    </row>
    <row r="9" spans="1:17" ht="16.5" thickTop="1" thickBot="1">
      <c r="B9" s="34" t="s">
        <v>2</v>
      </c>
      <c r="C9" s="25"/>
      <c r="D9" s="35">
        <f t="shared" si="0"/>
        <v>0</v>
      </c>
      <c r="E9" s="59">
        <f t="shared" si="1"/>
        <v>0</v>
      </c>
      <c r="F9" s="60">
        <f t="shared" si="2"/>
        <v>7973</v>
      </c>
      <c r="G9" s="61" t="str">
        <f t="shared" si="3"/>
        <v/>
      </c>
      <c r="H9" s="62" t="str">
        <f t="shared" si="3"/>
        <v/>
      </c>
      <c r="I9" s="63"/>
      <c r="J9" s="189" t="s">
        <v>23</v>
      </c>
      <c r="K9" s="199"/>
      <c r="L9" s="200">
        <v>2000000000</v>
      </c>
      <c r="M9" s="201"/>
      <c r="N9" s="202"/>
      <c r="O9" s="64"/>
      <c r="P9" s="74"/>
    </row>
    <row r="10" spans="1:17" ht="15.75" thickBot="1">
      <c r="B10" s="34" t="s">
        <v>12</v>
      </c>
      <c r="C10" s="25"/>
      <c r="D10" s="35">
        <f t="shared" si="0"/>
        <v>0</v>
      </c>
      <c r="E10" s="59">
        <f t="shared" si="1"/>
        <v>0</v>
      </c>
      <c r="F10" s="60">
        <f t="shared" si="2"/>
        <v>100</v>
      </c>
      <c r="G10" s="61" t="str">
        <f t="shared" si="3"/>
        <v/>
      </c>
      <c r="H10" s="62" t="str">
        <f t="shared" si="3"/>
        <v/>
      </c>
      <c r="I10" s="63"/>
      <c r="J10" s="189" t="s">
        <v>26</v>
      </c>
      <c r="K10" s="190"/>
      <c r="L10" s="191">
        <v>0.6</v>
      </c>
      <c r="M10" s="192"/>
      <c r="N10" s="193"/>
      <c r="O10" s="93"/>
      <c r="P10" s="74"/>
    </row>
    <row r="11" spans="1:17" ht="15.75" thickBot="1">
      <c r="B11" s="37" t="s">
        <v>3</v>
      </c>
      <c r="C11" s="24"/>
      <c r="D11" s="35">
        <f t="shared" si="0"/>
        <v>0</v>
      </c>
      <c r="E11" s="59">
        <f t="shared" si="1"/>
        <v>0</v>
      </c>
      <c r="F11" s="60">
        <f t="shared" si="2"/>
        <v>260866</v>
      </c>
      <c r="G11" s="61" t="str">
        <f t="shared" si="3"/>
        <v/>
      </c>
      <c r="H11" s="62" t="str">
        <f t="shared" si="3"/>
        <v/>
      </c>
      <c r="I11" s="63"/>
      <c r="J11" s="189" t="s">
        <v>31</v>
      </c>
      <c r="K11" s="190"/>
      <c r="L11" s="191">
        <v>0.5</v>
      </c>
      <c r="M11" s="192"/>
      <c r="N11" s="193"/>
      <c r="O11" s="74"/>
      <c r="P11" s="74"/>
    </row>
    <row r="12" spans="1:17" ht="15.75" thickBot="1">
      <c r="B12" s="37" t="s">
        <v>4</v>
      </c>
      <c r="C12" s="24"/>
      <c r="D12" s="35">
        <f t="shared" si="0"/>
        <v>0</v>
      </c>
      <c r="E12" s="59">
        <f t="shared" si="1"/>
        <v>0</v>
      </c>
      <c r="F12" s="60">
        <f t="shared" si="2"/>
        <v>86955</v>
      </c>
      <c r="G12" s="61" t="str">
        <f t="shared" si="3"/>
        <v/>
      </c>
      <c r="H12" s="62" t="str">
        <f t="shared" si="3"/>
        <v/>
      </c>
      <c r="I12" s="63"/>
      <c r="J12" s="194" t="str">
        <f>CONCATENATE("Techologie vaisseaux :  ","Lvl max: ",$E$18," | "," Restant à répartir: ",$G$20)</f>
        <v>Techologie vaisseaux :  Lvl max: 16 |  Restant à répartir: 15</v>
      </c>
      <c r="K12" s="194"/>
      <c r="L12" s="194"/>
      <c r="M12" s="194"/>
      <c r="N12" s="194"/>
      <c r="O12" s="194"/>
      <c r="P12" s="74"/>
    </row>
    <row r="13" spans="1:17" ht="15.75" customHeight="1" thickBot="1">
      <c r="B13" s="37" t="s">
        <v>5</v>
      </c>
      <c r="C13" s="24"/>
      <c r="D13" s="35">
        <f t="shared" si="0"/>
        <v>0</v>
      </c>
      <c r="E13" s="59">
        <f t="shared" si="1"/>
        <v>0</v>
      </c>
      <c r="F13" s="60">
        <f t="shared" si="2"/>
        <v>22641</v>
      </c>
      <c r="G13" s="61" t="str">
        <f t="shared" si="3"/>
        <v/>
      </c>
      <c r="H13" s="62" t="str">
        <f t="shared" si="3"/>
        <v/>
      </c>
      <c r="I13" s="63"/>
      <c r="J13" s="183" t="s">
        <v>27</v>
      </c>
      <c r="K13" s="184"/>
      <c r="L13" s="184"/>
      <c r="M13" s="184"/>
      <c r="N13" s="184"/>
      <c r="O13" s="185"/>
      <c r="P13" s="94"/>
    </row>
    <row r="14" spans="1:17" ht="15.75" customHeight="1" thickBot="1">
      <c r="B14" s="37" t="s">
        <v>7</v>
      </c>
      <c r="C14" s="24"/>
      <c r="D14" s="35">
        <f t="shared" si="0"/>
        <v>0</v>
      </c>
      <c r="E14" s="59">
        <f t="shared" si="1"/>
        <v>0</v>
      </c>
      <c r="F14" s="60">
        <f t="shared" si="2"/>
        <v>923067</v>
      </c>
      <c r="G14" s="61" t="str">
        <f t="shared" si="3"/>
        <v/>
      </c>
      <c r="H14" s="62" t="str">
        <f t="shared" si="3"/>
        <v/>
      </c>
      <c r="I14" s="63"/>
      <c r="J14" s="178">
        <f>$L$9-D15</f>
        <v>1999978800</v>
      </c>
      <c r="K14" s="179"/>
      <c r="L14" s="179"/>
      <c r="M14" s="179"/>
      <c r="N14" s="179"/>
      <c r="O14" s="180"/>
      <c r="P14" s="94"/>
    </row>
    <row r="15" spans="1:17" ht="15.75" customHeight="1" thickBot="1">
      <c r="B15" s="37" t="s">
        <v>6</v>
      </c>
      <c r="C15" s="24">
        <v>1</v>
      </c>
      <c r="D15" s="35">
        <f t="shared" si="0"/>
        <v>21200</v>
      </c>
      <c r="E15" s="181" t="s">
        <v>34</v>
      </c>
      <c r="F15" s="182"/>
      <c r="G15" s="65">
        <f>SUM(G3:H14)</f>
        <v>40000</v>
      </c>
      <c r="H15" s="66">
        <f>IF(SUM(C3:C15)=0,"",T28)</f>
        <v>0</v>
      </c>
      <c r="I15" s="67"/>
      <c r="J15" s="183" t="s">
        <v>28</v>
      </c>
      <c r="K15" s="184"/>
      <c r="L15" s="184"/>
      <c r="M15" s="184"/>
      <c r="N15" s="184"/>
      <c r="O15" s="185"/>
      <c r="P15" s="94"/>
    </row>
    <row r="16" spans="1:17" ht="16.5" thickBot="1">
      <c r="B16" s="186" t="s">
        <v>16</v>
      </c>
      <c r="C16" s="187"/>
      <c r="D16" s="31">
        <f>SUM(D3:D15)</f>
        <v>107200</v>
      </c>
      <c r="E16" s="52">
        <f>IF(D16&gt;$J$10,0,1)</f>
        <v>1</v>
      </c>
      <c r="F16" s="68" t="s">
        <v>46</v>
      </c>
      <c r="G16" s="68" t="s">
        <v>47</v>
      </c>
      <c r="H16" s="68" t="s">
        <v>48</v>
      </c>
      <c r="I16" s="52"/>
      <c r="J16" s="178">
        <f>$J$14-$D$17</f>
        <v>1999892800</v>
      </c>
      <c r="K16" s="179"/>
      <c r="L16" s="179"/>
      <c r="M16" s="179"/>
      <c r="N16" s="179"/>
      <c r="O16" s="180"/>
      <c r="P16" s="82"/>
    </row>
    <row r="17" spans="1:24" ht="16.5" thickBot="1">
      <c r="B17" s="188" t="s">
        <v>17</v>
      </c>
      <c r="C17" s="188"/>
      <c r="D17" s="9">
        <f>SUM(D3:D15)-D15</f>
        <v>86000</v>
      </c>
      <c r="E17" s="70"/>
      <c r="F17" s="71">
        <v>5</v>
      </c>
      <c r="G17" s="71">
        <v>5</v>
      </c>
      <c r="H17" s="71">
        <v>5</v>
      </c>
      <c r="I17" s="72"/>
      <c r="J17" s="57"/>
      <c r="K17" s="57"/>
      <c r="L17" s="57"/>
      <c r="M17" s="57"/>
      <c r="N17" s="74"/>
      <c r="O17" s="74"/>
      <c r="P17" s="82"/>
      <c r="Q17" s="73"/>
      <c r="R17" s="73"/>
      <c r="S17" s="73"/>
      <c r="T17" s="73"/>
      <c r="U17" s="73"/>
      <c r="V17" s="73"/>
    </row>
    <row r="18" spans="1:24">
      <c r="D18" s="76" t="s">
        <v>49</v>
      </c>
      <c r="E18" s="77">
        <v>16</v>
      </c>
      <c r="F18" s="176" t="str">
        <f>CONCATENATE("Lvl max: ",$E$18," | "," Restant a répartir: ",$G$20)</f>
        <v>Lvl max: 16 |  Restant a répartir: 15</v>
      </c>
      <c r="G18" s="176"/>
      <c r="H18" s="176"/>
      <c r="I18" s="52"/>
      <c r="J18" s="78"/>
      <c r="K18" s="79"/>
      <c r="L18" s="79"/>
      <c r="M18" s="79"/>
      <c r="N18" s="79"/>
      <c r="O18" s="79"/>
      <c r="P18" s="69"/>
      <c r="Q18" s="95"/>
      <c r="R18" s="95"/>
      <c r="S18" s="107" t="str">
        <f>IF(Cdr_C=0,"VRAI","FAUX")</f>
        <v>VRAI</v>
      </c>
      <c r="T18" s="107" t="str">
        <f>IF(Cdr_M=0,"VRAI","FAUX")</f>
        <v>VRAI</v>
      </c>
      <c r="U18" s="109" t="str">
        <f>IF(Cdr_M&gt;Cdr_C,"VRAI","FAUX")</f>
        <v>FAUX</v>
      </c>
      <c r="V18" s="109" t="str">
        <f>IF(Cdr_M&lt;Cdr_C,"VRAI","FAUX")</f>
        <v>FAUX</v>
      </c>
      <c r="W18" s="107" t="str">
        <f>IF(Cdr_M=Cdr_C,"VRAI","FAUX")</f>
        <v>VRAI</v>
      </c>
    </row>
    <row r="19" spans="1:24" ht="15.75">
      <c r="A19" s="74"/>
      <c r="B19" s="80"/>
      <c r="D19" s="76" t="s">
        <v>50</v>
      </c>
      <c r="E19" s="77">
        <f>30</f>
        <v>30</v>
      </c>
      <c r="F19" s="81"/>
      <c r="G19" s="81"/>
      <c r="H19" s="81"/>
      <c r="I19" s="81"/>
      <c r="J19" s="82"/>
      <c r="K19" s="82"/>
      <c r="L19" s="82"/>
      <c r="M19" s="82"/>
      <c r="N19" s="82"/>
      <c r="O19" s="82"/>
      <c r="P19" s="82"/>
      <c r="Q19" s="97"/>
      <c r="R19" s="98"/>
      <c r="S19" s="106" t="s">
        <v>54</v>
      </c>
      <c r="T19" s="106" t="s">
        <v>55</v>
      </c>
      <c r="U19" s="110" t="s">
        <v>56</v>
      </c>
      <c r="V19" s="110" t="s">
        <v>57</v>
      </c>
      <c r="W19" s="106" t="s">
        <v>58</v>
      </c>
    </row>
    <row r="20" spans="1:24">
      <c r="A20" s="74"/>
      <c r="B20" s="73"/>
      <c r="C20" s="83"/>
      <c r="D20" s="76" t="s">
        <v>52</v>
      </c>
      <c r="E20" s="77">
        <v>15</v>
      </c>
      <c r="F20" s="76" t="s">
        <v>51</v>
      </c>
      <c r="G20" s="77">
        <f>$E$19-(F17+G17+H17)</f>
        <v>15</v>
      </c>
      <c r="H20" s="81"/>
      <c r="I20" s="84"/>
      <c r="J20" s="85"/>
      <c r="K20" s="85"/>
      <c r="L20" s="85"/>
      <c r="M20" s="85"/>
      <c r="N20" s="85"/>
      <c r="O20" s="85"/>
      <c r="P20" s="96"/>
      <c r="Q20" s="100" t="s">
        <v>39</v>
      </c>
      <c r="R20" s="101">
        <f>R21+R22</f>
        <v>40000</v>
      </c>
      <c r="S20" s="99"/>
      <c r="T20" s="99"/>
      <c r="U20" s="111"/>
      <c r="V20" s="112"/>
      <c r="W20" s="99"/>
    </row>
    <row r="21" spans="1:24">
      <c r="A21" s="74"/>
      <c r="B21" s="86"/>
      <c r="C21" s="83"/>
      <c r="D21" s="83"/>
      <c r="E21" s="84"/>
      <c r="F21" s="84" t="s">
        <v>25</v>
      </c>
      <c r="G21" s="84"/>
      <c r="H21" s="84"/>
      <c r="I21" s="84"/>
      <c r="J21" s="87" t="s">
        <v>29</v>
      </c>
      <c r="K21" s="87" t="s">
        <v>30</v>
      </c>
      <c r="L21" s="85"/>
      <c r="M21" s="85"/>
      <c r="N21" s="85"/>
      <c r="O21" s="73"/>
      <c r="P21" s="95"/>
      <c r="Q21" s="102" t="s">
        <v>37</v>
      </c>
      <c r="R21" s="103">
        <f>SUM(G3:G14)</f>
        <v>30000</v>
      </c>
      <c r="S21" s="99">
        <f>IF(S18="VRAI",IF(Cdr_M-Cyclo&lt;0,0,Cdr_M-Cyclo),"")</f>
        <v>0</v>
      </c>
      <c r="T21" s="99"/>
      <c r="U21" s="114" t="str">
        <f>IF(U18="VRAI",IF(IF(V21&lt;=0,Cdr_M-(Cyclo-Cdr_C),Cdr_M-R24)&lt;0,0,IF(V21&lt;=0,Cdr_M-(Cyclo-Cdr_C),Cdr_M-R24)),"")</f>
        <v/>
      </c>
      <c r="V21" s="112" t="str">
        <f>IF(V18="VRAI",IF(Cdr_M-R24&lt;0,0,Cdr_M-R24),"")</f>
        <v/>
      </c>
      <c r="W21" s="99">
        <f>IF(W18="VRAI",IF(Cdr_M-(Cyclo/2)&lt;0,0,Cdr_M-(Cyclo/2)),"")</f>
        <v>0</v>
      </c>
    </row>
    <row r="22" spans="1:24">
      <c r="A22" s="74"/>
      <c r="B22" s="88" t="s">
        <v>8</v>
      </c>
      <c r="C22" s="89">
        <v>3000</v>
      </c>
      <c r="D22" s="89">
        <v>1000</v>
      </c>
      <c r="E22" s="89">
        <v>0</v>
      </c>
      <c r="F22" s="89">
        <f t="shared" ref="F22:F34" si="4">C22*$L$8+D22*$M$8+E22*$N$8</f>
        <v>4300</v>
      </c>
      <c r="G22" s="89"/>
      <c r="H22" s="89"/>
      <c r="I22" s="89"/>
      <c r="J22" s="89">
        <f t="shared" ref="J22:K32" si="5">$L$11*$C3*C22</f>
        <v>30000</v>
      </c>
      <c r="K22" s="89">
        <f t="shared" si="5"/>
        <v>10000</v>
      </c>
      <c r="L22" s="89"/>
      <c r="M22" s="89"/>
      <c r="N22" s="73"/>
      <c r="O22" s="73"/>
      <c r="P22" s="95"/>
      <c r="Q22" s="104" t="s">
        <v>36</v>
      </c>
      <c r="R22" s="103">
        <f>SUM(H3:H14)</f>
        <v>10000</v>
      </c>
      <c r="S22" s="99"/>
      <c r="T22" s="99">
        <f>IF(T18="VRAI",IF(Cdr_C-Cyclo&lt;0,0,Cdr_C-Cyclo),"")</f>
        <v>0</v>
      </c>
      <c r="U22" s="114" t="str">
        <f>IF(U18="VRAI",IF(Cdr_C-R24&lt;0,0,Cdr_C-R24),"")</f>
        <v/>
      </c>
      <c r="V22" s="112" t="str">
        <f>IF(V18="VRAI",IF(IF(V21&lt;=0,Cdr_C-(Cyclo-Cdr_M),Cdr_C-R24)&lt;0,0,IF(V21&lt;=0,Cdr_C-(Cyclo-Cdr_M),Cdr_C-R24)),"")</f>
        <v/>
      </c>
      <c r="W22" s="99">
        <f>IF(W18="VRAI",IF(Cdr_C-(Cyclo/2)&lt;0,0,Cdr_C-(Cyclo/2)),"")</f>
        <v>0</v>
      </c>
    </row>
    <row r="23" spans="1:24">
      <c r="A23" s="74"/>
      <c r="B23" s="88" t="s">
        <v>18</v>
      </c>
      <c r="C23" s="89">
        <v>6000</v>
      </c>
      <c r="D23" s="89">
        <v>4000</v>
      </c>
      <c r="E23" s="89">
        <v>0</v>
      </c>
      <c r="F23" s="89">
        <f t="shared" si="4"/>
        <v>11200</v>
      </c>
      <c r="G23" s="89"/>
      <c r="H23" s="89"/>
      <c r="I23" s="89"/>
      <c r="J23" s="89">
        <f t="shared" si="5"/>
        <v>0</v>
      </c>
      <c r="K23" s="89">
        <f t="shared" si="5"/>
        <v>0</v>
      </c>
      <c r="L23" s="89"/>
      <c r="M23" s="89"/>
      <c r="N23" s="73"/>
      <c r="O23" s="73"/>
      <c r="P23" s="95"/>
      <c r="Q23" s="100" t="s">
        <v>38</v>
      </c>
      <c r="R23" s="105">
        <f>$C$15*($C$35/$Q$1)</f>
        <v>20000</v>
      </c>
      <c r="S23" s="99"/>
      <c r="T23" s="99"/>
      <c r="U23" s="113"/>
      <c r="V23" s="112"/>
      <c r="W23" s="99"/>
    </row>
    <row r="24" spans="1:24">
      <c r="A24" s="74"/>
      <c r="B24" s="88" t="s">
        <v>9</v>
      </c>
      <c r="C24" s="89">
        <v>20000</v>
      </c>
      <c r="D24" s="89">
        <v>7000</v>
      </c>
      <c r="E24" s="89">
        <v>2000</v>
      </c>
      <c r="F24" s="89">
        <f t="shared" si="4"/>
        <v>32500</v>
      </c>
      <c r="G24" s="89"/>
      <c r="H24" s="89"/>
      <c r="I24" s="89"/>
      <c r="J24" s="89">
        <f t="shared" si="5"/>
        <v>0</v>
      </c>
      <c r="K24" s="89">
        <f t="shared" si="5"/>
        <v>0</v>
      </c>
      <c r="L24" s="89"/>
      <c r="M24" s="89"/>
      <c r="N24" s="73"/>
      <c r="O24" s="73"/>
      <c r="P24" s="73"/>
      <c r="Q24" s="100" t="s">
        <v>59</v>
      </c>
      <c r="R24" s="108">
        <f>Cyclo/2</f>
        <v>0</v>
      </c>
      <c r="S24" s="72"/>
      <c r="V24" s="73"/>
    </row>
    <row r="25" spans="1:24">
      <c r="A25" s="74"/>
      <c r="B25" s="88" t="s">
        <v>19</v>
      </c>
      <c r="C25" s="89">
        <v>45000</v>
      </c>
      <c r="D25" s="89">
        <v>15000</v>
      </c>
      <c r="E25" s="89">
        <v>0</v>
      </c>
      <c r="F25" s="89">
        <f t="shared" si="4"/>
        <v>64500</v>
      </c>
      <c r="G25" s="89"/>
      <c r="H25" s="89"/>
      <c r="I25" s="89"/>
      <c r="J25" s="89">
        <f t="shared" si="5"/>
        <v>0</v>
      </c>
      <c r="K25" s="89">
        <f t="shared" si="5"/>
        <v>0</v>
      </c>
      <c r="L25" s="89"/>
      <c r="M25" s="89"/>
      <c r="N25" s="73"/>
      <c r="O25" s="73"/>
      <c r="P25" s="73"/>
      <c r="Q25" s="73"/>
      <c r="R25" s="73"/>
      <c r="S25" s="73"/>
      <c r="V25" s="73"/>
    </row>
    <row r="26" spans="1:24">
      <c r="A26" s="74"/>
      <c r="B26" s="88" t="s">
        <v>10</v>
      </c>
      <c r="C26" s="89">
        <v>30000</v>
      </c>
      <c r="D26" s="89">
        <v>40000</v>
      </c>
      <c r="E26" s="89">
        <v>15000</v>
      </c>
      <c r="F26" s="89">
        <f t="shared" si="4"/>
        <v>107500</v>
      </c>
      <c r="G26" s="89"/>
      <c r="H26" s="89"/>
      <c r="I26" s="89"/>
      <c r="J26" s="89">
        <f t="shared" si="5"/>
        <v>0</v>
      </c>
      <c r="K26" s="89">
        <f t="shared" si="5"/>
        <v>0</v>
      </c>
      <c r="L26" s="89"/>
      <c r="M26" s="89"/>
      <c r="N26" s="73"/>
      <c r="O26" s="73"/>
      <c r="P26" s="73"/>
      <c r="Q26" s="100" t="s">
        <v>60</v>
      </c>
      <c r="R26" s="108">
        <f>IF(R20-Cyclo&lt;0,0,R20-Cyclo)</f>
        <v>40000</v>
      </c>
      <c r="S26" s="73"/>
      <c r="T26" s="73"/>
      <c r="U26" s="73"/>
      <c r="V26" s="73"/>
      <c r="X26" s="73"/>
    </row>
    <row r="27" spans="1:24">
      <c r="A27" s="74"/>
      <c r="B27" s="88" t="s">
        <v>11</v>
      </c>
      <c r="C27" s="89">
        <v>50000</v>
      </c>
      <c r="D27" s="89">
        <v>25000</v>
      </c>
      <c r="E27" s="89">
        <v>15000</v>
      </c>
      <c r="F27" s="89">
        <f t="shared" si="4"/>
        <v>108000</v>
      </c>
      <c r="G27" s="89"/>
      <c r="H27" s="89"/>
      <c r="I27" s="89"/>
      <c r="J27" s="89">
        <f t="shared" si="5"/>
        <v>0</v>
      </c>
      <c r="K27" s="89">
        <f t="shared" si="5"/>
        <v>0</v>
      </c>
      <c r="L27" s="89"/>
      <c r="M27" s="89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</row>
    <row r="28" spans="1:24">
      <c r="A28" s="74"/>
      <c r="B28" s="88" t="s">
        <v>20</v>
      </c>
      <c r="C28" s="89">
        <v>60000</v>
      </c>
      <c r="D28" s="89">
        <v>50000</v>
      </c>
      <c r="E28" s="89">
        <v>15000</v>
      </c>
      <c r="F28" s="89">
        <f t="shared" si="4"/>
        <v>150500</v>
      </c>
      <c r="G28" s="89"/>
      <c r="H28" s="89"/>
      <c r="I28" s="89"/>
      <c r="J28" s="89">
        <f t="shared" si="5"/>
        <v>0</v>
      </c>
      <c r="K28" s="89">
        <f t="shared" si="5"/>
        <v>0</v>
      </c>
      <c r="L28" s="89"/>
      <c r="M28" s="89"/>
      <c r="N28" s="73"/>
      <c r="O28" s="73"/>
      <c r="P28" s="73"/>
      <c r="Q28" s="73"/>
      <c r="R28" s="73"/>
      <c r="S28" s="73"/>
      <c r="T28" s="177"/>
      <c r="U28" s="177"/>
      <c r="V28" s="73"/>
      <c r="W28" s="73"/>
      <c r="X28" s="73"/>
    </row>
    <row r="29" spans="1:24">
      <c r="A29" s="74"/>
      <c r="B29" s="88" t="s">
        <v>12</v>
      </c>
      <c r="C29" s="89">
        <v>5000000</v>
      </c>
      <c r="D29" s="89">
        <v>4000000</v>
      </c>
      <c r="E29" s="89">
        <v>1000000</v>
      </c>
      <c r="F29" s="89">
        <f t="shared" si="4"/>
        <v>11900000</v>
      </c>
      <c r="G29" s="89"/>
      <c r="H29" s="89"/>
      <c r="I29" s="89"/>
      <c r="J29" s="89">
        <f t="shared" si="5"/>
        <v>0</v>
      </c>
      <c r="K29" s="89">
        <f t="shared" si="5"/>
        <v>0</v>
      </c>
      <c r="L29" s="89"/>
      <c r="M29" s="89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</row>
    <row r="30" spans="1:24">
      <c r="A30" s="74"/>
      <c r="B30" s="88" t="s">
        <v>3</v>
      </c>
      <c r="C30" s="89">
        <v>2000</v>
      </c>
      <c r="D30" s="89">
        <v>2000</v>
      </c>
      <c r="E30" s="89">
        <v>0</v>
      </c>
      <c r="F30" s="89">
        <f t="shared" si="4"/>
        <v>4600</v>
      </c>
      <c r="G30" s="89"/>
      <c r="H30" s="89"/>
      <c r="I30" s="89"/>
      <c r="J30" s="89">
        <f t="shared" si="5"/>
        <v>0</v>
      </c>
      <c r="K30" s="89">
        <f t="shared" si="5"/>
        <v>0</v>
      </c>
      <c r="L30" s="89"/>
      <c r="M30" s="89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  <row r="31" spans="1:24">
      <c r="A31" s="74"/>
      <c r="B31" s="88" t="s">
        <v>4</v>
      </c>
      <c r="C31" s="89">
        <v>6000</v>
      </c>
      <c r="D31" s="89">
        <v>6000</v>
      </c>
      <c r="E31" s="89">
        <v>0</v>
      </c>
      <c r="F31" s="89">
        <f t="shared" si="4"/>
        <v>13800</v>
      </c>
      <c r="G31" s="89"/>
      <c r="H31" s="89"/>
      <c r="I31" s="89"/>
      <c r="J31" s="89">
        <f t="shared" si="5"/>
        <v>0</v>
      </c>
      <c r="K31" s="89">
        <f t="shared" si="5"/>
        <v>0</v>
      </c>
      <c r="L31" s="89"/>
      <c r="M31" s="89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24">
      <c r="A32" s="74"/>
      <c r="B32" s="88" t="s">
        <v>5</v>
      </c>
      <c r="C32" s="89">
        <v>10000</v>
      </c>
      <c r="D32" s="89">
        <v>20000</v>
      </c>
      <c r="E32" s="89">
        <v>10000</v>
      </c>
      <c r="F32" s="89">
        <f t="shared" si="4"/>
        <v>53000</v>
      </c>
      <c r="G32" s="89"/>
      <c r="H32" s="89"/>
      <c r="I32" s="89"/>
      <c r="J32" s="89">
        <f t="shared" si="5"/>
        <v>0</v>
      </c>
      <c r="K32" s="89">
        <f t="shared" si="5"/>
        <v>0</v>
      </c>
      <c r="L32" s="89"/>
      <c r="M32" s="89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</row>
    <row r="33" spans="1:24">
      <c r="A33" s="74"/>
      <c r="B33" s="88" t="s">
        <v>7</v>
      </c>
      <c r="C33" s="89">
        <v>0</v>
      </c>
      <c r="D33" s="89">
        <v>1000</v>
      </c>
      <c r="E33" s="89">
        <v>0</v>
      </c>
      <c r="F33" s="89">
        <f t="shared" si="4"/>
        <v>1300</v>
      </c>
      <c r="G33" s="89"/>
      <c r="H33" s="89"/>
      <c r="I33" s="89"/>
      <c r="J33" s="89">
        <f>$L$11*$C15*C33</f>
        <v>0</v>
      </c>
      <c r="K33" s="89">
        <f>$L$11*$C14*D33</f>
        <v>0</v>
      </c>
      <c r="L33" s="89"/>
      <c r="M33" s="89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</row>
    <row r="34" spans="1:24">
      <c r="A34" s="74"/>
      <c r="B34" s="88" t="s">
        <v>6</v>
      </c>
      <c r="C34" s="89">
        <v>10000</v>
      </c>
      <c r="D34" s="89">
        <v>6000</v>
      </c>
      <c r="E34" s="89">
        <v>2000</v>
      </c>
      <c r="F34" s="89">
        <f t="shared" si="4"/>
        <v>21200</v>
      </c>
      <c r="G34" s="89"/>
      <c r="H34" s="89"/>
      <c r="I34" s="89"/>
      <c r="J34" s="89"/>
      <c r="K34" s="89"/>
      <c r="L34" s="89"/>
      <c r="M34" s="89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</row>
    <row r="35" spans="1:24">
      <c r="A35" s="74"/>
      <c r="B35" s="88" t="s">
        <v>33</v>
      </c>
      <c r="C35" s="89">
        <v>20000</v>
      </c>
      <c r="D35" s="73"/>
      <c r="E35" s="73"/>
      <c r="F35" s="73"/>
      <c r="G35" s="89"/>
      <c r="H35" s="89"/>
      <c r="I35" s="89"/>
      <c r="J35" s="89">
        <f>$L$11*$C14*C33</f>
        <v>0</v>
      </c>
      <c r="K35" s="89">
        <f>$L$11*$C14*D33</f>
        <v>0</v>
      </c>
      <c r="L35" s="89"/>
      <c r="M35" s="89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</row>
    <row r="36" spans="1:24">
      <c r="A36" s="74"/>
      <c r="B36" s="73"/>
      <c r="C36" s="83"/>
      <c r="D36" s="83"/>
      <c r="E36" s="84"/>
      <c r="F36" s="84"/>
      <c r="G36" s="84"/>
      <c r="H36" s="84"/>
      <c r="I36" s="84"/>
      <c r="J36" s="89">
        <f>SUM(J22:K35)</f>
        <v>40000</v>
      </c>
      <c r="K36" s="89"/>
      <c r="L36" s="89"/>
      <c r="M36" s="89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</row>
    <row r="37" spans="1:24">
      <c r="A37" s="74"/>
      <c r="B37" s="73"/>
      <c r="C37" s="83"/>
      <c r="D37" s="83"/>
      <c r="E37" s="84"/>
      <c r="F37" s="84"/>
      <c r="G37" s="84"/>
      <c r="H37" s="84"/>
      <c r="I37" s="84"/>
      <c r="J37" s="89"/>
      <c r="K37" s="89"/>
      <c r="L37" s="89"/>
      <c r="M37" s="89"/>
      <c r="N37" s="73"/>
      <c r="O37" s="73"/>
      <c r="P37" s="73"/>
      <c r="Q37" s="73"/>
      <c r="R37" s="73"/>
      <c r="S37" s="73"/>
      <c r="T37" s="73"/>
      <c r="U37" s="73"/>
      <c r="V37" s="73"/>
      <c r="W37" s="73"/>
    </row>
    <row r="38" spans="1:24">
      <c r="A38" s="74"/>
      <c r="B38" s="73"/>
      <c r="C38" s="83"/>
      <c r="D38" s="83"/>
      <c r="E38" s="84"/>
      <c r="F38" s="84"/>
      <c r="G38" s="84"/>
      <c r="H38" s="84"/>
      <c r="I38" s="84"/>
      <c r="J38" s="89"/>
      <c r="K38" s="89"/>
      <c r="L38" s="89"/>
      <c r="M38" s="89"/>
      <c r="N38" s="73"/>
      <c r="O38" s="73"/>
      <c r="P38" s="73"/>
      <c r="Q38" s="73"/>
      <c r="R38" s="73"/>
      <c r="S38" s="73"/>
      <c r="T38" s="73"/>
      <c r="U38" s="73"/>
      <c r="V38" s="73"/>
      <c r="W38" s="73"/>
    </row>
    <row r="39" spans="1:24">
      <c r="B39" s="73"/>
      <c r="C39" s="83"/>
      <c r="D39" s="83"/>
      <c r="E39" s="84"/>
      <c r="F39" s="84"/>
      <c r="G39" s="84"/>
      <c r="H39" s="84"/>
      <c r="I39" s="84"/>
      <c r="J39" s="89"/>
      <c r="K39" s="89"/>
      <c r="L39" s="89"/>
      <c r="M39" s="89"/>
      <c r="N39" s="73"/>
      <c r="O39" s="73"/>
      <c r="P39" s="73"/>
      <c r="Q39" s="73"/>
      <c r="R39" s="73"/>
      <c r="S39" s="73"/>
      <c r="T39" s="73"/>
      <c r="U39" s="73"/>
      <c r="V39" s="73"/>
      <c r="W39" s="73"/>
    </row>
    <row r="40" spans="1:24">
      <c r="B40" s="73"/>
      <c r="C40" s="83"/>
      <c r="D40" s="83"/>
      <c r="E40" s="84"/>
      <c r="F40" s="84"/>
      <c r="G40" s="84"/>
      <c r="H40" s="84"/>
      <c r="I40" s="84"/>
      <c r="J40" s="89"/>
      <c r="K40" s="89"/>
      <c r="L40" s="89"/>
      <c r="M40" s="89"/>
      <c r="N40" s="73"/>
      <c r="O40" s="73"/>
      <c r="P40" s="73"/>
      <c r="Q40" s="73"/>
      <c r="R40" s="73"/>
      <c r="S40" s="73"/>
      <c r="T40" s="73"/>
      <c r="U40" s="73"/>
      <c r="V40" s="73"/>
      <c r="W40" s="73"/>
    </row>
    <row r="41" spans="1:24">
      <c r="B41" s="73"/>
      <c r="C41" s="83"/>
      <c r="D41" s="83"/>
      <c r="E41" s="84"/>
      <c r="F41" s="84"/>
      <c r="G41" s="84"/>
      <c r="H41" s="84"/>
      <c r="I41" s="84"/>
      <c r="J41" s="89"/>
      <c r="K41" s="89"/>
      <c r="L41" s="89"/>
      <c r="M41" s="89"/>
      <c r="N41" s="73"/>
      <c r="O41" s="73"/>
      <c r="P41" s="73"/>
      <c r="Q41" s="73"/>
      <c r="R41" s="73"/>
      <c r="S41" s="73"/>
      <c r="T41" s="73"/>
      <c r="U41" s="73"/>
      <c r="V41" s="73"/>
      <c r="W41" s="73"/>
    </row>
    <row r="42" spans="1:24">
      <c r="B42" s="73"/>
      <c r="C42" s="83"/>
      <c r="D42" s="83"/>
      <c r="E42" s="84"/>
      <c r="F42" s="84"/>
      <c r="G42" s="84"/>
      <c r="H42" s="84"/>
      <c r="I42" s="84"/>
      <c r="J42" s="89"/>
      <c r="K42" s="89"/>
      <c r="L42" s="89"/>
      <c r="M42" s="89"/>
      <c r="N42" s="73"/>
      <c r="O42" s="73"/>
      <c r="P42" s="73"/>
      <c r="Q42" s="73"/>
      <c r="R42" s="73"/>
      <c r="S42" s="73"/>
      <c r="T42" s="73"/>
      <c r="U42" s="73"/>
      <c r="V42" s="73"/>
      <c r="W42" s="73"/>
    </row>
  </sheetData>
  <sheetProtection password="C400" sheet="1" objects="1" scenarios="1" selectLockedCells="1" selectUnlockedCells="1"/>
  <mergeCells count="20">
    <mergeCell ref="A1:O1"/>
    <mergeCell ref="J4:O5"/>
    <mergeCell ref="J6:O7"/>
    <mergeCell ref="J8:K8"/>
    <mergeCell ref="J9:K9"/>
    <mergeCell ref="L9:N9"/>
    <mergeCell ref="B16:C16"/>
    <mergeCell ref="J16:O16"/>
    <mergeCell ref="B17:C17"/>
    <mergeCell ref="J10:K10"/>
    <mergeCell ref="L10:N10"/>
    <mergeCell ref="J11:K11"/>
    <mergeCell ref="L11:N11"/>
    <mergeCell ref="J12:O12"/>
    <mergeCell ref="J13:O13"/>
    <mergeCell ref="F18:H18"/>
    <mergeCell ref="T28:U28"/>
    <mergeCell ref="J14:O14"/>
    <mergeCell ref="E15:F15"/>
    <mergeCell ref="J15:O15"/>
  </mergeCells>
  <conditionalFormatting sqref="J4">
    <cfRule type="containsText" dxfId="1" priority="2" operator="containsText" text="COMPO VALIDE">
      <formula>NOT(ISERROR(SEARCH("COMPO VALIDE",J4)))</formula>
    </cfRule>
  </conditionalFormatting>
  <conditionalFormatting sqref="J4">
    <cfRule type="containsText" dxfId="0" priority="1" operator="containsText" text="COMPO INVALIDE">
      <formula>NOT(ISERROR(SEARCH("COMPO INVALIDE",J4)))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Calculateur V3</vt:lpstr>
      <vt:lpstr>Calculateur V3 (2)</vt:lpstr>
      <vt:lpstr>Cdr_C</vt:lpstr>
      <vt:lpstr>Cdr_M</vt:lpstr>
      <vt:lpstr>Cyclo</vt:lpstr>
    </vt:vector>
  </TitlesOfParts>
  <Company>CLIT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durden</dc:creator>
  <cp:lastModifiedBy>K4lt3n</cp:lastModifiedBy>
  <dcterms:created xsi:type="dcterms:W3CDTF">2013-02-09T11:19:18Z</dcterms:created>
  <dcterms:modified xsi:type="dcterms:W3CDTF">2014-05-21T21:17:10Z</dcterms:modified>
</cp:coreProperties>
</file>