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4055" windowHeight="4620" tabRatio="659"/>
  </bookViews>
  <sheets>
    <sheet name="Attaque" sheetId="1" r:id="rId1"/>
    <sheet name="Defence" sheetId="2" r:id="rId2"/>
    <sheet name="Caserne" sheetId="3" r:id="rId3"/>
    <sheet name="Rapport de combat (RIP)" sheetId="4" r:id="rId4"/>
    <sheet name="Prix Flotte_Caserne_Def" sheetId="5" r:id="rId5"/>
    <sheet name="Ferailleur+Convertisseur" sheetId="6" r:id="rId6"/>
    <sheet name="Batiement" sheetId="7" r:id="rId7"/>
  </sheets>
  <calcPr calcId="124519"/>
</workbook>
</file>

<file path=xl/calcChain.xml><?xml version="1.0" encoding="utf-8"?>
<calcChain xmlns="http://schemas.openxmlformats.org/spreadsheetml/2006/main">
  <c r="K30" i="5"/>
  <c r="J30"/>
  <c r="M25" i="6"/>
  <c r="I47" i="3"/>
  <c r="F34" i="6"/>
  <c r="F33"/>
  <c r="F35"/>
  <c r="E34"/>
  <c r="G33"/>
  <c r="E35"/>
  <c r="D39" s="1"/>
  <c r="E33"/>
  <c r="G35"/>
  <c r="G34"/>
  <c r="E39" i="1"/>
  <c r="G124" i="5"/>
  <c r="G123"/>
  <c r="G122"/>
  <c r="G121"/>
  <c r="E20"/>
  <c r="E43"/>
  <c r="D43"/>
  <c r="C43"/>
  <c r="E19"/>
  <c r="F43" s="1"/>
  <c r="F26" i="6"/>
  <c r="E26"/>
  <c r="D26"/>
  <c r="C26"/>
  <c r="E9"/>
  <c r="E10"/>
  <c r="E11"/>
  <c r="E12"/>
  <c r="E13"/>
  <c r="E14"/>
  <c r="E15"/>
  <c r="E16"/>
  <c r="E17"/>
  <c r="E18"/>
  <c r="E19"/>
  <c r="E20"/>
  <c r="E21"/>
  <c r="E22"/>
  <c r="D9"/>
  <c r="D10"/>
  <c r="D11"/>
  <c r="D12"/>
  <c r="D13"/>
  <c r="D14"/>
  <c r="D15"/>
  <c r="D16"/>
  <c r="D17"/>
  <c r="D18"/>
  <c r="D19"/>
  <c r="D20"/>
  <c r="D21"/>
  <c r="D22"/>
  <c r="C9"/>
  <c r="C10"/>
  <c r="C11"/>
  <c r="C12"/>
  <c r="C13"/>
  <c r="C14"/>
  <c r="C15"/>
  <c r="C16"/>
  <c r="C17"/>
  <c r="C18"/>
  <c r="C19"/>
  <c r="C20"/>
  <c r="C21"/>
  <c r="C22"/>
  <c r="E8"/>
  <c r="D8"/>
  <c r="C8"/>
  <c r="M24"/>
  <c r="M23"/>
  <c r="M22"/>
  <c r="M21"/>
  <c r="M20"/>
  <c r="M19"/>
  <c r="M18"/>
  <c r="M17"/>
  <c r="M16"/>
  <c r="M15"/>
  <c r="M14"/>
  <c r="M13"/>
  <c r="M12"/>
  <c r="M11"/>
  <c r="M10"/>
  <c r="J77" i="3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76"/>
  <c r="J47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76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F93" i="5"/>
  <c r="F94"/>
  <c r="F95"/>
  <c r="F96"/>
  <c r="F97"/>
  <c r="F98"/>
  <c r="E93"/>
  <c r="E94"/>
  <c r="E95"/>
  <c r="E96"/>
  <c r="E97"/>
  <c r="E98"/>
  <c r="D93"/>
  <c r="D94"/>
  <c r="D95"/>
  <c r="D96"/>
  <c r="D97"/>
  <c r="D98"/>
  <c r="C93"/>
  <c r="C94"/>
  <c r="C95"/>
  <c r="C96"/>
  <c r="C97"/>
  <c r="C98"/>
  <c r="F92"/>
  <c r="F101" s="1"/>
  <c r="G101" s="1"/>
  <c r="F29"/>
  <c r="E92"/>
  <c r="E101" s="1"/>
  <c r="D92"/>
  <c r="C92"/>
  <c r="X14"/>
  <c r="X13"/>
  <c r="X12"/>
  <c r="X11"/>
  <c r="X10"/>
  <c r="X9"/>
  <c r="X8"/>
  <c r="E42"/>
  <c r="D42"/>
  <c r="C42"/>
  <c r="E11"/>
  <c r="F35" s="1"/>
  <c r="E35"/>
  <c r="D35"/>
  <c r="D61"/>
  <c r="N6"/>
  <c r="I53" s="1"/>
  <c r="N7"/>
  <c r="I54" s="1"/>
  <c r="N8"/>
  <c r="I55" s="1"/>
  <c r="N9"/>
  <c r="I56" s="1"/>
  <c r="N10"/>
  <c r="I57" s="1"/>
  <c r="N11"/>
  <c r="I58" s="1"/>
  <c r="N12"/>
  <c r="I59" s="1"/>
  <c r="N13"/>
  <c r="I60" s="1"/>
  <c r="N14"/>
  <c r="I61" s="1"/>
  <c r="N15"/>
  <c r="I62" s="1"/>
  <c r="N16"/>
  <c r="I63" s="1"/>
  <c r="N17"/>
  <c r="I64" s="1"/>
  <c r="N18"/>
  <c r="I65" s="1"/>
  <c r="N19"/>
  <c r="I66" s="1"/>
  <c r="N20"/>
  <c r="I67" s="1"/>
  <c r="N21"/>
  <c r="I68" s="1"/>
  <c r="N22"/>
  <c r="I69" s="1"/>
  <c r="N23"/>
  <c r="I70" s="1"/>
  <c r="N24"/>
  <c r="I71" s="1"/>
  <c r="N25"/>
  <c r="I72" s="1"/>
  <c r="N26"/>
  <c r="I73" s="1"/>
  <c r="N5"/>
  <c r="I52" s="1"/>
  <c r="M26"/>
  <c r="H73" s="1"/>
  <c r="M25"/>
  <c r="H72" s="1"/>
  <c r="M24"/>
  <c r="H71" s="1"/>
  <c r="M23"/>
  <c r="H70" s="1"/>
  <c r="M22"/>
  <c r="H69" s="1"/>
  <c r="M21"/>
  <c r="H68" s="1"/>
  <c r="M20"/>
  <c r="H67" s="1"/>
  <c r="M19"/>
  <c r="H66" s="1"/>
  <c r="M18"/>
  <c r="H65" s="1"/>
  <c r="M17"/>
  <c r="H64" s="1"/>
  <c r="M16"/>
  <c r="H63" s="1"/>
  <c r="M15"/>
  <c r="H62" s="1"/>
  <c r="M14"/>
  <c r="H61" s="1"/>
  <c r="M13"/>
  <c r="H60" s="1"/>
  <c r="M12"/>
  <c r="H59" s="1"/>
  <c r="M11"/>
  <c r="H58" s="1"/>
  <c r="M10"/>
  <c r="H57" s="1"/>
  <c r="M9"/>
  <c r="H56" s="1"/>
  <c r="M8"/>
  <c r="H55" s="1"/>
  <c r="M7"/>
  <c r="H54" s="1"/>
  <c r="M6"/>
  <c r="H53" s="1"/>
  <c r="M5"/>
  <c r="H52" s="1"/>
  <c r="M20" i="3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19"/>
  <c r="F31" i="5"/>
  <c r="F40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D53"/>
  <c r="D54"/>
  <c r="D55"/>
  <c r="D56"/>
  <c r="D57"/>
  <c r="D58"/>
  <c r="D59"/>
  <c r="D60"/>
  <c r="D62"/>
  <c r="D63"/>
  <c r="D64"/>
  <c r="D65"/>
  <c r="D66"/>
  <c r="D67"/>
  <c r="D68"/>
  <c r="D69"/>
  <c r="D70"/>
  <c r="D71"/>
  <c r="D72"/>
  <c r="D73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G52"/>
  <c r="F52"/>
  <c r="E52"/>
  <c r="D52"/>
  <c r="C52"/>
  <c r="E30"/>
  <c r="E31"/>
  <c r="E32"/>
  <c r="E33"/>
  <c r="E34"/>
  <c r="E36"/>
  <c r="E37"/>
  <c r="E38"/>
  <c r="E39"/>
  <c r="E40"/>
  <c r="E41"/>
  <c r="D30"/>
  <c r="D31"/>
  <c r="D32"/>
  <c r="D33"/>
  <c r="D34"/>
  <c r="D36"/>
  <c r="D37"/>
  <c r="D38"/>
  <c r="D39"/>
  <c r="D40"/>
  <c r="D41"/>
  <c r="C30"/>
  <c r="C31"/>
  <c r="C32"/>
  <c r="C33"/>
  <c r="C34"/>
  <c r="C35"/>
  <c r="C36"/>
  <c r="C37"/>
  <c r="C38"/>
  <c r="C39"/>
  <c r="C40"/>
  <c r="C41"/>
  <c r="E29"/>
  <c r="D29"/>
  <c r="C29"/>
  <c r="E18"/>
  <c r="F42" s="1"/>
  <c r="E17"/>
  <c r="F41" s="1"/>
  <c r="E16"/>
  <c r="E15"/>
  <c r="F39" s="1"/>
  <c r="E14"/>
  <c r="F38" s="1"/>
  <c r="E13"/>
  <c r="F37" s="1"/>
  <c r="E12"/>
  <c r="F36" s="1"/>
  <c r="E10"/>
  <c r="F34" s="1"/>
  <c r="E9"/>
  <c r="F33" s="1"/>
  <c r="E8"/>
  <c r="F32" s="1"/>
  <c r="E7"/>
  <c r="E6"/>
  <c r="F30" s="1"/>
  <c r="E5"/>
  <c r="E77" i="3"/>
  <c r="E78"/>
  <c r="E79"/>
  <c r="E80"/>
  <c r="E81"/>
  <c r="H81" s="1"/>
  <c r="E82"/>
  <c r="H82" s="1"/>
  <c r="E83"/>
  <c r="E84"/>
  <c r="E85"/>
  <c r="E86"/>
  <c r="E87"/>
  <c r="E88"/>
  <c r="E89"/>
  <c r="E90"/>
  <c r="E91"/>
  <c r="E92"/>
  <c r="E93"/>
  <c r="E94"/>
  <c r="E95"/>
  <c r="E96"/>
  <c r="E97"/>
  <c r="E76"/>
  <c r="H76" s="1"/>
  <c r="D77"/>
  <c r="D78"/>
  <c r="D79"/>
  <c r="D80"/>
  <c r="G80" s="1"/>
  <c r="D81"/>
  <c r="G81" s="1"/>
  <c r="D82"/>
  <c r="D83"/>
  <c r="D84"/>
  <c r="G84" s="1"/>
  <c r="D85"/>
  <c r="D86"/>
  <c r="D87"/>
  <c r="D88"/>
  <c r="G88" s="1"/>
  <c r="D89"/>
  <c r="G89" s="1"/>
  <c r="D90"/>
  <c r="D91"/>
  <c r="D92"/>
  <c r="G92" s="1"/>
  <c r="D93"/>
  <c r="D94"/>
  <c r="D95"/>
  <c r="D96"/>
  <c r="G96" s="1"/>
  <c r="D97"/>
  <c r="G97" s="1"/>
  <c r="C77"/>
  <c r="F77" s="1"/>
  <c r="C78"/>
  <c r="C79"/>
  <c r="C80"/>
  <c r="C81"/>
  <c r="F81" s="1"/>
  <c r="C82"/>
  <c r="C83"/>
  <c r="C84"/>
  <c r="C85"/>
  <c r="F85" s="1"/>
  <c r="C86"/>
  <c r="C87"/>
  <c r="C88"/>
  <c r="C89"/>
  <c r="F89" s="1"/>
  <c r="C90"/>
  <c r="C91"/>
  <c r="C92"/>
  <c r="C93"/>
  <c r="F93" s="1"/>
  <c r="C94"/>
  <c r="C95"/>
  <c r="C96"/>
  <c r="C97"/>
  <c r="F97" s="1"/>
  <c r="H77"/>
  <c r="H78"/>
  <c r="H79"/>
  <c r="H80"/>
  <c r="H83"/>
  <c r="H84"/>
  <c r="H85"/>
  <c r="H86"/>
  <c r="H87"/>
  <c r="H88"/>
  <c r="H89"/>
  <c r="H90"/>
  <c r="H91"/>
  <c r="H92"/>
  <c r="H93"/>
  <c r="H94"/>
  <c r="H95"/>
  <c r="H96"/>
  <c r="H97"/>
  <c r="G77"/>
  <c r="G85"/>
  <c r="G93"/>
  <c r="F79"/>
  <c r="F83"/>
  <c r="F87"/>
  <c r="F91"/>
  <c r="F95"/>
  <c r="D76"/>
  <c r="D47"/>
  <c r="C76"/>
  <c r="I12"/>
  <c r="H12"/>
  <c r="G79" s="1"/>
  <c r="G12"/>
  <c r="I10"/>
  <c r="H10"/>
  <c r="G10"/>
  <c r="G64"/>
  <c r="G62"/>
  <c r="G59"/>
  <c r="G58"/>
  <c r="G55"/>
  <c r="G54"/>
  <c r="G51"/>
  <c r="G50"/>
  <c r="F59"/>
  <c r="F58"/>
  <c r="F55"/>
  <c r="F54"/>
  <c r="F51"/>
  <c r="F50"/>
  <c r="F61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D48"/>
  <c r="D49"/>
  <c r="D50"/>
  <c r="D51"/>
  <c r="D52"/>
  <c r="D53"/>
  <c r="D54"/>
  <c r="D55"/>
  <c r="D56"/>
  <c r="D57"/>
  <c r="D58"/>
  <c r="D59"/>
  <c r="D60"/>
  <c r="D61"/>
  <c r="D62"/>
  <c r="D63"/>
  <c r="G63" s="1"/>
  <c r="D64"/>
  <c r="D65"/>
  <c r="D66"/>
  <c r="D67"/>
  <c r="G67" s="1"/>
  <c r="D68"/>
  <c r="G68" s="1"/>
  <c r="C48"/>
  <c r="C49"/>
  <c r="C50"/>
  <c r="C51"/>
  <c r="C52"/>
  <c r="C53"/>
  <c r="C54"/>
  <c r="C55"/>
  <c r="C56"/>
  <c r="C57"/>
  <c r="C58"/>
  <c r="C59"/>
  <c r="C60"/>
  <c r="C61"/>
  <c r="C62"/>
  <c r="C63"/>
  <c r="F63" s="1"/>
  <c r="C64"/>
  <c r="F64" s="1"/>
  <c r="C65"/>
  <c r="F65" s="1"/>
  <c r="C66"/>
  <c r="C67"/>
  <c r="F67" s="1"/>
  <c r="C68"/>
  <c r="E47"/>
  <c r="C47"/>
  <c r="F47" s="1"/>
  <c r="D12"/>
  <c r="H52" s="1"/>
  <c r="C12"/>
  <c r="G65" s="1"/>
  <c r="B12"/>
  <c r="F66" s="1"/>
  <c r="D10"/>
  <c r="C10"/>
  <c r="B10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19"/>
  <c r="K106" i="1"/>
  <c r="K102"/>
  <c r="K103"/>
  <c r="L102" s="1"/>
  <c r="G28" i="4"/>
  <c r="J49"/>
  <c r="J75" s="1"/>
  <c r="J7"/>
  <c r="J23" s="1"/>
  <c r="I7"/>
  <c r="I23" s="1"/>
  <c r="I49" s="1"/>
  <c r="I75" s="1"/>
  <c r="H7"/>
  <c r="H23" s="1"/>
  <c r="H49" s="1"/>
  <c r="H75" s="1"/>
  <c r="J5"/>
  <c r="I5"/>
  <c r="H5"/>
  <c r="D7"/>
  <c r="J14" s="1"/>
  <c r="G19" s="1"/>
  <c r="C7"/>
  <c r="I14" s="1"/>
  <c r="B7"/>
  <c r="H14" s="1"/>
  <c r="H40" s="1"/>
  <c r="H66" s="1"/>
  <c r="D5"/>
  <c r="C5"/>
  <c r="B5"/>
  <c r="K50" i="1"/>
  <c r="J50"/>
  <c r="J49"/>
  <c r="E50"/>
  <c r="D50"/>
  <c r="C50"/>
  <c r="L22"/>
  <c r="H22"/>
  <c r="G22"/>
  <c r="F22"/>
  <c r="K49"/>
  <c r="K48"/>
  <c r="E49"/>
  <c r="D49"/>
  <c r="C49"/>
  <c r="L20"/>
  <c r="L21"/>
  <c r="H20"/>
  <c r="H21"/>
  <c r="G21"/>
  <c r="F21"/>
  <c r="F26"/>
  <c r="G26"/>
  <c r="K26"/>
  <c r="F27"/>
  <c r="G27"/>
  <c r="K27"/>
  <c r="Q34" s="1"/>
  <c r="F28"/>
  <c r="G28"/>
  <c r="K28"/>
  <c r="Q35" s="1"/>
  <c r="F29"/>
  <c r="G29"/>
  <c r="K29"/>
  <c r="F30"/>
  <c r="G30"/>
  <c r="K30"/>
  <c r="F31"/>
  <c r="G31"/>
  <c r="K31"/>
  <c r="Q38" s="1"/>
  <c r="S70"/>
  <c r="S71"/>
  <c r="R70"/>
  <c r="R71"/>
  <c r="Q70"/>
  <c r="Q71"/>
  <c r="P70"/>
  <c r="P71"/>
  <c r="O70"/>
  <c r="O71"/>
  <c r="K47"/>
  <c r="J47"/>
  <c r="K46"/>
  <c r="J46"/>
  <c r="J45"/>
  <c r="E48"/>
  <c r="D48"/>
  <c r="C48"/>
  <c r="E47"/>
  <c r="D47"/>
  <c r="C47"/>
  <c r="E46"/>
  <c r="D46"/>
  <c r="C46"/>
  <c r="J48"/>
  <c r="K45"/>
  <c r="G20"/>
  <c r="F20"/>
  <c r="L44" i="2"/>
  <c r="L45"/>
  <c r="L38"/>
  <c r="L39"/>
  <c r="L40"/>
  <c r="L41"/>
  <c r="L42"/>
  <c r="L43"/>
  <c r="L37"/>
  <c r="G25" i="3"/>
  <c r="F25"/>
  <c r="G24"/>
  <c r="F24"/>
  <c r="G23"/>
  <c r="F23"/>
  <c r="G22"/>
  <c r="F22"/>
  <c r="G21"/>
  <c r="F21"/>
  <c r="G20"/>
  <c r="F20"/>
  <c r="G19"/>
  <c r="F5"/>
  <c r="F4"/>
  <c r="F3"/>
  <c r="B4"/>
  <c r="B3"/>
  <c r="B5" s="1"/>
  <c r="D3" i="2"/>
  <c r="H19" i="1"/>
  <c r="F19"/>
  <c r="G19"/>
  <c r="L19"/>
  <c r="R55" s="1"/>
  <c r="S55" s="1"/>
  <c r="Q55"/>
  <c r="P55"/>
  <c r="O55"/>
  <c r="Q54"/>
  <c r="P54"/>
  <c r="O54"/>
  <c r="L18"/>
  <c r="R54" s="1"/>
  <c r="H18"/>
  <c r="F18"/>
  <c r="G18"/>
  <c r="Q65" i="2"/>
  <c r="P65"/>
  <c r="O65"/>
  <c r="R64"/>
  <c r="Q64"/>
  <c r="P64"/>
  <c r="O64"/>
  <c r="Q63"/>
  <c r="P63"/>
  <c r="O63"/>
  <c r="E63"/>
  <c r="D63"/>
  <c r="C63"/>
  <c r="Q62"/>
  <c r="P62"/>
  <c r="O62"/>
  <c r="E62"/>
  <c r="D62"/>
  <c r="C62"/>
  <c r="R61"/>
  <c r="Q61"/>
  <c r="P61"/>
  <c r="O61"/>
  <c r="K61"/>
  <c r="J61"/>
  <c r="E61"/>
  <c r="D61"/>
  <c r="C61"/>
  <c r="Q60"/>
  <c r="P60"/>
  <c r="O60"/>
  <c r="K60"/>
  <c r="J60"/>
  <c r="E60"/>
  <c r="D60"/>
  <c r="C60"/>
  <c r="G60" s="1"/>
  <c r="R59"/>
  <c r="Q59"/>
  <c r="P59"/>
  <c r="O59"/>
  <c r="K59"/>
  <c r="J59"/>
  <c r="E59"/>
  <c r="D59"/>
  <c r="H59" s="1"/>
  <c r="C59"/>
  <c r="R58"/>
  <c r="Q58"/>
  <c r="P58"/>
  <c r="O58"/>
  <c r="K58"/>
  <c r="J58"/>
  <c r="E58"/>
  <c r="D58"/>
  <c r="C58"/>
  <c r="R57"/>
  <c r="Q57"/>
  <c r="P57"/>
  <c r="O57"/>
  <c r="K57"/>
  <c r="J57"/>
  <c r="E57"/>
  <c r="D57"/>
  <c r="C57"/>
  <c r="K56"/>
  <c r="J56"/>
  <c r="E56"/>
  <c r="D56"/>
  <c r="C56"/>
  <c r="K55"/>
  <c r="J55"/>
  <c r="E55"/>
  <c r="D55"/>
  <c r="C55"/>
  <c r="Q53"/>
  <c r="P53"/>
  <c r="O53"/>
  <c r="R52"/>
  <c r="S52" s="1"/>
  <c r="Q52"/>
  <c r="P52"/>
  <c r="O52"/>
  <c r="R51"/>
  <c r="Q51"/>
  <c r="P51"/>
  <c r="O51"/>
  <c r="R50"/>
  <c r="Q50"/>
  <c r="P50"/>
  <c r="O50"/>
  <c r="Q49"/>
  <c r="P49"/>
  <c r="O49"/>
  <c r="R48"/>
  <c r="Q48"/>
  <c r="P48"/>
  <c r="O48"/>
  <c r="Q47"/>
  <c r="P47"/>
  <c r="O47"/>
  <c r="R46"/>
  <c r="S46" s="1"/>
  <c r="Q46"/>
  <c r="P46"/>
  <c r="O46"/>
  <c r="Q45"/>
  <c r="P45"/>
  <c r="O45"/>
  <c r="K45"/>
  <c r="J45"/>
  <c r="E45"/>
  <c r="D45"/>
  <c r="C45"/>
  <c r="K44"/>
  <c r="J44"/>
  <c r="E44"/>
  <c r="D44"/>
  <c r="C44"/>
  <c r="K43"/>
  <c r="J43"/>
  <c r="E43"/>
  <c r="D43"/>
  <c r="C43"/>
  <c r="K42"/>
  <c r="J42"/>
  <c r="E42"/>
  <c r="D42"/>
  <c r="C42"/>
  <c r="K41"/>
  <c r="J41"/>
  <c r="E41"/>
  <c r="D41"/>
  <c r="C41"/>
  <c r="K40"/>
  <c r="J40"/>
  <c r="E40"/>
  <c r="D40"/>
  <c r="C40"/>
  <c r="K39"/>
  <c r="J39"/>
  <c r="E39"/>
  <c r="D39"/>
  <c r="C39"/>
  <c r="P38"/>
  <c r="O38"/>
  <c r="N38"/>
  <c r="K38"/>
  <c r="J38"/>
  <c r="E38"/>
  <c r="D38"/>
  <c r="C38"/>
  <c r="P37"/>
  <c r="O37"/>
  <c r="N37"/>
  <c r="K37"/>
  <c r="J37"/>
  <c r="E37"/>
  <c r="D37"/>
  <c r="C37"/>
  <c r="P36"/>
  <c r="O36"/>
  <c r="N36"/>
  <c r="P35"/>
  <c r="O35"/>
  <c r="N35"/>
  <c r="P34"/>
  <c r="O34"/>
  <c r="N34"/>
  <c r="P33"/>
  <c r="O33"/>
  <c r="N33"/>
  <c r="P32"/>
  <c r="O32"/>
  <c r="N32"/>
  <c r="P29"/>
  <c r="O29"/>
  <c r="N29"/>
  <c r="K29"/>
  <c r="Q38" s="1"/>
  <c r="G29"/>
  <c r="F29"/>
  <c r="P28"/>
  <c r="O28"/>
  <c r="N28"/>
  <c r="K28"/>
  <c r="Q37" s="1"/>
  <c r="G28"/>
  <c r="F28"/>
  <c r="P27"/>
  <c r="O27"/>
  <c r="N27"/>
  <c r="K27"/>
  <c r="Q36" s="1"/>
  <c r="G27"/>
  <c r="F27"/>
  <c r="P26"/>
  <c r="O26"/>
  <c r="N26"/>
  <c r="K26"/>
  <c r="Q35" s="1"/>
  <c r="G26"/>
  <c r="F26"/>
  <c r="P25"/>
  <c r="O25"/>
  <c r="N25"/>
  <c r="K25"/>
  <c r="Q34" s="1"/>
  <c r="G25"/>
  <c r="F25"/>
  <c r="P24"/>
  <c r="O24"/>
  <c r="N24"/>
  <c r="K24"/>
  <c r="Q33" s="1"/>
  <c r="G24"/>
  <c r="F24"/>
  <c r="P23"/>
  <c r="O23"/>
  <c r="N23"/>
  <c r="K23"/>
  <c r="Q32" s="1"/>
  <c r="G23"/>
  <c r="F23"/>
  <c r="L17"/>
  <c r="R65" s="1"/>
  <c r="H17"/>
  <c r="G17"/>
  <c r="F17"/>
  <c r="L16"/>
  <c r="H16"/>
  <c r="G16"/>
  <c r="F16"/>
  <c r="L15"/>
  <c r="R63" s="1"/>
  <c r="S51" s="1"/>
  <c r="H15"/>
  <c r="G15"/>
  <c r="F15"/>
  <c r="L14"/>
  <c r="R62" s="1"/>
  <c r="S50" s="1"/>
  <c r="H14"/>
  <c r="G14"/>
  <c r="F14"/>
  <c r="L13"/>
  <c r="R49" s="1"/>
  <c r="S49" s="1"/>
  <c r="H13"/>
  <c r="G13"/>
  <c r="F13"/>
  <c r="L12"/>
  <c r="R60" s="1"/>
  <c r="S48" s="1"/>
  <c r="H12"/>
  <c r="G12"/>
  <c r="F12"/>
  <c r="L11"/>
  <c r="R47" s="1"/>
  <c r="S47" s="1"/>
  <c r="H11"/>
  <c r="G11"/>
  <c r="F11"/>
  <c r="L10"/>
  <c r="H10"/>
  <c r="G10"/>
  <c r="F10"/>
  <c r="L9"/>
  <c r="R45" s="1"/>
  <c r="S45" s="1"/>
  <c r="H9"/>
  <c r="G9"/>
  <c r="F9"/>
  <c r="D5"/>
  <c r="S64" s="1"/>
  <c r="C5"/>
  <c r="H62" s="1"/>
  <c r="B5"/>
  <c r="C3"/>
  <c r="B3"/>
  <c r="K61" i="1"/>
  <c r="J61"/>
  <c r="K60"/>
  <c r="J60"/>
  <c r="K59"/>
  <c r="J59"/>
  <c r="K58"/>
  <c r="J58"/>
  <c r="K57"/>
  <c r="J57"/>
  <c r="K56"/>
  <c r="J56"/>
  <c r="K55"/>
  <c r="J55"/>
  <c r="J37"/>
  <c r="K44"/>
  <c r="K43"/>
  <c r="R63"/>
  <c r="Q62"/>
  <c r="Q63"/>
  <c r="Q64"/>
  <c r="Q65"/>
  <c r="Q66"/>
  <c r="Q67"/>
  <c r="Q68"/>
  <c r="Q69"/>
  <c r="Q61"/>
  <c r="P62"/>
  <c r="P63"/>
  <c r="P64"/>
  <c r="P65"/>
  <c r="P66"/>
  <c r="P67"/>
  <c r="P68"/>
  <c r="P69"/>
  <c r="P61"/>
  <c r="O62"/>
  <c r="O63"/>
  <c r="O64"/>
  <c r="O65"/>
  <c r="O66"/>
  <c r="O67"/>
  <c r="O68"/>
  <c r="O69"/>
  <c r="O61"/>
  <c r="R47"/>
  <c r="S47" s="1"/>
  <c r="Q46"/>
  <c r="Q47"/>
  <c r="Q48"/>
  <c r="Q49"/>
  <c r="Q50"/>
  <c r="Q51"/>
  <c r="Q52"/>
  <c r="Q53"/>
  <c r="P46"/>
  <c r="P47"/>
  <c r="P48"/>
  <c r="P49"/>
  <c r="P50"/>
  <c r="P51"/>
  <c r="P52"/>
  <c r="P53"/>
  <c r="O46"/>
  <c r="O47"/>
  <c r="O48"/>
  <c r="O49"/>
  <c r="O50"/>
  <c r="O51"/>
  <c r="O52"/>
  <c r="O53"/>
  <c r="Q45"/>
  <c r="P45"/>
  <c r="O45"/>
  <c r="K37"/>
  <c r="K38"/>
  <c r="J38"/>
  <c r="K39"/>
  <c r="J39"/>
  <c r="K41"/>
  <c r="E60"/>
  <c r="E59"/>
  <c r="E58"/>
  <c r="E57"/>
  <c r="E56"/>
  <c r="E55"/>
  <c r="E61"/>
  <c r="J40"/>
  <c r="K42"/>
  <c r="J42"/>
  <c r="J44"/>
  <c r="J43"/>
  <c r="J41"/>
  <c r="D56"/>
  <c r="D57"/>
  <c r="D58"/>
  <c r="D59"/>
  <c r="D60"/>
  <c r="D61"/>
  <c r="D55"/>
  <c r="C56"/>
  <c r="C57"/>
  <c r="C58"/>
  <c r="C59"/>
  <c r="C60"/>
  <c r="G60" s="1"/>
  <c r="C61"/>
  <c r="C55"/>
  <c r="L10"/>
  <c r="R62" s="1"/>
  <c r="L11"/>
  <c r="L12"/>
  <c r="R48" s="1"/>
  <c r="L13"/>
  <c r="R65" s="1"/>
  <c r="L14"/>
  <c r="R50" s="1"/>
  <c r="L15"/>
  <c r="R51" s="1"/>
  <c r="L16"/>
  <c r="R68" s="1"/>
  <c r="L17"/>
  <c r="R69" s="1"/>
  <c r="L9"/>
  <c r="R45" s="1"/>
  <c r="K40"/>
  <c r="D5"/>
  <c r="S66" s="1"/>
  <c r="C5"/>
  <c r="H50" s="1"/>
  <c r="B5"/>
  <c r="E38"/>
  <c r="E40"/>
  <c r="E41"/>
  <c r="E42"/>
  <c r="E43"/>
  <c r="E44"/>
  <c r="E45"/>
  <c r="D44"/>
  <c r="D45"/>
  <c r="C45"/>
  <c r="E37"/>
  <c r="D38"/>
  <c r="D39"/>
  <c r="D40"/>
  <c r="D41"/>
  <c r="D42"/>
  <c r="D43"/>
  <c r="D37"/>
  <c r="C38"/>
  <c r="C39"/>
  <c r="C40"/>
  <c r="C41"/>
  <c r="C42"/>
  <c r="C43"/>
  <c r="C44"/>
  <c r="C37"/>
  <c r="Q24"/>
  <c r="Q36"/>
  <c r="Q37"/>
  <c r="K25"/>
  <c r="Q23" s="1"/>
  <c r="O36"/>
  <c r="P33"/>
  <c r="P34"/>
  <c r="P35"/>
  <c r="P36"/>
  <c r="P37"/>
  <c r="P38"/>
  <c r="P32"/>
  <c r="O33"/>
  <c r="O34"/>
  <c r="O35"/>
  <c r="O37"/>
  <c r="O38"/>
  <c r="O32"/>
  <c r="N33"/>
  <c r="N34"/>
  <c r="N35"/>
  <c r="N36"/>
  <c r="N37"/>
  <c r="N38"/>
  <c r="N32"/>
  <c r="O25"/>
  <c r="O24"/>
  <c r="N24"/>
  <c r="N27"/>
  <c r="P24"/>
  <c r="P25"/>
  <c r="P26"/>
  <c r="P27"/>
  <c r="P28"/>
  <c r="P29"/>
  <c r="P23"/>
  <c r="N23"/>
  <c r="O26"/>
  <c r="O27"/>
  <c r="O28"/>
  <c r="O29"/>
  <c r="O23"/>
  <c r="N25"/>
  <c r="N26"/>
  <c r="N28"/>
  <c r="N29"/>
  <c r="G25"/>
  <c r="F25"/>
  <c r="G13"/>
  <c r="H10"/>
  <c r="H11"/>
  <c r="H12"/>
  <c r="H13"/>
  <c r="H14"/>
  <c r="H15"/>
  <c r="H16"/>
  <c r="H17"/>
  <c r="H9"/>
  <c r="G10"/>
  <c r="G11"/>
  <c r="G12"/>
  <c r="G14"/>
  <c r="G15"/>
  <c r="G16"/>
  <c r="G17"/>
  <c r="G9"/>
  <c r="F9"/>
  <c r="F10"/>
  <c r="F12"/>
  <c r="F13"/>
  <c r="F14"/>
  <c r="F15"/>
  <c r="F16"/>
  <c r="F17"/>
  <c r="F11"/>
  <c r="B3"/>
  <c r="C3"/>
  <c r="D3"/>
  <c r="F70" i="3" l="1"/>
  <c r="H49"/>
  <c r="H62"/>
  <c r="H54"/>
  <c r="H68"/>
  <c r="H66"/>
  <c r="H57"/>
  <c r="H47"/>
  <c r="H67"/>
  <c r="H70" s="1"/>
  <c r="H63"/>
  <c r="H58"/>
  <c r="H50"/>
  <c r="H61"/>
  <c r="H53"/>
  <c r="G49"/>
  <c r="G48"/>
  <c r="G53"/>
  <c r="G57"/>
  <c r="G61"/>
  <c r="G66"/>
  <c r="G47"/>
  <c r="G70" s="1"/>
  <c r="G52"/>
  <c r="G56"/>
  <c r="G60"/>
  <c r="F68"/>
  <c r="F48"/>
  <c r="F49"/>
  <c r="F53"/>
  <c r="F57"/>
  <c r="F62"/>
  <c r="F52"/>
  <c r="F56"/>
  <c r="F60"/>
  <c r="K56"/>
  <c r="H48"/>
  <c r="H64"/>
  <c r="H59"/>
  <c r="H55"/>
  <c r="H51"/>
  <c r="H65"/>
  <c r="H60"/>
  <c r="H56"/>
  <c r="D40" i="6"/>
  <c r="D41"/>
  <c r="G46" i="1"/>
  <c r="G49"/>
  <c r="G127" i="5"/>
  <c r="D101"/>
  <c r="C101"/>
  <c r="K91" i="3"/>
  <c r="G50" i="1"/>
  <c r="D45" i="5"/>
  <c r="F45"/>
  <c r="D76"/>
  <c r="C76"/>
  <c r="F76"/>
  <c r="G76"/>
  <c r="I76"/>
  <c r="H76"/>
  <c r="E76"/>
  <c r="E45"/>
  <c r="C45"/>
  <c r="F78" i="3"/>
  <c r="G94"/>
  <c r="G90"/>
  <c r="G86"/>
  <c r="G82"/>
  <c r="G78"/>
  <c r="G76"/>
  <c r="G95"/>
  <c r="G91"/>
  <c r="G87"/>
  <c r="G83"/>
  <c r="F96"/>
  <c r="F92"/>
  <c r="F88"/>
  <c r="F84"/>
  <c r="F80"/>
  <c r="F76"/>
  <c r="F94"/>
  <c r="F90"/>
  <c r="F86"/>
  <c r="F82"/>
  <c r="D67" i="1"/>
  <c r="G27" i="4"/>
  <c r="L32" s="1"/>
  <c r="G26"/>
  <c r="G34" s="1"/>
  <c r="J40"/>
  <c r="J66" s="1"/>
  <c r="I40"/>
  <c r="I66" s="1"/>
  <c r="G18"/>
  <c r="L34" s="1"/>
  <c r="G17"/>
  <c r="G32" s="1"/>
  <c r="I45" i="1"/>
  <c r="I50"/>
  <c r="I46"/>
  <c r="I49"/>
  <c r="H47"/>
  <c r="H49"/>
  <c r="C67"/>
  <c r="E67"/>
  <c r="K51"/>
  <c r="J51"/>
  <c r="I47"/>
  <c r="G47"/>
  <c r="D53"/>
  <c r="C53"/>
  <c r="E53"/>
  <c r="I48"/>
  <c r="H48"/>
  <c r="H46"/>
  <c r="G48"/>
  <c r="S54"/>
  <c r="S51"/>
  <c r="R67"/>
  <c r="R66"/>
  <c r="S50" s="1"/>
  <c r="R46"/>
  <c r="S46" s="1"/>
  <c r="R61"/>
  <c r="S45" s="1"/>
  <c r="S48"/>
  <c r="R52"/>
  <c r="S52" s="1"/>
  <c r="G58"/>
  <c r="R53"/>
  <c r="S53" s="1"/>
  <c r="R49"/>
  <c r="S49" s="1"/>
  <c r="R64"/>
  <c r="H41" i="2"/>
  <c r="H45"/>
  <c r="H39"/>
  <c r="H43"/>
  <c r="H60"/>
  <c r="G61"/>
  <c r="G59"/>
  <c r="G55"/>
  <c r="G57"/>
  <c r="L46"/>
  <c r="G45"/>
  <c r="J64"/>
  <c r="E67"/>
  <c r="K64"/>
  <c r="K46"/>
  <c r="D49"/>
  <c r="J46"/>
  <c r="R37"/>
  <c r="I39"/>
  <c r="I43"/>
  <c r="I55"/>
  <c r="I57"/>
  <c r="I59"/>
  <c r="S60"/>
  <c r="I61"/>
  <c r="R32"/>
  <c r="R33"/>
  <c r="R34"/>
  <c r="I38"/>
  <c r="I42"/>
  <c r="S57"/>
  <c r="S61"/>
  <c r="R36"/>
  <c r="I37"/>
  <c r="I41"/>
  <c r="I45"/>
  <c r="I56"/>
  <c r="I58"/>
  <c r="I60"/>
  <c r="I62"/>
  <c r="S62"/>
  <c r="I63"/>
  <c r="S63"/>
  <c r="S65"/>
  <c r="R38"/>
  <c r="I40"/>
  <c r="I44"/>
  <c r="S58"/>
  <c r="H40"/>
  <c r="H44"/>
  <c r="H56"/>
  <c r="H63"/>
  <c r="H42"/>
  <c r="H55"/>
  <c r="H57"/>
  <c r="H61"/>
  <c r="G37"/>
  <c r="G40"/>
  <c r="G42"/>
  <c r="G44"/>
  <c r="G58"/>
  <c r="G62"/>
  <c r="G56"/>
  <c r="G63"/>
  <c r="G38"/>
  <c r="G39"/>
  <c r="G41"/>
  <c r="G43"/>
  <c r="K64" i="1"/>
  <c r="J64"/>
  <c r="Q23" i="2"/>
  <c r="R23" s="1"/>
  <c r="Q24"/>
  <c r="R24" s="1"/>
  <c r="Q25"/>
  <c r="R25" s="1"/>
  <c r="Q26"/>
  <c r="R26" s="1"/>
  <c r="Q27"/>
  <c r="R27" s="1"/>
  <c r="Q28"/>
  <c r="R28" s="1"/>
  <c r="Q29"/>
  <c r="R29" s="1"/>
  <c r="H38"/>
  <c r="C49"/>
  <c r="H58"/>
  <c r="D67"/>
  <c r="H37"/>
  <c r="C67"/>
  <c r="E49"/>
  <c r="R35"/>
  <c r="R53"/>
  <c r="S53" s="1"/>
  <c r="S59"/>
  <c r="R38" i="1"/>
  <c r="S65"/>
  <c r="R34"/>
  <c r="R33"/>
  <c r="R37"/>
  <c r="R32"/>
  <c r="R36"/>
  <c r="S61"/>
  <c r="R35"/>
  <c r="I55"/>
  <c r="S64"/>
  <c r="S68"/>
  <c r="S63"/>
  <c r="S67"/>
  <c r="S62"/>
  <c r="I59"/>
  <c r="I56"/>
  <c r="I60"/>
  <c r="I43"/>
  <c r="I61"/>
  <c r="I58"/>
  <c r="I57"/>
  <c r="G55"/>
  <c r="G56"/>
  <c r="I39"/>
  <c r="H55"/>
  <c r="H60"/>
  <c r="H56"/>
  <c r="H61"/>
  <c r="H57"/>
  <c r="H58"/>
  <c r="H59"/>
  <c r="G61"/>
  <c r="G57"/>
  <c r="G59"/>
  <c r="I37"/>
  <c r="I41"/>
  <c r="I42"/>
  <c r="I38"/>
  <c r="Q33"/>
  <c r="R24" s="1"/>
  <c r="Q25"/>
  <c r="R25" s="1"/>
  <c r="Q28"/>
  <c r="R28" s="1"/>
  <c r="Q29"/>
  <c r="R29" s="1"/>
  <c r="I44"/>
  <c r="I40"/>
  <c r="Q26"/>
  <c r="R26" s="1"/>
  <c r="Q27"/>
  <c r="R27" s="1"/>
  <c r="Q32"/>
  <c r="R23" s="1"/>
  <c r="H42"/>
  <c r="H41"/>
  <c r="H45"/>
  <c r="H40"/>
  <c r="H44"/>
  <c r="H37"/>
  <c r="H39"/>
  <c r="H43"/>
  <c r="H38"/>
  <c r="G37"/>
  <c r="G39"/>
  <c r="G43"/>
  <c r="G41"/>
  <c r="G40"/>
  <c r="G44"/>
  <c r="G38"/>
  <c r="G45"/>
  <c r="G42"/>
  <c r="G49" i="2" l="1"/>
  <c r="G84" i="5"/>
  <c r="G116"/>
  <c r="H84"/>
  <c r="D84"/>
  <c r="F84"/>
  <c r="F116" s="1"/>
  <c r="C84"/>
  <c r="E84"/>
  <c r="O32" i="4"/>
  <c r="Q32" s="1"/>
  <c r="R32" s="1"/>
  <c r="O34"/>
  <c r="Q34" s="1"/>
  <c r="R34" s="1"/>
  <c r="G42" s="1"/>
  <c r="I67" i="2"/>
  <c r="L63"/>
  <c r="G67"/>
  <c r="I53" i="1"/>
  <c r="G53"/>
  <c r="H53"/>
  <c r="L63"/>
  <c r="H67"/>
  <c r="I67"/>
  <c r="G67"/>
  <c r="J69" i="2"/>
  <c r="H67"/>
  <c r="K69"/>
  <c r="K48"/>
  <c r="I49"/>
  <c r="H49"/>
  <c r="J69" i="1"/>
  <c r="L69" i="2" l="1"/>
  <c r="G44" i="4"/>
  <c r="L60" s="1"/>
  <c r="D30"/>
  <c r="B30"/>
  <c r="C30"/>
  <c r="G51"/>
  <c r="G54" s="1"/>
  <c r="B33"/>
  <c r="C33"/>
  <c r="D33"/>
  <c r="G43"/>
  <c r="G58" s="1"/>
  <c r="I72" i="2"/>
  <c r="G72"/>
  <c r="H72"/>
  <c r="I72" i="1"/>
  <c r="H72"/>
  <c r="G72"/>
  <c r="L52"/>
  <c r="L69" s="1"/>
  <c r="K69"/>
  <c r="G45" i="4" l="1"/>
  <c r="G53"/>
  <c r="L58" s="1"/>
  <c r="O58" s="1"/>
  <c r="Q58" s="1"/>
  <c r="G52"/>
  <c r="G60" s="1"/>
  <c r="O60" s="1"/>
  <c r="Q60" l="1"/>
  <c r="R60" s="1"/>
  <c r="G68" s="1"/>
  <c r="G69" s="1"/>
  <c r="G84" s="1"/>
  <c r="L61"/>
  <c r="R58"/>
  <c r="G71" l="1"/>
  <c r="C39"/>
  <c r="G70"/>
  <c r="L86" s="1"/>
  <c r="B39"/>
  <c r="D39"/>
  <c r="G77"/>
  <c r="G80" s="1"/>
  <c r="D42"/>
  <c r="C42"/>
  <c r="B42"/>
  <c r="G79" l="1"/>
  <c r="L84" s="1"/>
  <c r="O84" s="1"/>
  <c r="Q84" s="1"/>
  <c r="R84" s="1"/>
  <c r="C51" s="1"/>
  <c r="G78"/>
  <c r="G86" s="1"/>
  <c r="O86" s="1"/>
  <c r="Q86" s="1"/>
  <c r="R86" s="1"/>
  <c r="C86" l="1"/>
  <c r="B86"/>
  <c r="D51"/>
  <c r="B51"/>
  <c r="D48"/>
  <c r="C48"/>
  <c r="B48"/>
  <c r="C79" l="1"/>
  <c r="B88"/>
  <c r="C76"/>
  <c r="C77"/>
  <c r="C81" l="1"/>
  <c r="C116" i="5"/>
  <c r="D116"/>
  <c r="E116"/>
  <c r="H116"/>
</calcChain>
</file>

<file path=xl/comments1.xml><?xml version="1.0" encoding="utf-8"?>
<comments xmlns="http://schemas.openxmlformats.org/spreadsheetml/2006/main">
  <authors>
    <author>Rémi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Rémi: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<sst xmlns="http://schemas.openxmlformats.org/spreadsheetml/2006/main" count="958" uniqueCount="194">
  <si>
    <t>Tehnologie</t>
  </si>
  <si>
    <t>Armes</t>
  </si>
  <si>
    <t>Bouclier</t>
  </si>
  <si>
    <t>Niveaux</t>
  </si>
  <si>
    <t>Protection</t>
  </si>
  <si>
    <t>Pourcentage(%)</t>
  </si>
  <si>
    <t>Niveaux de l'Amiral</t>
  </si>
  <si>
    <t>Pourcentage totale (%)</t>
  </si>
  <si>
    <t>A remplir</t>
  </si>
  <si>
    <t>Chasseur Léger</t>
  </si>
  <si>
    <t>Vaisseaux</t>
  </si>
  <si>
    <t>Chasseur Lourd</t>
  </si>
  <si>
    <t>Croiseur</t>
  </si>
  <si>
    <t>Vaisseau de bataille</t>
  </si>
  <si>
    <t>Bombardier</t>
  </si>
  <si>
    <t>Destructeur</t>
  </si>
  <si>
    <t>RIP</t>
  </si>
  <si>
    <t>Traqeur</t>
  </si>
  <si>
    <t>AX-21</t>
  </si>
  <si>
    <t>Blindage</t>
  </si>
  <si>
    <t>Frêt</t>
  </si>
  <si>
    <t>Cout d'une unité d'arme</t>
  </si>
  <si>
    <t>Cout d'une unité de bouclier</t>
  </si>
  <si>
    <t>Cout d'une unité de frêt</t>
  </si>
  <si>
    <t>lanceur de missiles</t>
  </si>
  <si>
    <t>Défense</t>
  </si>
  <si>
    <t>Artillerie laser légère</t>
  </si>
  <si>
    <t>Artillerie laser lourde</t>
  </si>
  <si>
    <t>Canon de Gauss</t>
  </si>
  <si>
    <t>Artillerie à ions</t>
  </si>
  <si>
    <t>Lanceur de plasma</t>
  </si>
  <si>
    <t>AG-3 Satellite</t>
  </si>
  <si>
    <t>Cout métal</t>
  </si>
  <si>
    <t>Cout cristal</t>
  </si>
  <si>
    <t>Cout deut</t>
  </si>
  <si>
    <t>Cout d'une unité d'arme en métal</t>
  </si>
  <si>
    <t>Cout d'une unité d'arme en cristal</t>
  </si>
  <si>
    <t>Cout d'une unité d'arme en deut</t>
  </si>
  <si>
    <t>Cout d'une unité de bouclier en métal</t>
  </si>
  <si>
    <t>Cout d'une unité de bouclier en cristal</t>
  </si>
  <si>
    <t>Cout d'une unité de bouclier en deut</t>
  </si>
  <si>
    <t>Cout réel pour 1d'arme</t>
  </si>
  <si>
    <t>Cout réel pour 1de bouclier</t>
  </si>
  <si>
    <t>Calcul de caracteristiques</t>
  </si>
  <si>
    <t>Flotte</t>
  </si>
  <si>
    <t>Structure</t>
  </si>
  <si>
    <t>Bouclier avec Techno</t>
  </si>
  <si>
    <t>Blindage avec Techno</t>
  </si>
  <si>
    <t>Armes avec Techno</t>
  </si>
  <si>
    <t>Totaux Armes</t>
  </si>
  <si>
    <t>Totaux Bouclier</t>
  </si>
  <si>
    <t>Totaux Blindage</t>
  </si>
  <si>
    <t>Sans Techno</t>
  </si>
  <si>
    <t>Avec Techno</t>
  </si>
  <si>
    <t>Taux CDD(%) Flotte</t>
  </si>
  <si>
    <t>Taux CDD(%) Déf</t>
  </si>
  <si>
    <t>Tableaux de données</t>
  </si>
  <si>
    <t>CDD Métal</t>
  </si>
  <si>
    <t>CDD Cristal</t>
  </si>
  <si>
    <t>Cout réel avec proportion 1/4 métal, 1/2 cristal, 1 deut</t>
  </si>
  <si>
    <t>Totaux Flottes + Def</t>
  </si>
  <si>
    <t>Recyclo</t>
  </si>
  <si>
    <t>Cout reel arme+bouclier</t>
  </si>
  <si>
    <t>Blindage pour un vaisseaux avc  techno</t>
  </si>
  <si>
    <t>Blindage pour une defense avc  techno</t>
  </si>
  <si>
    <t>Butin recyclage de flottes + recyclage Def</t>
  </si>
  <si>
    <t>Recyclo total</t>
  </si>
  <si>
    <t>X-303</t>
  </si>
  <si>
    <t>Dryade</t>
  </si>
  <si>
    <t>Légende</t>
  </si>
  <si>
    <t>…...Pire Valeur……</t>
  </si>
  <si>
    <t>…...Troisieme Meilleur…...</t>
  </si>
  <si>
    <t>.….Deuxieme Meilleur…..</t>
  </si>
  <si>
    <t>.…Meilleur Valeur….</t>
  </si>
  <si>
    <t>....A remplir....</t>
  </si>
  <si>
    <t>Epsy</t>
  </si>
  <si>
    <t>nb</t>
  </si>
  <si>
    <t>gain metal</t>
  </si>
  <si>
    <t>gain cristal</t>
  </si>
  <si>
    <t>Prix epsy</t>
  </si>
  <si>
    <t>Métal</t>
  </si>
  <si>
    <t>Cristal</t>
  </si>
  <si>
    <t>Deut</t>
  </si>
  <si>
    <t>gain réel</t>
  </si>
  <si>
    <t>Base de donées Troupes</t>
  </si>
  <si>
    <t>Fret</t>
  </si>
  <si>
    <t>&lt;</t>
  </si>
  <si>
    <t>T-315</t>
  </si>
  <si>
    <t>R</t>
  </si>
  <si>
    <t>Attaquant</t>
  </si>
  <si>
    <t>Défenseur</t>
  </si>
  <si>
    <t xml:space="preserve">Type de vaisseaux </t>
  </si>
  <si>
    <t>Nb</t>
  </si>
  <si>
    <t xml:space="preserve">Armes </t>
  </si>
  <si>
    <t>La flotte attaquante tire</t>
  </si>
  <si>
    <t xml:space="preserve"> sur le defenseur. La protection du defenseur absorbe</t>
  </si>
  <si>
    <t xml:space="preserve"> dégâts.</t>
  </si>
  <si>
    <t xml:space="preserve">La flotte qui défend tire </t>
  </si>
  <si>
    <t>=</t>
  </si>
  <si>
    <t>sur la flotte de l'attaquant. Les boucliers de l'attaquant absorbent</t>
  </si>
  <si>
    <t>dégâts.</t>
  </si>
  <si>
    <t>Degâts Réel sur Attaquant</t>
  </si>
  <si>
    <t>Degâts Réel sur Def</t>
  </si>
  <si>
    <t>Blindage restant sur Def</t>
  </si>
  <si>
    <t>Rip Restante sur Def</t>
  </si>
  <si>
    <t>Blindage restant sur Atta</t>
  </si>
  <si>
    <t>Rip Restante sur Atta</t>
  </si>
  <si>
    <t>ROUND 2</t>
  </si>
  <si>
    <t>ROUND 3</t>
  </si>
  <si>
    <t>Perte attaquant</t>
  </si>
  <si>
    <t>Perte Defenseur</t>
  </si>
  <si>
    <t>Metal</t>
  </si>
  <si>
    <t>ROUND 1</t>
  </si>
  <si>
    <t>Point perdu (attaquant)</t>
  </si>
  <si>
    <t>Point perdu (defenceur)</t>
  </si>
  <si>
    <t>Point gagner (recyclage)</t>
  </si>
  <si>
    <t>Debris</t>
  </si>
  <si>
    <t>Point gagner (Total)</t>
  </si>
  <si>
    <t>Nombre recylco</t>
  </si>
  <si>
    <t>coup absolu</t>
  </si>
  <si>
    <t>Troupes</t>
  </si>
  <si>
    <t>Bleu</t>
  </si>
  <si>
    <t>Troupe de Bleu</t>
  </si>
  <si>
    <t>Soldat</t>
  </si>
  <si>
    <t>Bataillon de soldat</t>
  </si>
  <si>
    <t>Caporal</t>
  </si>
  <si>
    <t>Sergent</t>
  </si>
  <si>
    <t>Major</t>
  </si>
  <si>
    <t>Lieutenant</t>
  </si>
  <si>
    <t>Capitaine</t>
  </si>
  <si>
    <t>Commandant</t>
  </si>
  <si>
    <t>Pusher</t>
  </si>
  <si>
    <t>Monstrum</t>
  </si>
  <si>
    <t>TX-1,0</t>
  </si>
  <si>
    <t>Voiture mitrailleuse</t>
  </si>
  <si>
    <t>Jeep  mitrailleuse</t>
  </si>
  <si>
    <t>Camion  mitrailleur</t>
  </si>
  <si>
    <t>Tank</t>
  </si>
  <si>
    <t>Tank blindé</t>
  </si>
  <si>
    <t>Tank avancé</t>
  </si>
  <si>
    <t>Rodator</t>
  </si>
  <si>
    <t>Puma</t>
  </si>
  <si>
    <t>Colonnel</t>
  </si>
  <si>
    <t>Cout génome</t>
  </si>
  <si>
    <t>Cout nanotech</t>
  </si>
  <si>
    <t>Cout réel avec proportion 1/4 métal, 1/2 cristal, 1 deut, +g+n</t>
  </si>
  <si>
    <r>
      <t>Tehnologie</t>
    </r>
    <r>
      <rPr>
        <b/>
        <sz val="14"/>
        <color rgb="FF00B0F0"/>
        <rFont val="Calibri"/>
        <family val="2"/>
        <scheme val="minor"/>
      </rPr>
      <t>1</t>
    </r>
  </si>
  <si>
    <r>
      <t>Tehnologie</t>
    </r>
    <r>
      <rPr>
        <b/>
        <sz val="14"/>
        <color rgb="FF002060"/>
        <rFont val="Calibri"/>
        <family val="2"/>
        <scheme val="minor"/>
      </rPr>
      <t>2</t>
    </r>
  </si>
  <si>
    <r>
      <t xml:space="preserve">Calcul de caracteristiques Techno </t>
    </r>
    <r>
      <rPr>
        <b/>
        <sz val="13"/>
        <color rgb="FF00B0F0"/>
        <rFont val="Calibri"/>
        <family val="2"/>
        <scheme val="minor"/>
      </rPr>
      <t>1</t>
    </r>
  </si>
  <si>
    <r>
      <t xml:space="preserve">Calcul de caracteristiques Techno </t>
    </r>
    <r>
      <rPr>
        <b/>
        <sz val="13"/>
        <rFont val="Calibri"/>
        <family val="2"/>
        <scheme val="minor"/>
      </rPr>
      <t>2</t>
    </r>
  </si>
  <si>
    <t>Nombre</t>
  </si>
  <si>
    <t>Base de donées Flottes</t>
  </si>
  <si>
    <t>Prix Flottes</t>
  </si>
  <si>
    <t>Total Métal</t>
  </si>
  <si>
    <t>Total Cristal</t>
  </si>
  <si>
    <t>Total Deut</t>
  </si>
  <si>
    <t>Prix Caserne</t>
  </si>
  <si>
    <t>Cout Génome</t>
  </si>
  <si>
    <t>Cout Nanotech</t>
  </si>
  <si>
    <t>Total Génome</t>
  </si>
  <si>
    <t>Total Nanotech</t>
  </si>
  <si>
    <t>Total(Flotte+Troupe)</t>
  </si>
  <si>
    <t xml:space="preserve">Cout réel </t>
  </si>
  <si>
    <t>Pts</t>
  </si>
  <si>
    <t>Génome+Nano</t>
  </si>
  <si>
    <t>Cout reel</t>
  </si>
  <si>
    <t>Total Pts</t>
  </si>
  <si>
    <t>Base de données Def</t>
  </si>
  <si>
    <t>Prix Def</t>
  </si>
  <si>
    <t>Total(Flotte+Troupe+Def)</t>
  </si>
  <si>
    <t>Ferailleur</t>
  </si>
  <si>
    <t>75% metal</t>
  </si>
  <si>
    <t>75% cristal</t>
  </si>
  <si>
    <t>50% deut</t>
  </si>
  <si>
    <t>GT</t>
  </si>
  <si>
    <t>Totaux</t>
  </si>
  <si>
    <t>Cout réel</t>
  </si>
  <si>
    <t>MT</t>
  </si>
  <si>
    <t>Convertisseur</t>
  </si>
  <si>
    <t>metal</t>
  </si>
  <si>
    <t>cristal</t>
  </si>
  <si>
    <t>deut</t>
  </si>
  <si>
    <t>valeur deut</t>
  </si>
  <si>
    <t>Quantité</t>
  </si>
  <si>
    <t>valeur deut total</t>
  </si>
  <si>
    <t>valeur metal</t>
  </si>
  <si>
    <t>valeur cristal</t>
  </si>
  <si>
    <t>valeur metal total</t>
  </si>
  <si>
    <t>valeur cristal total</t>
  </si>
  <si>
    <t>Mine metal</t>
  </si>
  <si>
    <t>PT</t>
  </si>
  <si>
    <t>NB</t>
  </si>
  <si>
    <t>METAL</t>
  </si>
  <si>
    <t>CRI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</si>
</sst>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6"/>
      <name val="Calibri"/>
      <family val="2"/>
      <scheme val="minor"/>
    </font>
    <font>
      <sz val="14"/>
      <color theme="6"/>
      <name val="Calibri"/>
      <family val="2"/>
      <scheme val="minor"/>
    </font>
    <font>
      <sz val="12"/>
      <color theme="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color theme="6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00B0F0"/>
      <name val="Calibri"/>
      <family val="2"/>
      <scheme val="minor"/>
    </font>
    <font>
      <b/>
      <sz val="16"/>
      <color theme="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sz val="13"/>
      <color theme="6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74999237037263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164" fontId="0" fillId="7" borderId="1" xfId="1" applyNumberFormat="1" applyFont="1" applyFill="1" applyBorder="1" applyAlignment="1"/>
    <xf numFmtId="164" fontId="0" fillId="0" borderId="1" xfId="1" applyNumberFormat="1" applyFont="1" applyBorder="1" applyAlignment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/>
    <xf numFmtId="0" fontId="0" fillId="10" borderId="1" xfId="0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0" fillId="0" borderId="1" xfId="1" applyNumberFormat="1" applyFont="1" applyBorder="1"/>
    <xf numFmtId="164" fontId="0" fillId="5" borderId="3" xfId="1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3" borderId="1" xfId="0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12" fillId="3" borderId="1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12" fillId="3" borderId="1" xfId="0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13" fillId="0" borderId="1" xfId="1" applyNumberFormat="1" applyFont="1" applyBorder="1"/>
    <xf numFmtId="164" fontId="13" fillId="0" borderId="1" xfId="0" applyNumberFormat="1" applyFont="1" applyBorder="1"/>
    <xf numFmtId="164" fontId="10" fillId="0" borderId="1" xfId="0" applyNumberFormat="1" applyFont="1" applyBorder="1"/>
    <xf numFmtId="164" fontId="14" fillId="15" borderId="1" xfId="0" applyNumberFormat="1" applyFont="1" applyFill="1" applyBorder="1"/>
    <xf numFmtId="164" fontId="10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Fill="1" applyBorder="1"/>
    <xf numFmtId="164" fontId="3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0" fontId="10" fillId="16" borderId="13" xfId="0" applyFont="1" applyFill="1" applyBorder="1"/>
    <xf numFmtId="0" fontId="10" fillId="17" borderId="16" xfId="0" applyFont="1" applyFill="1" applyBorder="1"/>
    <xf numFmtId="0" fontId="17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4" fillId="18" borderId="18" xfId="0" applyFont="1" applyFill="1" applyBorder="1"/>
    <xf numFmtId="0" fontId="20" fillId="0" borderId="19" xfId="0" applyFont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64" fontId="12" fillId="5" borderId="1" xfId="1" applyNumberFormat="1" applyFont="1" applyFill="1" applyBorder="1" applyAlignment="1">
      <alignment horizontal="center"/>
    </xf>
    <xf numFmtId="164" fontId="6" fillId="5" borderId="1" xfId="1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center"/>
    </xf>
    <xf numFmtId="164" fontId="12" fillId="5" borderId="3" xfId="1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164" fontId="16" fillId="0" borderId="1" xfId="0" applyNumberFormat="1" applyFont="1" applyBorder="1"/>
    <xf numFmtId="164" fontId="12" fillId="0" borderId="1" xfId="0" applyNumberFormat="1" applyFont="1" applyBorder="1"/>
    <xf numFmtId="164" fontId="6" fillId="0" borderId="1" xfId="0" applyNumberFormat="1" applyFont="1" applyBorder="1"/>
    <xf numFmtId="164" fontId="0" fillId="0" borderId="0" xfId="1" applyNumberFormat="1" applyFont="1"/>
    <xf numFmtId="0" fontId="15" fillId="10" borderId="1" xfId="0" applyFont="1" applyFill="1" applyBorder="1"/>
    <xf numFmtId="0" fontId="15" fillId="10" borderId="3" xfId="0" applyFont="1" applyFill="1" applyBorder="1" applyAlignment="1">
      <alignment horizontal="center"/>
    </xf>
    <xf numFmtId="164" fontId="21" fillId="7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4" fillId="0" borderId="1" xfId="0" applyNumberFormat="1" applyFont="1" applyBorder="1"/>
    <xf numFmtId="0" fontId="0" fillId="5" borderId="1" xfId="0" applyFill="1" applyBorder="1"/>
    <xf numFmtId="0" fontId="0" fillId="19" borderId="0" xfId="0" applyFill="1" applyBorder="1" applyAlignment="1"/>
    <xf numFmtId="0" fontId="0" fillId="19" borderId="0" xfId="0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43" fontId="1" fillId="19" borderId="0" xfId="1" applyNumberFormat="1" applyFont="1" applyFill="1" applyBorder="1" applyAlignment="1">
      <alignment horizontal="center" vertical="center"/>
    </xf>
    <xf numFmtId="164" fontId="1" fillId="19" borderId="0" xfId="1" applyNumberFormat="1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/>
    </xf>
    <xf numFmtId="164" fontId="0" fillId="19" borderId="0" xfId="1" applyNumberFormat="1" applyFont="1" applyFill="1" applyBorder="1" applyAlignment="1">
      <alignment horizontal="center"/>
    </xf>
    <xf numFmtId="0" fontId="0" fillId="0" borderId="20" xfId="0" applyBorder="1"/>
    <xf numFmtId="0" fontId="0" fillId="0" borderId="7" xfId="0" applyBorder="1"/>
    <xf numFmtId="164" fontId="0" fillId="4" borderId="21" xfId="1" applyNumberFormat="1" applyFont="1" applyFill="1" applyBorder="1" applyAlignment="1"/>
    <xf numFmtId="164" fontId="0" fillId="4" borderId="2" xfId="1" applyNumberFormat="1" applyFont="1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/>
    <xf numFmtId="164" fontId="3" fillId="3" borderId="1" xfId="1" applyNumberFormat="1" applyFont="1" applyFill="1" applyBorder="1" applyAlignment="1">
      <alignment horizontal="center"/>
    </xf>
    <xf numFmtId="164" fontId="16" fillId="3" borderId="1" xfId="1" applyNumberFormat="1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/>
    </xf>
    <xf numFmtId="0" fontId="0" fillId="5" borderId="2" xfId="0" applyFill="1" applyBorder="1"/>
    <xf numFmtId="164" fontId="12" fillId="5" borderId="2" xfId="1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164" fontId="0" fillId="5" borderId="2" xfId="1" applyNumberFormat="1" applyFont="1" applyFill="1" applyBorder="1" applyAlignment="1">
      <alignment horizontal="center"/>
    </xf>
    <xf numFmtId="164" fontId="0" fillId="5" borderId="2" xfId="1" applyNumberFormat="1" applyFont="1" applyFill="1" applyBorder="1" applyAlignment="1">
      <alignment wrapText="1"/>
    </xf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164" fontId="0" fillId="7" borderId="2" xfId="1" applyNumberFormat="1" applyFont="1" applyFill="1" applyBorder="1" applyAlignment="1">
      <alignment horizontal="center"/>
    </xf>
    <xf numFmtId="0" fontId="0" fillId="4" borderId="2" xfId="0" applyFill="1" applyBorder="1"/>
    <xf numFmtId="164" fontId="0" fillId="4" borderId="2" xfId="1" applyNumberFormat="1" applyFont="1" applyFill="1" applyBorder="1"/>
    <xf numFmtId="164" fontId="0" fillId="0" borderId="2" xfId="1" applyNumberFormat="1" applyFont="1" applyBorder="1"/>
    <xf numFmtId="164" fontId="13" fillId="0" borderId="24" xfId="1" applyNumberFormat="1" applyFont="1" applyBorder="1"/>
    <xf numFmtId="164" fontId="13" fillId="0" borderId="4" xfId="1" applyNumberFormat="1" applyFont="1" applyBorder="1"/>
    <xf numFmtId="0" fontId="7" fillId="1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164" fontId="3" fillId="5" borderId="2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0" fillId="0" borderId="0" xfId="0" applyAlignment="1">
      <alignment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164" fontId="0" fillId="19" borderId="1" xfId="0" applyNumberFormat="1" applyFill="1" applyBorder="1"/>
    <xf numFmtId="164" fontId="0" fillId="19" borderId="1" xfId="1" applyNumberFormat="1" applyFont="1" applyFill="1" applyBorder="1" applyAlignment="1">
      <alignment horizontal="center"/>
    </xf>
    <xf numFmtId="0" fontId="0" fillId="16" borderId="1" xfId="0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 applyBorder="1" applyAlignment="1"/>
    <xf numFmtId="164" fontId="0" fillId="0" borderId="7" xfId="1" applyNumberFormat="1" applyFont="1" applyBorder="1"/>
    <xf numFmtId="164" fontId="0" fillId="0" borderId="7" xfId="1" applyNumberFormat="1" applyFont="1" applyBorder="1" applyAlignment="1"/>
    <xf numFmtId="2" fontId="0" fillId="0" borderId="1" xfId="1" applyNumberFormat="1" applyFont="1" applyBorder="1"/>
    <xf numFmtId="164" fontId="0" fillId="19" borderId="1" xfId="1" applyNumberFormat="1" applyFont="1" applyFill="1" applyBorder="1"/>
    <xf numFmtId="164" fontId="0" fillId="0" borderId="0" xfId="0" applyNumberFormat="1"/>
    <xf numFmtId="164" fontId="0" fillId="5" borderId="1" xfId="1" applyNumberFormat="1" applyFont="1" applyFill="1" applyBorder="1"/>
    <xf numFmtId="0" fontId="24" fillId="3" borderId="1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0" fontId="28" fillId="3" borderId="1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3" borderId="6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164" fontId="30" fillId="7" borderId="1" xfId="1" applyNumberFormat="1" applyFont="1" applyFill="1" applyBorder="1" applyAlignment="1">
      <alignment horizontal="center" vertical="center"/>
    </xf>
    <xf numFmtId="164" fontId="30" fillId="0" borderId="1" xfId="1" applyNumberFormat="1" applyFont="1" applyBorder="1" applyAlignment="1">
      <alignment horizontal="center" vertical="center"/>
    </xf>
    <xf numFmtId="0" fontId="24" fillId="20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64" fontId="3" fillId="7" borderId="1" xfId="1" applyNumberFormat="1" applyFont="1" applyFill="1" applyBorder="1"/>
    <xf numFmtId="0" fontId="24" fillId="3" borderId="5" xfId="0" applyFont="1" applyFill="1" applyBorder="1" applyAlignment="1">
      <alignment horizontal="center"/>
    </xf>
    <xf numFmtId="164" fontId="0" fillId="0" borderId="4" xfId="1" applyNumberFormat="1" applyFont="1" applyBorder="1"/>
    <xf numFmtId="0" fontId="24" fillId="20" borderId="4" xfId="0" applyFont="1" applyFill="1" applyBorder="1" applyAlignment="1">
      <alignment horizontal="center"/>
    </xf>
    <xf numFmtId="0" fontId="24" fillId="20" borderId="34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64" fontId="0" fillId="0" borderId="16" xfId="0" applyNumberFormat="1" applyBorder="1"/>
    <xf numFmtId="164" fontId="0" fillId="0" borderId="35" xfId="0" applyNumberFormat="1" applyBorder="1"/>
    <xf numFmtId="164" fontId="0" fillId="0" borderId="17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7" borderId="4" xfId="1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7" fillId="10" borderId="43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5" fillId="19" borderId="0" xfId="0" applyFont="1" applyFill="1" applyBorder="1" applyAlignment="1">
      <alignment vertical="center"/>
    </xf>
    <xf numFmtId="0" fontId="10" fillId="7" borderId="34" xfId="0" applyFont="1" applyFill="1" applyBorder="1"/>
    <xf numFmtId="0" fontId="24" fillId="2" borderId="18" xfId="0" applyFont="1" applyFill="1" applyBorder="1"/>
    <xf numFmtId="0" fontId="2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34" fillId="0" borderId="1" xfId="1" applyNumberFormat="1" applyFont="1" applyBorder="1"/>
    <xf numFmtId="0" fontId="34" fillId="23" borderId="1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164" fontId="35" fillId="19" borderId="0" xfId="1" applyNumberFormat="1" applyFont="1" applyFill="1" applyBorder="1" applyAlignment="1">
      <alignment horizontal="center" vertical="center"/>
    </xf>
    <xf numFmtId="164" fontId="2" fillId="19" borderId="0" xfId="1" applyNumberFormat="1" applyFont="1" applyFill="1" applyBorder="1"/>
    <xf numFmtId="0" fontId="8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12" borderId="45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4" fontId="3" fillId="7" borderId="1" xfId="1" applyNumberFormat="1" applyFont="1" applyFill="1" applyBorder="1" applyAlignment="1">
      <alignment horizontal="center"/>
    </xf>
    <xf numFmtId="0" fontId="21" fillId="19" borderId="3" xfId="0" applyFont="1" applyFill="1" applyBorder="1" applyAlignment="1">
      <alignment horizontal="center"/>
    </xf>
    <xf numFmtId="164" fontId="21" fillId="19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2" fillId="0" borderId="3" xfId="0" applyNumberFormat="1" applyFont="1" applyBorder="1"/>
    <xf numFmtId="164" fontId="6" fillId="0" borderId="3" xfId="0" applyNumberFormat="1" applyFont="1" applyBorder="1"/>
    <xf numFmtId="164" fontId="16" fillId="0" borderId="3" xfId="0" applyNumberFormat="1" applyFont="1" applyBorder="1"/>
    <xf numFmtId="164" fontId="0" fillId="0" borderId="3" xfId="0" applyNumberFormat="1" applyBorder="1"/>
    <xf numFmtId="164" fontId="0" fillId="0" borderId="3" xfId="0" applyNumberFormat="1" applyFill="1" applyBorder="1"/>
    <xf numFmtId="164" fontId="4" fillId="0" borderId="45" xfId="0" applyNumberFormat="1" applyFont="1" applyFill="1" applyBorder="1"/>
    <xf numFmtId="164" fontId="3" fillId="0" borderId="45" xfId="0" applyNumberFormat="1" applyFont="1" applyFill="1" applyBorder="1"/>
    <xf numFmtId="0" fontId="24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164" fontId="3" fillId="0" borderId="45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4" fillId="4" borderId="1" xfId="0" applyNumberFormat="1" applyFont="1" applyFill="1" applyBorder="1" applyAlignment="1">
      <alignment horizontal="center"/>
    </xf>
    <xf numFmtId="164" fontId="0" fillId="24" borderId="1" xfId="1" applyNumberFormat="1" applyFont="1" applyFill="1" applyBorder="1" applyAlignment="1">
      <alignment horizontal="center"/>
    </xf>
    <xf numFmtId="0" fontId="39" fillId="10" borderId="1" xfId="0" applyFont="1" applyFill="1" applyBorder="1" applyAlignment="1">
      <alignment horizontal="center"/>
    </xf>
    <xf numFmtId="164" fontId="38" fillId="0" borderId="1" xfId="1" applyNumberFormat="1" applyFont="1" applyBorder="1" applyAlignment="1">
      <alignment horizontal="center"/>
    </xf>
    <xf numFmtId="0" fontId="29" fillId="10" borderId="1" xfId="0" applyFont="1" applyFill="1" applyBorder="1" applyAlignment="1">
      <alignment horizontal="center"/>
    </xf>
    <xf numFmtId="164" fontId="38" fillId="0" borderId="1" xfId="0" applyNumberFormat="1" applyFont="1" applyBorder="1" applyAlignment="1">
      <alignment horizontal="center"/>
    </xf>
    <xf numFmtId="164" fontId="4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5" fillId="10" borderId="44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 wrapText="1"/>
    </xf>
    <xf numFmtId="0" fontId="15" fillId="10" borderId="36" xfId="0" applyFont="1" applyFill="1" applyBorder="1" applyAlignment="1">
      <alignment horizontal="center" vertical="center" wrapText="1"/>
    </xf>
    <xf numFmtId="0" fontId="15" fillId="10" borderId="37" xfId="0" applyFont="1" applyFill="1" applyBorder="1" applyAlignment="1">
      <alignment horizontal="center" vertical="center" wrapText="1"/>
    </xf>
    <xf numFmtId="0" fontId="15" fillId="10" borderId="40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38" xfId="0" applyFont="1" applyFill="1" applyBorder="1" applyAlignment="1">
      <alignment horizontal="center" vertical="center" wrapText="1"/>
    </xf>
    <xf numFmtId="0" fontId="15" fillId="10" borderId="39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8" fillId="10" borderId="0" xfId="0" applyFont="1" applyFill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29" fillId="10" borderId="0" xfId="0" applyFont="1" applyFill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10" borderId="5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3" borderId="18" xfId="0" applyNumberFormat="1" applyFont="1" applyFill="1" applyBorder="1" applyAlignment="1">
      <alignment horizontal="center"/>
    </xf>
    <xf numFmtId="0" fontId="10" fillId="3" borderId="19" xfId="0" applyNumberFormat="1" applyFont="1" applyFill="1" applyBorder="1" applyAlignment="1">
      <alignment horizontal="center"/>
    </xf>
    <xf numFmtId="0" fontId="0" fillId="22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6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2" fillId="20" borderId="11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25" fillId="10" borderId="0" xfId="0" applyFont="1" applyFill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33" fillId="10" borderId="26" xfId="0" applyFont="1" applyFill="1" applyBorder="1" applyAlignment="1">
      <alignment horizontal="center" vertical="center" wrapText="1"/>
    </xf>
    <xf numFmtId="0" fontId="33" fillId="10" borderId="27" xfId="0" applyFont="1" applyFill="1" applyBorder="1" applyAlignment="1">
      <alignment horizontal="center" vertical="center" wrapText="1"/>
    </xf>
    <xf numFmtId="0" fontId="33" fillId="10" borderId="28" xfId="0" applyFont="1" applyFill="1" applyBorder="1" applyAlignment="1">
      <alignment horizontal="center" vertical="center" wrapText="1"/>
    </xf>
    <xf numFmtId="0" fontId="33" fillId="10" borderId="29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33" fillId="10" borderId="30" xfId="0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33" fillId="10" borderId="32" xfId="0" applyFont="1" applyFill="1" applyBorder="1" applyAlignment="1">
      <alignment horizontal="center" vertical="center" wrapText="1"/>
    </xf>
    <xf numFmtId="0" fontId="33" fillId="10" borderId="33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29" fillId="10" borderId="26" xfId="0" applyFont="1" applyFill="1" applyBorder="1" applyAlignment="1">
      <alignment horizontal="center" vertical="center" wrapText="1"/>
    </xf>
    <xf numFmtId="0" fontId="29" fillId="10" borderId="27" xfId="0" applyFont="1" applyFill="1" applyBorder="1" applyAlignment="1">
      <alignment horizontal="center" vertical="center" wrapText="1"/>
    </xf>
    <xf numFmtId="0" fontId="29" fillId="10" borderId="28" xfId="0" applyFont="1" applyFill="1" applyBorder="1" applyAlignment="1">
      <alignment horizontal="center" vertical="center" wrapText="1"/>
    </xf>
    <xf numFmtId="0" fontId="29" fillId="10" borderId="29" xfId="0" applyFont="1" applyFill="1" applyBorder="1" applyAlignment="1">
      <alignment horizontal="center" vertical="center" wrapText="1"/>
    </xf>
    <xf numFmtId="0" fontId="29" fillId="10" borderId="0" xfId="0" applyFont="1" applyFill="1" applyBorder="1" applyAlignment="1">
      <alignment horizontal="center" vertical="center" wrapText="1"/>
    </xf>
    <xf numFmtId="0" fontId="29" fillId="10" borderId="30" xfId="0" applyFont="1" applyFill="1" applyBorder="1" applyAlignment="1">
      <alignment horizontal="center" vertical="center" wrapText="1"/>
    </xf>
    <xf numFmtId="0" fontId="29" fillId="10" borderId="31" xfId="0" applyFont="1" applyFill="1" applyBorder="1" applyAlignment="1">
      <alignment horizontal="center" vertical="center" wrapText="1"/>
    </xf>
    <xf numFmtId="0" fontId="29" fillId="10" borderId="32" xfId="0" applyFont="1" applyFill="1" applyBorder="1" applyAlignment="1">
      <alignment horizontal="center" vertical="center" wrapText="1"/>
    </xf>
    <xf numFmtId="0" fontId="29" fillId="10" borderId="33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/>
    </xf>
    <xf numFmtId="0" fontId="15" fillId="10" borderId="27" xfId="0" applyFont="1" applyFill="1" applyBorder="1" applyAlignment="1">
      <alignment horizontal="center"/>
    </xf>
    <xf numFmtId="0" fontId="15" fillId="10" borderId="28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topLeftCell="A37" zoomScale="90" zoomScaleNormal="90" workbookViewId="0">
      <selection activeCell="G72" sqref="G72"/>
    </sheetView>
  </sheetViews>
  <sheetFormatPr baseColWidth="10" defaultRowHeight="15"/>
  <cols>
    <col min="1" max="1" width="19.85546875" customWidth="1"/>
    <col min="2" max="2" width="16.42578125" customWidth="1"/>
    <col min="3" max="4" width="20.28515625" customWidth="1"/>
    <col min="5" max="5" width="22.42578125" customWidth="1"/>
    <col min="6" max="6" width="23.140625" customWidth="1"/>
    <col min="7" max="7" width="27.28515625" customWidth="1"/>
    <col min="8" max="8" width="23.7109375" customWidth="1"/>
    <col min="9" max="9" width="24" customWidth="1"/>
    <col min="10" max="10" width="24.140625" customWidth="1"/>
    <col min="11" max="11" width="25.42578125" customWidth="1"/>
    <col min="12" max="12" width="20.85546875" customWidth="1"/>
    <col min="13" max="13" width="35.28515625" customWidth="1"/>
    <col min="14" max="14" width="34.5703125" customWidth="1"/>
    <col min="15" max="15" width="35" customWidth="1"/>
    <col min="16" max="16" width="35.85546875" customWidth="1"/>
    <col min="17" max="17" width="33.42578125" customWidth="1"/>
    <col min="18" max="18" width="35.5703125" customWidth="1"/>
    <col min="19" max="19" width="37.140625" customWidth="1"/>
    <col min="20" max="20" width="21" customWidth="1"/>
  </cols>
  <sheetData>
    <row r="1" spans="1:12" ht="19.5" thickBot="1">
      <c r="A1" s="82" t="s">
        <v>0</v>
      </c>
      <c r="B1" s="7" t="s">
        <v>1</v>
      </c>
      <c r="C1" s="7" t="s">
        <v>2</v>
      </c>
      <c r="D1" s="7" t="s">
        <v>4</v>
      </c>
    </row>
    <row r="2" spans="1:12" ht="19.5" thickBot="1">
      <c r="A2" s="5" t="s">
        <v>3</v>
      </c>
      <c r="B2" s="5">
        <v>20</v>
      </c>
      <c r="C2" s="5">
        <v>20</v>
      </c>
      <c r="D2" s="5">
        <v>20</v>
      </c>
      <c r="F2" s="265" t="s">
        <v>69</v>
      </c>
      <c r="G2" s="266"/>
    </row>
    <row r="3" spans="1:12" ht="16.5" thickBot="1">
      <c r="A3" s="8" t="s">
        <v>5</v>
      </c>
      <c r="B3" s="8">
        <f>B2*10</f>
        <v>200</v>
      </c>
      <c r="C3" s="8">
        <f>C2*10</f>
        <v>200</v>
      </c>
      <c r="D3" s="8">
        <f>D2*10</f>
        <v>200</v>
      </c>
      <c r="F3" s="212"/>
      <c r="G3" s="213" t="s">
        <v>74</v>
      </c>
    </row>
    <row r="4" spans="1:12">
      <c r="A4" s="6" t="s">
        <v>6</v>
      </c>
      <c r="B4" s="6"/>
      <c r="C4" s="2"/>
      <c r="D4" s="3"/>
      <c r="F4" s="211"/>
      <c r="G4" s="93" t="s">
        <v>73</v>
      </c>
    </row>
    <row r="5" spans="1:12">
      <c r="A5" s="8" t="s">
        <v>7</v>
      </c>
      <c r="B5" s="9">
        <f>((B4/2)+B2)*10</f>
        <v>200</v>
      </c>
      <c r="C5" s="9">
        <f>((B4/2)+C2)*10</f>
        <v>200</v>
      </c>
      <c r="D5" s="9">
        <f>((B4/2)+D2)*10</f>
        <v>200</v>
      </c>
      <c r="F5" s="91"/>
      <c r="G5" s="94" t="s">
        <v>72</v>
      </c>
      <c r="L5" s="254" t="s">
        <v>59</v>
      </c>
    </row>
    <row r="6" spans="1:12" ht="15.75" thickBot="1">
      <c r="F6" s="92"/>
      <c r="G6" s="95" t="s">
        <v>71</v>
      </c>
      <c r="L6" s="254"/>
    </row>
    <row r="7" spans="1:12" ht="19.5" thickBot="1">
      <c r="A7" s="274" t="s">
        <v>56</v>
      </c>
      <c r="B7" s="274"/>
      <c r="F7" s="99"/>
      <c r="G7" s="100" t="s">
        <v>70</v>
      </c>
      <c r="L7" s="254"/>
    </row>
    <row r="8" spans="1:12">
      <c r="A8" s="10" t="s">
        <v>10</v>
      </c>
      <c r="B8" s="10" t="s">
        <v>1</v>
      </c>
      <c r="C8" s="7" t="s">
        <v>2</v>
      </c>
      <c r="D8" s="7" t="s">
        <v>19</v>
      </c>
      <c r="E8" s="7" t="s">
        <v>20</v>
      </c>
      <c r="F8" s="11" t="s">
        <v>21</v>
      </c>
      <c r="G8" s="13" t="s">
        <v>22</v>
      </c>
      <c r="H8" s="14" t="s">
        <v>23</v>
      </c>
      <c r="I8" s="13" t="s">
        <v>32</v>
      </c>
      <c r="J8" s="13" t="s">
        <v>33</v>
      </c>
      <c r="K8" s="13" t="s">
        <v>34</v>
      </c>
      <c r="L8" s="254"/>
    </row>
    <row r="9" spans="1:12">
      <c r="A9" s="7" t="s">
        <v>9</v>
      </c>
      <c r="B9" s="15">
        <v>50</v>
      </c>
      <c r="C9" s="15">
        <v>10</v>
      </c>
      <c r="D9" s="15">
        <v>4000</v>
      </c>
      <c r="E9" s="15">
        <v>50</v>
      </c>
      <c r="F9" s="37">
        <f t="shared" ref="F9:F10" si="0">D9/B9</f>
        <v>80</v>
      </c>
      <c r="G9" s="38">
        <f>D9/C9</f>
        <v>400</v>
      </c>
      <c r="H9" s="39">
        <f>D9/E9</f>
        <v>80</v>
      </c>
      <c r="I9" s="102">
        <v>3000</v>
      </c>
      <c r="J9" s="102">
        <v>1000</v>
      </c>
      <c r="K9" s="45"/>
      <c r="L9" s="110">
        <f>(0.25*I9)+(0.5*J9)+K9</f>
        <v>1250</v>
      </c>
    </row>
    <row r="10" spans="1:12">
      <c r="A10" s="7" t="s">
        <v>11</v>
      </c>
      <c r="B10" s="12">
        <v>150</v>
      </c>
      <c r="C10" s="12">
        <v>25</v>
      </c>
      <c r="D10" s="12">
        <v>10000</v>
      </c>
      <c r="E10" s="12">
        <v>100</v>
      </c>
      <c r="F10" s="37">
        <f t="shared" si="0"/>
        <v>66.666666666666671</v>
      </c>
      <c r="G10" s="38">
        <f t="shared" ref="G10:G22" si="1">D10/C10</f>
        <v>400</v>
      </c>
      <c r="H10" s="39">
        <f t="shared" ref="H10:H22" si="2">D10/E10</f>
        <v>100</v>
      </c>
      <c r="I10" s="103">
        <v>6000</v>
      </c>
      <c r="J10" s="103">
        <v>4000</v>
      </c>
      <c r="K10" s="45"/>
      <c r="L10" s="111">
        <f t="shared" ref="L10:L22" si="3">(0.25*I10)+(0.5*J10)+K10</f>
        <v>3500</v>
      </c>
    </row>
    <row r="11" spans="1:12">
      <c r="A11" s="7" t="s">
        <v>12</v>
      </c>
      <c r="B11" s="12">
        <v>400</v>
      </c>
      <c r="C11" s="12">
        <v>50</v>
      </c>
      <c r="D11" s="12">
        <v>27000</v>
      </c>
      <c r="E11" s="12">
        <v>800</v>
      </c>
      <c r="F11" s="37">
        <f>D11/B11</f>
        <v>67.5</v>
      </c>
      <c r="G11" s="38">
        <f t="shared" si="1"/>
        <v>540</v>
      </c>
      <c r="H11" s="39">
        <f t="shared" si="2"/>
        <v>33.75</v>
      </c>
      <c r="I11" s="104">
        <v>20000</v>
      </c>
      <c r="J11" s="104">
        <v>7000</v>
      </c>
      <c r="K11" s="105">
        <v>2000</v>
      </c>
      <c r="L11" s="109">
        <f t="shared" si="3"/>
        <v>10500</v>
      </c>
    </row>
    <row r="12" spans="1:12">
      <c r="A12" s="7" t="s">
        <v>13</v>
      </c>
      <c r="B12" s="12">
        <v>1000</v>
      </c>
      <c r="C12" s="12">
        <v>200</v>
      </c>
      <c r="D12" s="12">
        <v>60000</v>
      </c>
      <c r="E12" s="12">
        <v>1500</v>
      </c>
      <c r="F12" s="96">
        <f t="shared" ref="F12:F22" si="4">D12/B12</f>
        <v>60</v>
      </c>
      <c r="G12" s="38">
        <f t="shared" si="1"/>
        <v>300</v>
      </c>
      <c r="H12" s="39">
        <f t="shared" si="2"/>
        <v>40</v>
      </c>
      <c r="I12" s="32">
        <v>45000</v>
      </c>
      <c r="J12" s="32">
        <v>15000</v>
      </c>
      <c r="K12" s="45"/>
      <c r="L12" s="30">
        <f t="shared" si="3"/>
        <v>18750</v>
      </c>
    </row>
    <row r="13" spans="1:12">
      <c r="A13" s="7" t="s">
        <v>14</v>
      </c>
      <c r="B13" s="12">
        <v>1000</v>
      </c>
      <c r="C13" s="12">
        <v>500</v>
      </c>
      <c r="D13" s="12">
        <v>75000</v>
      </c>
      <c r="E13" s="12">
        <v>500</v>
      </c>
      <c r="F13" s="42">
        <f t="shared" si="4"/>
        <v>75</v>
      </c>
      <c r="G13" s="97">
        <f>D13/C13</f>
        <v>150</v>
      </c>
      <c r="H13" s="39">
        <f t="shared" si="2"/>
        <v>150</v>
      </c>
      <c r="I13" s="32">
        <v>50000</v>
      </c>
      <c r="J13" s="32">
        <v>25000</v>
      </c>
      <c r="K13" s="106">
        <v>15000</v>
      </c>
      <c r="L13" s="30">
        <f t="shared" si="3"/>
        <v>40000</v>
      </c>
    </row>
    <row r="14" spans="1:12">
      <c r="A14" s="7" t="s">
        <v>15</v>
      </c>
      <c r="B14" s="12">
        <v>2000</v>
      </c>
      <c r="C14" s="12">
        <v>500</v>
      </c>
      <c r="D14" s="12">
        <v>110000</v>
      </c>
      <c r="E14" s="89">
        <v>2000</v>
      </c>
      <c r="F14" s="48">
        <f t="shared" si="4"/>
        <v>55</v>
      </c>
      <c r="G14" s="38">
        <f t="shared" si="1"/>
        <v>220</v>
      </c>
      <c r="H14" s="39">
        <f t="shared" si="2"/>
        <v>55</v>
      </c>
      <c r="I14" s="32">
        <v>60000</v>
      </c>
      <c r="J14" s="32">
        <v>50000</v>
      </c>
      <c r="K14" s="106">
        <v>15000</v>
      </c>
      <c r="L14" s="30">
        <f t="shared" si="3"/>
        <v>55000</v>
      </c>
    </row>
    <row r="15" spans="1:12">
      <c r="A15" s="7" t="s">
        <v>16</v>
      </c>
      <c r="B15" s="90">
        <v>200000</v>
      </c>
      <c r="C15" s="88">
        <v>50000</v>
      </c>
      <c r="D15" s="88">
        <v>9000000</v>
      </c>
      <c r="E15" s="90">
        <v>1000000</v>
      </c>
      <c r="F15" s="74">
        <f t="shared" si="4"/>
        <v>45</v>
      </c>
      <c r="G15" s="38">
        <f t="shared" si="1"/>
        <v>180</v>
      </c>
      <c r="H15" s="39">
        <f t="shared" si="2"/>
        <v>9</v>
      </c>
      <c r="I15" s="32">
        <v>5000000</v>
      </c>
      <c r="J15" s="32">
        <v>4000000</v>
      </c>
      <c r="K15" s="45">
        <v>1000000</v>
      </c>
      <c r="L15" s="30">
        <f t="shared" si="3"/>
        <v>4250000</v>
      </c>
    </row>
    <row r="16" spans="1:12">
      <c r="A16" s="7" t="s">
        <v>17</v>
      </c>
      <c r="B16" s="12">
        <v>700</v>
      </c>
      <c r="C16" s="12">
        <v>400</v>
      </c>
      <c r="D16" s="12">
        <v>70000</v>
      </c>
      <c r="E16" s="12">
        <v>750</v>
      </c>
      <c r="F16" s="37">
        <f t="shared" si="4"/>
        <v>100</v>
      </c>
      <c r="G16" s="98">
        <f t="shared" si="1"/>
        <v>175</v>
      </c>
      <c r="H16" s="42">
        <f t="shared" si="2"/>
        <v>93.333333333333329</v>
      </c>
      <c r="I16" s="32">
        <v>30000</v>
      </c>
      <c r="J16" s="32">
        <v>40000</v>
      </c>
      <c r="K16" s="106">
        <v>15000</v>
      </c>
      <c r="L16" s="30">
        <f t="shared" si="3"/>
        <v>42500</v>
      </c>
    </row>
    <row r="17" spans="1:19">
      <c r="A17" s="7" t="s">
        <v>18</v>
      </c>
      <c r="B17" s="89">
        <v>3000</v>
      </c>
      <c r="C17" s="87">
        <v>1000</v>
      </c>
      <c r="D17" s="87">
        <v>750000</v>
      </c>
      <c r="E17" s="90">
        <v>1000000</v>
      </c>
      <c r="F17" s="37">
        <f t="shared" si="4"/>
        <v>250</v>
      </c>
      <c r="G17" s="40">
        <f t="shared" si="1"/>
        <v>750</v>
      </c>
      <c r="H17" s="74">
        <f t="shared" si="2"/>
        <v>0.75</v>
      </c>
      <c r="I17" s="32">
        <v>500000</v>
      </c>
      <c r="J17" s="32">
        <v>250000</v>
      </c>
      <c r="K17" s="107">
        <v>30000</v>
      </c>
      <c r="L17" s="30">
        <f t="shared" si="3"/>
        <v>280000</v>
      </c>
    </row>
    <row r="18" spans="1:19">
      <c r="A18" s="7" t="s">
        <v>67</v>
      </c>
      <c r="B18" s="88">
        <v>5000</v>
      </c>
      <c r="C18" s="89">
        <v>2500</v>
      </c>
      <c r="D18" s="89">
        <v>1750000</v>
      </c>
      <c r="E18" s="88">
        <v>500000</v>
      </c>
      <c r="F18" s="85">
        <f t="shared" si="4"/>
        <v>350</v>
      </c>
      <c r="G18" s="85">
        <f t="shared" si="1"/>
        <v>700</v>
      </c>
      <c r="H18" s="48">
        <f t="shared" si="2"/>
        <v>3.5</v>
      </c>
      <c r="I18" s="32">
        <v>750000</v>
      </c>
      <c r="J18" s="32">
        <v>1000000</v>
      </c>
      <c r="K18" s="32">
        <v>50000</v>
      </c>
      <c r="L18" s="86">
        <f t="shared" si="3"/>
        <v>737500</v>
      </c>
    </row>
    <row r="19" spans="1:19" ht="15" customHeight="1">
      <c r="A19" s="7" t="s">
        <v>68</v>
      </c>
      <c r="B19" s="90">
        <v>200000</v>
      </c>
      <c r="C19" s="90">
        <v>100000</v>
      </c>
      <c r="D19" s="90">
        <v>13500000</v>
      </c>
      <c r="E19" s="90">
        <v>1000000</v>
      </c>
      <c r="F19" s="85">
        <f t="shared" si="4"/>
        <v>67.5</v>
      </c>
      <c r="G19" s="74">
        <f t="shared" si="1"/>
        <v>135</v>
      </c>
      <c r="H19" s="39">
        <f t="shared" si="2"/>
        <v>13.5</v>
      </c>
      <c r="I19" s="101">
        <v>7500000</v>
      </c>
      <c r="J19" s="101">
        <v>6000000</v>
      </c>
      <c r="K19" s="108">
        <v>1500000</v>
      </c>
      <c r="L19" s="143">
        <f t="shared" si="3"/>
        <v>6375000</v>
      </c>
    </row>
    <row r="20" spans="1:19" ht="15" customHeight="1">
      <c r="A20" s="137" t="s">
        <v>75</v>
      </c>
      <c r="B20" s="138">
        <v>10</v>
      </c>
      <c r="C20" s="138">
        <v>100</v>
      </c>
      <c r="D20" s="138">
        <v>50000</v>
      </c>
      <c r="E20" s="139">
        <v>10000</v>
      </c>
      <c r="F20" s="140">
        <f t="shared" si="4"/>
        <v>5000</v>
      </c>
      <c r="G20" s="140">
        <f t="shared" si="1"/>
        <v>500</v>
      </c>
      <c r="H20" s="39">
        <f t="shared" si="2"/>
        <v>5</v>
      </c>
      <c r="I20" s="141">
        <v>25000</v>
      </c>
      <c r="J20" s="141">
        <v>25000</v>
      </c>
      <c r="K20" s="142">
        <v>25000</v>
      </c>
      <c r="L20" s="144">
        <f t="shared" si="3"/>
        <v>43750</v>
      </c>
    </row>
    <row r="21" spans="1:19" ht="17.25" customHeight="1">
      <c r="A21" s="153" t="s">
        <v>87</v>
      </c>
      <c r="B21" s="138">
        <v>5</v>
      </c>
      <c r="C21" s="138">
        <v>250</v>
      </c>
      <c r="D21" s="138">
        <v>40000</v>
      </c>
      <c r="E21" s="139">
        <v>500000</v>
      </c>
      <c r="F21" s="140">
        <f t="shared" si="4"/>
        <v>8000</v>
      </c>
      <c r="G21" s="140">
        <f t="shared" si="1"/>
        <v>160</v>
      </c>
      <c r="H21" s="154">
        <f t="shared" si="2"/>
        <v>0.08</v>
      </c>
      <c r="I21" s="141">
        <v>20000</v>
      </c>
      <c r="J21" s="141">
        <v>20000</v>
      </c>
      <c r="K21" s="138"/>
      <c r="L21" s="144">
        <f t="shared" si="3"/>
        <v>15000</v>
      </c>
    </row>
    <row r="22" spans="1:19" ht="20.25" customHeight="1">
      <c r="A22" s="7" t="s">
        <v>61</v>
      </c>
      <c r="B22" s="119">
        <v>1</v>
      </c>
      <c r="C22" s="119">
        <v>10</v>
      </c>
      <c r="D22" s="119">
        <v>16000</v>
      </c>
      <c r="E22" s="156">
        <v>20000</v>
      </c>
      <c r="F22" s="140">
        <f t="shared" si="4"/>
        <v>16000</v>
      </c>
      <c r="G22" s="140">
        <f t="shared" si="1"/>
        <v>1600</v>
      </c>
      <c r="H22" s="154">
        <f t="shared" si="2"/>
        <v>0.8</v>
      </c>
      <c r="I22" s="32">
        <v>10000</v>
      </c>
      <c r="J22" s="32">
        <v>6000</v>
      </c>
      <c r="K22" s="155">
        <v>2000</v>
      </c>
      <c r="L22" s="157">
        <f t="shared" si="3"/>
        <v>7500</v>
      </c>
      <c r="M22" s="7" t="s">
        <v>25</v>
      </c>
      <c r="N22" s="7" t="s">
        <v>35</v>
      </c>
      <c r="O22" s="7" t="s">
        <v>36</v>
      </c>
      <c r="P22" s="7" t="s">
        <v>37</v>
      </c>
      <c r="Q22" s="60" t="s">
        <v>41</v>
      </c>
      <c r="R22" s="60" t="s">
        <v>62</v>
      </c>
    </row>
    <row r="23" spans="1:19">
      <c r="K23" s="263" t="s">
        <v>59</v>
      </c>
      <c r="L23" s="264"/>
      <c r="M23" s="18" t="s">
        <v>24</v>
      </c>
      <c r="N23" s="18">
        <f t="shared" ref="N23:N29" si="5">H25/B25</f>
        <v>25</v>
      </c>
      <c r="O23" s="18">
        <f t="shared" ref="O23:O29" si="6">I25/B25</f>
        <v>0</v>
      </c>
      <c r="P23" s="18">
        <f t="shared" ref="P23:P29" si="7">J25/B25</f>
        <v>0</v>
      </c>
      <c r="Q23" s="68">
        <f t="shared" ref="Q23:Q29" si="8">K25/B25</f>
        <v>6.25</v>
      </c>
      <c r="R23" s="65">
        <f>Q23+Q32</f>
        <v>31.25</v>
      </c>
      <c r="S23" s="74" t="s">
        <v>24</v>
      </c>
    </row>
    <row r="24" spans="1:19">
      <c r="A24" s="7" t="s">
        <v>25</v>
      </c>
      <c r="B24" s="7" t="s">
        <v>1</v>
      </c>
      <c r="C24" s="7" t="s">
        <v>2</v>
      </c>
      <c r="D24" s="7" t="s">
        <v>19</v>
      </c>
      <c r="E24" s="7"/>
      <c r="F24" s="7" t="s">
        <v>21</v>
      </c>
      <c r="G24" s="7" t="s">
        <v>22</v>
      </c>
      <c r="H24" s="7" t="s">
        <v>32</v>
      </c>
      <c r="I24" s="7" t="s">
        <v>33</v>
      </c>
      <c r="J24" s="19" t="s">
        <v>34</v>
      </c>
      <c r="K24" s="263"/>
      <c r="L24" s="264"/>
      <c r="M24" s="18" t="s">
        <v>26</v>
      </c>
      <c r="N24" s="20">
        <f t="shared" si="5"/>
        <v>15</v>
      </c>
      <c r="O24" s="21">
        <f t="shared" si="6"/>
        <v>5</v>
      </c>
      <c r="P24" s="18">
        <f t="shared" si="7"/>
        <v>0</v>
      </c>
      <c r="Q24" s="68">
        <f t="shared" si="8"/>
        <v>6.25</v>
      </c>
      <c r="R24" s="65">
        <f t="shared" ref="R24:R29" si="9">Q24+Q33</f>
        <v>31.25</v>
      </c>
      <c r="S24" s="74" t="s">
        <v>26</v>
      </c>
    </row>
    <row r="25" spans="1:19">
      <c r="A25" s="7" t="s">
        <v>24</v>
      </c>
      <c r="B25" s="32">
        <v>80</v>
      </c>
      <c r="C25" s="32">
        <v>20</v>
      </c>
      <c r="D25" s="32">
        <v>2000</v>
      </c>
      <c r="E25" s="18"/>
      <c r="F25" s="18">
        <f>D25/B25</f>
        <v>25</v>
      </c>
      <c r="G25" s="18">
        <f>D25/C25</f>
        <v>100</v>
      </c>
      <c r="H25" s="32">
        <v>2000</v>
      </c>
      <c r="I25" s="32"/>
      <c r="J25" s="32"/>
      <c r="K25" s="44">
        <f>(H25/4)+(I25/2)+J25</f>
        <v>500</v>
      </c>
      <c r="M25" s="18" t="s">
        <v>27</v>
      </c>
      <c r="N25" s="18">
        <f t="shared" si="5"/>
        <v>24</v>
      </c>
      <c r="O25" s="20">
        <f t="shared" si="6"/>
        <v>8</v>
      </c>
      <c r="P25" s="18">
        <f t="shared" si="7"/>
        <v>0</v>
      </c>
      <c r="Q25" s="58">
        <f t="shared" si="8"/>
        <v>10</v>
      </c>
      <c r="R25" s="57">
        <f t="shared" si="9"/>
        <v>35</v>
      </c>
      <c r="S25" s="48" t="s">
        <v>27</v>
      </c>
    </row>
    <row r="26" spans="1:19">
      <c r="A26" s="7" t="s">
        <v>26</v>
      </c>
      <c r="B26" s="32">
        <v>100</v>
      </c>
      <c r="C26" s="32">
        <v>25</v>
      </c>
      <c r="D26" s="32">
        <v>2000</v>
      </c>
      <c r="E26" s="18"/>
      <c r="F26" s="18">
        <f t="shared" ref="F26:F31" si="10">D26/B26</f>
        <v>20</v>
      </c>
      <c r="G26" s="18">
        <f t="shared" ref="G26:G31" si="11">D26/C26</f>
        <v>80</v>
      </c>
      <c r="H26" s="32">
        <v>1500</v>
      </c>
      <c r="I26" s="32">
        <v>500</v>
      </c>
      <c r="J26" s="32"/>
      <c r="K26" s="44">
        <f t="shared" ref="K26:K31" si="12">(H26/4)+(I26/2)+J26</f>
        <v>625</v>
      </c>
      <c r="M26" s="18" t="s">
        <v>28</v>
      </c>
      <c r="N26" s="18">
        <f t="shared" si="5"/>
        <v>18.181818181818183</v>
      </c>
      <c r="O26" s="18">
        <f t="shared" si="6"/>
        <v>13.636363636363637</v>
      </c>
      <c r="P26" s="22">
        <f t="shared" si="7"/>
        <v>1.8181818181818181</v>
      </c>
      <c r="Q26" s="7">
        <f t="shared" si="8"/>
        <v>13.181818181818182</v>
      </c>
      <c r="R26" s="56">
        <f t="shared" si="9"/>
        <v>85.681818181818187</v>
      </c>
      <c r="S26" s="18" t="s">
        <v>28</v>
      </c>
    </row>
    <row r="27" spans="1:19">
      <c r="A27" s="7" t="s">
        <v>27</v>
      </c>
      <c r="B27" s="32">
        <v>250</v>
      </c>
      <c r="C27" s="32">
        <v>100</v>
      </c>
      <c r="D27" s="32">
        <v>8000</v>
      </c>
      <c r="E27" s="18"/>
      <c r="F27" s="18">
        <f t="shared" si="10"/>
        <v>32</v>
      </c>
      <c r="G27" s="18">
        <f t="shared" si="11"/>
        <v>80</v>
      </c>
      <c r="H27" s="32">
        <v>6000</v>
      </c>
      <c r="I27" s="32">
        <v>2000</v>
      </c>
      <c r="J27" s="32"/>
      <c r="K27" s="44">
        <f t="shared" si="12"/>
        <v>2500</v>
      </c>
      <c r="M27" s="18" t="s">
        <v>29</v>
      </c>
      <c r="N27" s="21">
        <f t="shared" si="5"/>
        <v>13.333333333333334</v>
      </c>
      <c r="O27" s="18">
        <f t="shared" si="6"/>
        <v>40</v>
      </c>
      <c r="P27" s="18">
        <f t="shared" si="7"/>
        <v>0</v>
      </c>
      <c r="Q27" s="7">
        <f t="shared" si="8"/>
        <v>23.333333333333332</v>
      </c>
      <c r="R27" s="56">
        <f t="shared" si="9"/>
        <v>30.333333333333332</v>
      </c>
      <c r="S27" s="18" t="s">
        <v>29</v>
      </c>
    </row>
    <row r="28" spans="1:19">
      <c r="A28" s="7" t="s">
        <v>28</v>
      </c>
      <c r="B28" s="32">
        <v>1100</v>
      </c>
      <c r="C28" s="32">
        <v>200</v>
      </c>
      <c r="D28" s="32">
        <v>35000</v>
      </c>
      <c r="E28" s="18"/>
      <c r="F28" s="18">
        <f t="shared" si="10"/>
        <v>31.818181818181817</v>
      </c>
      <c r="G28" s="18">
        <f t="shared" si="11"/>
        <v>175</v>
      </c>
      <c r="H28" s="32">
        <v>20000</v>
      </c>
      <c r="I28" s="32">
        <v>15000</v>
      </c>
      <c r="J28" s="32">
        <v>2000</v>
      </c>
      <c r="K28" s="44">
        <f t="shared" si="12"/>
        <v>14500</v>
      </c>
      <c r="M28" s="18" t="s">
        <v>30</v>
      </c>
      <c r="N28" s="18">
        <f t="shared" si="5"/>
        <v>16.666666666666668</v>
      </c>
      <c r="O28" s="18">
        <f t="shared" si="6"/>
        <v>16.666666666666668</v>
      </c>
      <c r="P28" s="18">
        <f t="shared" si="7"/>
        <v>10</v>
      </c>
      <c r="Q28" s="7">
        <f t="shared" si="8"/>
        <v>22.5</v>
      </c>
      <c r="R28" s="66">
        <f t="shared" si="9"/>
        <v>247.5</v>
      </c>
      <c r="S28" s="42" t="s">
        <v>30</v>
      </c>
    </row>
    <row r="29" spans="1:19">
      <c r="A29" s="7" t="s">
        <v>29</v>
      </c>
      <c r="B29" s="32">
        <v>150</v>
      </c>
      <c r="C29" s="32">
        <v>500</v>
      </c>
      <c r="D29" s="32">
        <v>8000</v>
      </c>
      <c r="E29" s="18"/>
      <c r="F29" s="18">
        <f t="shared" si="10"/>
        <v>53.333333333333336</v>
      </c>
      <c r="G29" s="18">
        <f t="shared" si="11"/>
        <v>16</v>
      </c>
      <c r="H29" s="32">
        <v>2000</v>
      </c>
      <c r="I29" s="32">
        <v>6000</v>
      </c>
      <c r="J29" s="32"/>
      <c r="K29" s="44">
        <f t="shared" si="12"/>
        <v>3500</v>
      </c>
      <c r="M29" s="18" t="s">
        <v>31</v>
      </c>
      <c r="N29" s="18">
        <f t="shared" si="5"/>
        <v>20</v>
      </c>
      <c r="O29" s="18">
        <f t="shared" si="6"/>
        <v>20</v>
      </c>
      <c r="P29" s="18">
        <f t="shared" si="7"/>
        <v>10</v>
      </c>
      <c r="Q29" s="69">
        <f t="shared" si="8"/>
        <v>25</v>
      </c>
      <c r="R29" s="56">
        <f t="shared" si="9"/>
        <v>37.5</v>
      </c>
      <c r="S29" s="18" t="s">
        <v>31</v>
      </c>
    </row>
    <row r="30" spans="1:19">
      <c r="A30" s="7" t="s">
        <v>30</v>
      </c>
      <c r="B30" s="32">
        <v>3000</v>
      </c>
      <c r="C30" s="32">
        <v>300</v>
      </c>
      <c r="D30" s="32">
        <v>100000</v>
      </c>
      <c r="E30" s="18"/>
      <c r="F30" s="18">
        <f t="shared" si="10"/>
        <v>33.333333333333336</v>
      </c>
      <c r="G30" s="18">
        <f t="shared" si="11"/>
        <v>333.33333333333331</v>
      </c>
      <c r="H30" s="32">
        <v>50000</v>
      </c>
      <c r="I30" s="32">
        <v>50000</v>
      </c>
      <c r="J30" s="32">
        <v>30000</v>
      </c>
      <c r="K30" s="44">
        <f t="shared" si="12"/>
        <v>67500</v>
      </c>
      <c r="M30" s="23"/>
      <c r="N30" s="23"/>
      <c r="O30" s="23"/>
      <c r="P30" s="23"/>
      <c r="Q30" s="23"/>
    </row>
    <row r="31" spans="1:19" ht="15.75" thickBot="1">
      <c r="A31" s="153" t="s">
        <v>31</v>
      </c>
      <c r="B31" s="32">
        <v>5000</v>
      </c>
      <c r="C31" s="32">
        <v>10000</v>
      </c>
      <c r="D31" s="32">
        <v>200000</v>
      </c>
      <c r="E31" s="18"/>
      <c r="F31" s="18">
        <f t="shared" si="10"/>
        <v>40</v>
      </c>
      <c r="G31" s="18">
        <f t="shared" si="11"/>
        <v>20</v>
      </c>
      <c r="H31" s="32">
        <v>100000</v>
      </c>
      <c r="I31" s="32">
        <v>100000</v>
      </c>
      <c r="J31" s="32">
        <v>50000</v>
      </c>
      <c r="K31" s="44">
        <f t="shared" si="12"/>
        <v>125000</v>
      </c>
      <c r="M31" s="7" t="s">
        <v>25</v>
      </c>
      <c r="N31" s="7" t="s">
        <v>38</v>
      </c>
      <c r="O31" s="7" t="s">
        <v>39</v>
      </c>
      <c r="P31" s="7" t="s">
        <v>40</v>
      </c>
      <c r="Q31" s="60" t="s">
        <v>42</v>
      </c>
      <c r="R31" s="70" t="s">
        <v>64</v>
      </c>
    </row>
    <row r="32" spans="1:19">
      <c r="A32" s="268" t="s">
        <v>43</v>
      </c>
      <c r="B32" s="17"/>
      <c r="C32" s="17"/>
      <c r="D32" s="17"/>
      <c r="E32" s="17"/>
      <c r="F32" s="17"/>
      <c r="G32" s="17"/>
      <c r="J32" s="136" t="s">
        <v>54</v>
      </c>
      <c r="K32" s="261" t="s">
        <v>55</v>
      </c>
      <c r="M32" s="18" t="s">
        <v>24</v>
      </c>
      <c r="N32" s="18">
        <f t="shared" ref="N32:N38" si="13">H25/C25</f>
        <v>100</v>
      </c>
      <c r="O32" s="18">
        <f t="shared" ref="O32:O38" si="14">I25/C25</f>
        <v>0</v>
      </c>
      <c r="P32" s="18">
        <f t="shared" ref="P32:P38" si="15">J25/C25</f>
        <v>0</v>
      </c>
      <c r="Q32" s="58">
        <f t="shared" ref="Q32:Q38" si="16">K25/C25</f>
        <v>25</v>
      </c>
      <c r="R32" s="64">
        <f>D25*(1+(D5/100))</f>
        <v>6000</v>
      </c>
      <c r="S32" s="18" t="s">
        <v>24</v>
      </c>
    </row>
    <row r="33" spans="1:20">
      <c r="A33" s="269"/>
      <c r="B33" s="17"/>
      <c r="C33" s="17"/>
      <c r="D33" s="17"/>
      <c r="E33" s="17"/>
      <c r="F33" s="17"/>
      <c r="G33" s="17"/>
      <c r="J33" s="135"/>
      <c r="K33" s="262"/>
      <c r="M33" s="18" t="s">
        <v>26</v>
      </c>
      <c r="N33" s="18">
        <f t="shared" si="13"/>
        <v>60</v>
      </c>
      <c r="O33" s="18">
        <f t="shared" si="14"/>
        <v>20</v>
      </c>
      <c r="P33" s="18">
        <f t="shared" si="15"/>
        <v>0</v>
      </c>
      <c r="Q33" s="58">
        <f t="shared" si="16"/>
        <v>25</v>
      </c>
      <c r="R33" s="64">
        <f>D26*(1+(D5/100))</f>
        <v>6000</v>
      </c>
      <c r="S33" s="18" t="s">
        <v>26</v>
      </c>
    </row>
    <row r="34" spans="1:20" ht="15" customHeight="1">
      <c r="A34" s="269"/>
      <c r="B34" s="17"/>
      <c r="C34" s="17"/>
      <c r="D34" s="17"/>
      <c r="E34" s="17"/>
      <c r="F34" s="17"/>
      <c r="G34" s="17"/>
      <c r="J34" s="24">
        <v>30</v>
      </c>
      <c r="K34" s="24">
        <v>10</v>
      </c>
      <c r="M34" s="18" t="s">
        <v>27</v>
      </c>
      <c r="N34" s="18">
        <f t="shared" si="13"/>
        <v>60</v>
      </c>
      <c r="O34" s="18">
        <f t="shared" si="14"/>
        <v>20</v>
      </c>
      <c r="P34" s="18">
        <f t="shared" si="15"/>
        <v>0</v>
      </c>
      <c r="Q34" s="58">
        <f t="shared" si="16"/>
        <v>25</v>
      </c>
      <c r="R34" s="61">
        <f>D27*(1+(D5/100))</f>
        <v>24000</v>
      </c>
      <c r="S34" s="18" t="s">
        <v>27</v>
      </c>
    </row>
    <row r="35" spans="1:20" ht="15" customHeight="1" thickBot="1">
      <c r="A35" s="270"/>
      <c r="M35" s="18" t="s">
        <v>28</v>
      </c>
      <c r="N35" s="18">
        <f t="shared" si="13"/>
        <v>100</v>
      </c>
      <c r="O35" s="18">
        <f t="shared" si="14"/>
        <v>75</v>
      </c>
      <c r="P35" s="20">
        <f t="shared" si="15"/>
        <v>10</v>
      </c>
      <c r="Q35" s="7">
        <f t="shared" si="16"/>
        <v>72.5</v>
      </c>
      <c r="R35" s="61">
        <f>D28*(1+(D5/100))</f>
        <v>105000</v>
      </c>
      <c r="S35" s="18" t="s">
        <v>28</v>
      </c>
    </row>
    <row r="36" spans="1:20" ht="16.5" thickBot="1">
      <c r="A36" s="204" t="s">
        <v>44</v>
      </c>
      <c r="B36" s="205" t="s">
        <v>8</v>
      </c>
      <c r="C36" s="206" t="s">
        <v>1</v>
      </c>
      <c r="D36" s="206" t="s">
        <v>2</v>
      </c>
      <c r="E36" s="206" t="s">
        <v>45</v>
      </c>
      <c r="F36" s="206"/>
      <c r="G36" s="206" t="s">
        <v>48</v>
      </c>
      <c r="H36" s="206" t="s">
        <v>46</v>
      </c>
      <c r="I36" s="206" t="s">
        <v>47</v>
      </c>
      <c r="J36" s="207" t="s">
        <v>57</v>
      </c>
      <c r="K36" s="208" t="s">
        <v>58</v>
      </c>
      <c r="M36" s="18" t="s">
        <v>29</v>
      </c>
      <c r="N36" s="22">
        <f t="shared" si="13"/>
        <v>4</v>
      </c>
      <c r="O36" s="20">
        <f t="shared" si="14"/>
        <v>12</v>
      </c>
      <c r="P36" s="18">
        <f t="shared" si="15"/>
        <v>0</v>
      </c>
      <c r="Q36" s="68">
        <f t="shared" si="16"/>
        <v>7</v>
      </c>
      <c r="R36" s="61">
        <f>D29*(1+(D5/100))</f>
        <v>24000</v>
      </c>
      <c r="S36" s="18" t="s">
        <v>29</v>
      </c>
    </row>
    <row r="37" spans="1:20">
      <c r="A37" s="10" t="s">
        <v>9</v>
      </c>
      <c r="B37" s="201"/>
      <c r="C37" s="202">
        <f>B9*B37</f>
        <v>0</v>
      </c>
      <c r="D37" s="202">
        <f>C9*B37</f>
        <v>0</v>
      </c>
      <c r="E37" s="202">
        <f>D9*B37</f>
        <v>0</v>
      </c>
      <c r="F37" s="202"/>
      <c r="G37" s="202">
        <f>C37*(1+(B5/100))</f>
        <v>0</v>
      </c>
      <c r="H37" s="202">
        <f>D37*(1+(C5/100))</f>
        <v>0</v>
      </c>
      <c r="I37" s="202">
        <f>E37*(1+(D5/100))/10</f>
        <v>0</v>
      </c>
      <c r="J37" s="203">
        <f>(J34/100)*(B37*I9)</f>
        <v>0</v>
      </c>
      <c r="K37" s="192">
        <f>(J34/100)*(B37*J9)</f>
        <v>0</v>
      </c>
      <c r="L37" s="14" t="s">
        <v>9</v>
      </c>
      <c r="M37" s="18" t="s">
        <v>30</v>
      </c>
      <c r="N37" s="18">
        <f t="shared" si="13"/>
        <v>166.66666666666666</v>
      </c>
      <c r="O37" s="18">
        <f t="shared" si="14"/>
        <v>166.66666666666666</v>
      </c>
      <c r="P37" s="18">
        <f t="shared" si="15"/>
        <v>100</v>
      </c>
      <c r="Q37" s="69">
        <f t="shared" si="16"/>
        <v>225</v>
      </c>
      <c r="R37" s="63">
        <f>D30*(1+(D5/100))</f>
        <v>300000</v>
      </c>
      <c r="S37" s="18" t="s">
        <v>30</v>
      </c>
    </row>
    <row r="38" spans="1:20">
      <c r="A38" s="7" t="s">
        <v>11</v>
      </c>
      <c r="B38" s="27"/>
      <c r="C38" s="33">
        <f t="shared" ref="C38:C50" si="17">B10*B38</f>
        <v>0</v>
      </c>
      <c r="D38" s="33">
        <f t="shared" ref="D38:D50" si="18">C10*B38</f>
        <v>0</v>
      </c>
      <c r="E38" s="33">
        <f t="shared" ref="E38:E50" si="19">D10*B38</f>
        <v>0</v>
      </c>
      <c r="F38" s="33"/>
      <c r="G38" s="33">
        <f>C38*(1+(B5/100))</f>
        <v>0</v>
      </c>
      <c r="H38" s="33">
        <f>D38*(1+(C5/100))</f>
        <v>0</v>
      </c>
      <c r="I38" s="33">
        <f>E38*(1+(D5/100))/10</f>
        <v>0</v>
      </c>
      <c r="J38" s="26">
        <f>(J34/100)*(B38*I10)</f>
        <v>0</v>
      </c>
      <c r="K38" s="44">
        <f>(J34/100)*(B38*J10)</f>
        <v>0</v>
      </c>
      <c r="L38" s="7" t="s">
        <v>11</v>
      </c>
      <c r="M38" s="18" t="s">
        <v>31</v>
      </c>
      <c r="N38" s="21">
        <f t="shared" si="13"/>
        <v>10</v>
      </c>
      <c r="O38" s="21">
        <f t="shared" si="14"/>
        <v>10</v>
      </c>
      <c r="P38" s="21">
        <f t="shared" si="15"/>
        <v>5</v>
      </c>
      <c r="Q38" s="7">
        <f t="shared" si="16"/>
        <v>12.5</v>
      </c>
      <c r="R38" s="62">
        <f>D31*(1+(D5/100))</f>
        <v>600000</v>
      </c>
      <c r="S38" s="18" t="s">
        <v>31</v>
      </c>
    </row>
    <row r="39" spans="1:20" ht="14.25" customHeight="1">
      <c r="A39" s="7" t="s">
        <v>12</v>
      </c>
      <c r="B39" s="27"/>
      <c r="C39" s="33">
        <f t="shared" si="17"/>
        <v>0</v>
      </c>
      <c r="D39" s="33">
        <f t="shared" si="18"/>
        <v>0</v>
      </c>
      <c r="E39" s="33">
        <f>D11*B39</f>
        <v>0</v>
      </c>
      <c r="F39" s="33"/>
      <c r="G39" s="33">
        <f>C39*(1+(B5/100))</f>
        <v>0</v>
      </c>
      <c r="H39" s="33">
        <f>D39*(1+(C5/100))</f>
        <v>0</v>
      </c>
      <c r="I39" s="33">
        <f>E39*(1+(D5/100))/10</f>
        <v>0</v>
      </c>
      <c r="J39" s="26">
        <f>(J34/100)*(B39*I11)</f>
        <v>0</v>
      </c>
      <c r="K39" s="44">
        <f>(J34/100)*(B39*J11)</f>
        <v>0</v>
      </c>
      <c r="L39" s="7" t="s">
        <v>12</v>
      </c>
    </row>
    <row r="40" spans="1:20">
      <c r="A40" s="7" t="s">
        <v>13</v>
      </c>
      <c r="B40" s="27"/>
      <c r="C40" s="33">
        <f t="shared" si="17"/>
        <v>0</v>
      </c>
      <c r="D40" s="33">
        <f t="shared" si="18"/>
        <v>0</v>
      </c>
      <c r="E40" s="33">
        <f t="shared" si="19"/>
        <v>0</v>
      </c>
      <c r="F40" s="33"/>
      <c r="G40" s="33">
        <f>C40*(1+(B5/100))</f>
        <v>0</v>
      </c>
      <c r="H40" s="33">
        <f>D40*(1+(C5/100))</f>
        <v>0</v>
      </c>
      <c r="I40" s="33">
        <f>E40*(1+(D5/100))/10</f>
        <v>0</v>
      </c>
      <c r="J40" s="26">
        <f>(J34/100)*(B40*I12)</f>
        <v>0</v>
      </c>
      <c r="K40" s="44">
        <f>(J34/100)*(B40*J12)</f>
        <v>0</v>
      </c>
      <c r="L40" s="7" t="s">
        <v>13</v>
      </c>
    </row>
    <row r="41" spans="1:20">
      <c r="A41" s="7" t="s">
        <v>14</v>
      </c>
      <c r="B41" s="27"/>
      <c r="C41" s="33">
        <f t="shared" si="17"/>
        <v>0</v>
      </c>
      <c r="D41" s="33">
        <f t="shared" si="18"/>
        <v>0</v>
      </c>
      <c r="E41" s="33">
        <f t="shared" si="19"/>
        <v>0</v>
      </c>
      <c r="F41" s="33"/>
      <c r="G41" s="33">
        <f>(C41*(1+(B5/100)))</f>
        <v>0</v>
      </c>
      <c r="H41" s="33">
        <f>D41*(1+(C5/100))</f>
        <v>0</v>
      </c>
      <c r="I41" s="33">
        <f>E41*(1+(D5/100))/10</f>
        <v>0</v>
      </c>
      <c r="J41" s="26">
        <f>(J34/100)*(B41*I13)</f>
        <v>0</v>
      </c>
      <c r="K41" s="44">
        <f>(J34/100)*(B41*J13)</f>
        <v>0</v>
      </c>
      <c r="L41" s="7" t="s">
        <v>14</v>
      </c>
    </row>
    <row r="42" spans="1:20">
      <c r="A42" s="7" t="s">
        <v>15</v>
      </c>
      <c r="B42" s="27"/>
      <c r="C42" s="33">
        <f t="shared" si="17"/>
        <v>0</v>
      </c>
      <c r="D42" s="33">
        <f t="shared" si="18"/>
        <v>0</v>
      </c>
      <c r="E42" s="33">
        <f t="shared" si="19"/>
        <v>0</v>
      </c>
      <c r="F42" s="33"/>
      <c r="G42" s="33">
        <f>C42*(1+(B5/100))</f>
        <v>0</v>
      </c>
      <c r="H42" s="33">
        <f>D42*(1+(C5/100))</f>
        <v>0</v>
      </c>
      <c r="I42" s="33">
        <f>E42*(1+(D5/100))/10</f>
        <v>0</v>
      </c>
      <c r="J42" s="26">
        <f>(J34/100)*(B42*I14)</f>
        <v>0</v>
      </c>
      <c r="K42" s="44">
        <f>(J34/100)*(B42*J14)</f>
        <v>0</v>
      </c>
      <c r="L42" s="7" t="s">
        <v>15</v>
      </c>
    </row>
    <row r="43" spans="1:20">
      <c r="A43" s="7" t="s">
        <v>16</v>
      </c>
      <c r="B43" s="27">
        <v>1150178</v>
      </c>
      <c r="C43" s="33">
        <f t="shared" si="17"/>
        <v>230035600000</v>
      </c>
      <c r="D43" s="33">
        <f t="shared" si="18"/>
        <v>57508900000</v>
      </c>
      <c r="E43" s="33">
        <f t="shared" si="19"/>
        <v>10351602000000</v>
      </c>
      <c r="F43" s="33"/>
      <c r="G43" s="33">
        <f>C43*(1+(B5/100))</f>
        <v>690106800000</v>
      </c>
      <c r="H43" s="33">
        <f>D43*(1+(C5/100))</f>
        <v>172526700000</v>
      </c>
      <c r="I43" s="33">
        <f>E43*(1+(D5/100))/10</f>
        <v>3105480600000</v>
      </c>
      <c r="J43" s="26">
        <f>(J34/100)*(B43*I15)</f>
        <v>1725267000000</v>
      </c>
      <c r="K43" s="44">
        <f>(J34/100)*(B43*J15)</f>
        <v>1380213600000</v>
      </c>
      <c r="L43" s="7" t="s">
        <v>16</v>
      </c>
    </row>
    <row r="44" spans="1:20">
      <c r="A44" s="7" t="s">
        <v>17</v>
      </c>
      <c r="B44" s="27"/>
      <c r="C44" s="33">
        <f t="shared" si="17"/>
        <v>0</v>
      </c>
      <c r="D44" s="33">
        <f t="shared" si="18"/>
        <v>0</v>
      </c>
      <c r="E44" s="33">
        <f t="shared" si="19"/>
        <v>0</v>
      </c>
      <c r="F44" s="33"/>
      <c r="G44" s="33">
        <f>(C44*(1+(B5/100)))</f>
        <v>0</v>
      </c>
      <c r="H44" s="33">
        <f>D44*(1+(C5/100))</f>
        <v>0</v>
      </c>
      <c r="I44" s="33">
        <f>E44*(1+(D5/100))/10</f>
        <v>0</v>
      </c>
      <c r="J44" s="26">
        <f>(J34/100)*(B44*I16)</f>
        <v>0</v>
      </c>
      <c r="K44" s="44">
        <f>(J34/100)*(B44*J16)</f>
        <v>0</v>
      </c>
      <c r="L44" s="7" t="s">
        <v>17</v>
      </c>
      <c r="N44" s="7" t="s">
        <v>25</v>
      </c>
      <c r="O44" s="7" t="s">
        <v>35</v>
      </c>
      <c r="P44" s="7" t="s">
        <v>36</v>
      </c>
      <c r="Q44" s="7" t="s">
        <v>37</v>
      </c>
      <c r="R44" s="54" t="s">
        <v>41</v>
      </c>
      <c r="S44" s="60" t="s">
        <v>62</v>
      </c>
    </row>
    <row r="45" spans="1:20">
      <c r="A45" s="7" t="s">
        <v>18</v>
      </c>
      <c r="B45" s="28"/>
      <c r="C45" s="33">
        <f t="shared" si="17"/>
        <v>0</v>
      </c>
      <c r="D45" s="33">
        <f t="shared" si="18"/>
        <v>0</v>
      </c>
      <c r="E45" s="33">
        <f t="shared" si="19"/>
        <v>0</v>
      </c>
      <c r="F45" s="34"/>
      <c r="G45" s="34">
        <f>(C45*(1+(B5/100)))</f>
        <v>0</v>
      </c>
      <c r="H45" s="33">
        <f>D45*(1+(C5/100))</f>
        <v>0</v>
      </c>
      <c r="I45" s="34">
        <f>E45*(1+(D5/100))/10</f>
        <v>0</v>
      </c>
      <c r="J45" s="29">
        <f>(J34/100)*(B45*I17)</f>
        <v>0</v>
      </c>
      <c r="K45" s="44">
        <f>(J34/100)*(B45*J17)</f>
        <v>0</v>
      </c>
      <c r="L45" s="7" t="s">
        <v>18</v>
      </c>
      <c r="N45" s="8" t="s">
        <v>9</v>
      </c>
      <c r="O45" s="18">
        <f>I9/B9</f>
        <v>60</v>
      </c>
      <c r="P45" s="39">
        <f>J9/B9</f>
        <v>20</v>
      </c>
      <c r="Q45" s="18">
        <f>K9/B9</f>
        <v>0</v>
      </c>
      <c r="R45" s="50">
        <f>L9/B9</f>
        <v>25</v>
      </c>
      <c r="S45" s="7">
        <f t="shared" ref="S45:S55" si="20">R45+R61</f>
        <v>150</v>
      </c>
      <c r="T45" s="8" t="s">
        <v>9</v>
      </c>
    </row>
    <row r="46" spans="1:20">
      <c r="A46" s="7" t="s">
        <v>67</v>
      </c>
      <c r="B46" s="27"/>
      <c r="C46" s="33">
        <f t="shared" si="17"/>
        <v>0</v>
      </c>
      <c r="D46" s="33">
        <f t="shared" si="18"/>
        <v>0</v>
      </c>
      <c r="E46" s="33">
        <f t="shared" si="19"/>
        <v>0</v>
      </c>
      <c r="F46" s="131"/>
      <c r="G46" s="129">
        <f>(C46*(1+(B5/100)))</f>
        <v>0</v>
      </c>
      <c r="H46" s="130">
        <f>D46*(1+(C5/100))</f>
        <v>0</v>
      </c>
      <c r="I46" s="132">
        <f>E46*(1+(D5/100))/10</f>
        <v>0</v>
      </c>
      <c r="J46" s="44">
        <f>(J34/100)*(B46*I18)</f>
        <v>0</v>
      </c>
      <c r="K46" s="44">
        <f>(J34/100)*(B46*J18)</f>
        <v>0</v>
      </c>
      <c r="L46" s="7" t="s">
        <v>67</v>
      </c>
      <c r="N46" s="8" t="s">
        <v>11</v>
      </c>
      <c r="O46" s="18">
        <f t="shared" ref="O46:O55" si="21">I10/B10</f>
        <v>40</v>
      </c>
      <c r="P46" s="18">
        <f t="shared" ref="P46:P55" si="22">J10/B10</f>
        <v>26.666666666666668</v>
      </c>
      <c r="Q46" s="18">
        <f t="shared" ref="Q46:Q55" si="23">K10/B10</f>
        <v>0</v>
      </c>
      <c r="R46" s="50">
        <f t="shared" ref="R46:R55" si="24">L10/B10</f>
        <v>23.333333333333332</v>
      </c>
      <c r="S46" s="84">
        <f t="shared" si="20"/>
        <v>163.33333333333334</v>
      </c>
      <c r="T46" s="8" t="s">
        <v>11</v>
      </c>
    </row>
    <row r="47" spans="1:20">
      <c r="A47" s="7" t="s">
        <v>68</v>
      </c>
      <c r="B47" s="27"/>
      <c r="C47" s="33">
        <f t="shared" si="17"/>
        <v>0</v>
      </c>
      <c r="D47" s="33">
        <f t="shared" si="18"/>
        <v>0</v>
      </c>
      <c r="E47" s="33">
        <f t="shared" si="19"/>
        <v>0</v>
      </c>
      <c r="F47" s="131"/>
      <c r="G47" s="129">
        <f>(C47*(1+(B5/100)))</f>
        <v>0</v>
      </c>
      <c r="H47" s="33">
        <f>D47*(1+(C5/100))</f>
        <v>0</v>
      </c>
      <c r="I47" s="132">
        <f>E47*(1+(D5/100))/10</f>
        <v>0</v>
      </c>
      <c r="J47" s="44">
        <f>(J34/100)*(B47*I19)</f>
        <v>0</v>
      </c>
      <c r="K47" s="44">
        <f>(J34/100)*(B47*J19)</f>
        <v>0</v>
      </c>
      <c r="L47" s="7" t="s">
        <v>68</v>
      </c>
      <c r="N47" s="8" t="s">
        <v>12</v>
      </c>
      <c r="O47" s="18">
        <f t="shared" si="21"/>
        <v>50</v>
      </c>
      <c r="P47" s="18">
        <f t="shared" si="22"/>
        <v>17.5</v>
      </c>
      <c r="Q47" s="47">
        <f t="shared" si="23"/>
        <v>5</v>
      </c>
      <c r="R47" s="50">
        <f t="shared" si="24"/>
        <v>26.25</v>
      </c>
      <c r="S47" s="7">
        <f t="shared" si="20"/>
        <v>236.25</v>
      </c>
      <c r="T47" s="8" t="s">
        <v>12</v>
      </c>
    </row>
    <row r="48" spans="1:20">
      <c r="A48" s="7" t="s">
        <v>75</v>
      </c>
      <c r="B48" s="27"/>
      <c r="C48" s="33">
        <f t="shared" si="17"/>
        <v>0</v>
      </c>
      <c r="D48" s="33">
        <f t="shared" si="18"/>
        <v>0</v>
      </c>
      <c r="E48" s="33">
        <f t="shared" si="19"/>
        <v>0</v>
      </c>
      <c r="F48" s="131"/>
      <c r="G48" s="129">
        <f>(C48*(1+(B5/100)))</f>
        <v>0</v>
      </c>
      <c r="H48" s="33">
        <f>D48*(1+(C5/100))</f>
        <v>0</v>
      </c>
      <c r="I48" s="132">
        <f>E48*(1+(D5/100))/10</f>
        <v>0</v>
      </c>
      <c r="J48" s="44">
        <f>(J34/100)*(B48*I20)</f>
        <v>0</v>
      </c>
      <c r="K48" s="44">
        <f>(J34/100)*(B48*J20)</f>
        <v>0</v>
      </c>
      <c r="L48" s="7" t="s">
        <v>75</v>
      </c>
      <c r="N48" s="8" t="s">
        <v>13</v>
      </c>
      <c r="O48" s="18">
        <f t="shared" si="21"/>
        <v>45</v>
      </c>
      <c r="P48" s="47">
        <f t="shared" si="22"/>
        <v>15</v>
      </c>
      <c r="Q48" s="18">
        <f t="shared" si="23"/>
        <v>0</v>
      </c>
      <c r="R48" s="51">
        <f>L12/B12</f>
        <v>18.75</v>
      </c>
      <c r="S48" s="14">
        <f t="shared" si="20"/>
        <v>112.5</v>
      </c>
      <c r="T48" s="73" t="s">
        <v>13</v>
      </c>
    </row>
    <row r="49" spans="1:20">
      <c r="A49" s="11" t="s">
        <v>87</v>
      </c>
      <c r="B49" s="145">
        <v>29000000</v>
      </c>
      <c r="C49" s="130">
        <f t="shared" si="17"/>
        <v>145000000</v>
      </c>
      <c r="D49" s="130">
        <f t="shared" si="18"/>
        <v>7250000000</v>
      </c>
      <c r="E49" s="130">
        <f t="shared" si="19"/>
        <v>1160000000000</v>
      </c>
      <c r="F49" s="146"/>
      <c r="G49" s="129">
        <f>(C49*(1+(B5/100)))</f>
        <v>435000000</v>
      </c>
      <c r="H49" s="130">
        <f>D49*(1+(C5/100))</f>
        <v>21750000000</v>
      </c>
      <c r="I49" s="147">
        <f>E49*(1+(D5/100))/10</f>
        <v>348000000000</v>
      </c>
      <c r="J49" s="148">
        <f>(J34/100)*(B49*I21)</f>
        <v>174000000000</v>
      </c>
      <c r="K49" s="148">
        <f>(J34/100)*(B49*J21)</f>
        <v>174000000000</v>
      </c>
      <c r="L49" s="11" t="s">
        <v>87</v>
      </c>
      <c r="N49" s="8" t="s">
        <v>14</v>
      </c>
      <c r="O49" s="18">
        <f t="shared" si="21"/>
        <v>50</v>
      </c>
      <c r="P49" s="18">
        <f t="shared" si="22"/>
        <v>25</v>
      </c>
      <c r="Q49" s="18">
        <f t="shared" si="23"/>
        <v>15</v>
      </c>
      <c r="R49" s="50">
        <f t="shared" si="24"/>
        <v>40</v>
      </c>
      <c r="S49" s="7">
        <f t="shared" si="20"/>
        <v>120</v>
      </c>
      <c r="T49" s="8" t="s">
        <v>14</v>
      </c>
    </row>
    <row r="50" spans="1:20" ht="15" customHeight="1" thickBot="1">
      <c r="A50" s="153" t="s">
        <v>61</v>
      </c>
      <c r="B50" s="176">
        <v>100000000</v>
      </c>
      <c r="C50" s="130">
        <f t="shared" si="17"/>
        <v>100000000</v>
      </c>
      <c r="D50" s="130">
        <f t="shared" si="18"/>
        <v>1000000000</v>
      </c>
      <c r="E50" s="130">
        <f t="shared" si="19"/>
        <v>1600000000000</v>
      </c>
      <c r="F50" s="131"/>
      <c r="G50" s="129">
        <f>(C50*(1+(B5/100)))</f>
        <v>300000000</v>
      </c>
      <c r="H50" s="130">
        <f>D50*(1+(C5/100))</f>
        <v>3000000000</v>
      </c>
      <c r="I50" s="132">
        <f>E50*(1+(D5/100))/10</f>
        <v>480000000000</v>
      </c>
      <c r="J50" s="30">
        <f>(J34/100)*(B50*I22)</f>
        <v>300000000000</v>
      </c>
      <c r="K50" s="30">
        <f>(J34/100)*(B50*J22)</f>
        <v>180000000000</v>
      </c>
      <c r="L50" s="7" t="s">
        <v>88</v>
      </c>
      <c r="N50" s="8" t="s">
        <v>15</v>
      </c>
      <c r="O50" s="49">
        <f t="shared" si="21"/>
        <v>30</v>
      </c>
      <c r="P50" s="18">
        <f t="shared" si="22"/>
        <v>25</v>
      </c>
      <c r="Q50" s="18">
        <f t="shared" si="23"/>
        <v>7.5</v>
      </c>
      <c r="R50" s="50">
        <f t="shared" si="24"/>
        <v>27.5</v>
      </c>
      <c r="S50" s="7">
        <f t="shared" si="20"/>
        <v>137.5</v>
      </c>
      <c r="T50" s="8" t="s">
        <v>15</v>
      </c>
    </row>
    <row r="51" spans="1:20" ht="15" customHeight="1">
      <c r="A51" s="275" t="s">
        <v>43</v>
      </c>
      <c r="C51" s="255" t="s">
        <v>52</v>
      </c>
      <c r="D51" s="256"/>
      <c r="E51" s="257"/>
      <c r="G51" s="258" t="s">
        <v>53</v>
      </c>
      <c r="H51" s="259"/>
      <c r="I51" s="260"/>
      <c r="J51" s="149">
        <f>SUM(J37:J50)</f>
        <v>2199267000000</v>
      </c>
      <c r="K51" s="150">
        <f>SUM(K37:K50)</f>
        <v>1734213600000</v>
      </c>
      <c r="L51" s="151" t="s">
        <v>61</v>
      </c>
      <c r="N51" s="8" t="s">
        <v>16</v>
      </c>
      <c r="O51" s="47">
        <f t="shared" si="21"/>
        <v>25</v>
      </c>
      <c r="P51" s="39">
        <f t="shared" si="22"/>
        <v>20</v>
      </c>
      <c r="Q51" s="47">
        <f t="shared" si="23"/>
        <v>5</v>
      </c>
      <c r="R51" s="55">
        <f t="shared" si="24"/>
        <v>21.25</v>
      </c>
      <c r="S51" s="14">
        <f t="shared" si="20"/>
        <v>106.25</v>
      </c>
      <c r="T51" s="72" t="s">
        <v>16</v>
      </c>
    </row>
    <row r="52" spans="1:20" ht="15" customHeight="1">
      <c r="A52" s="276"/>
      <c r="C52" s="24" t="s">
        <v>49</v>
      </c>
      <c r="D52" s="24" t="s">
        <v>50</v>
      </c>
      <c r="E52" s="24" t="s">
        <v>51</v>
      </c>
      <c r="G52" s="24" t="s">
        <v>49</v>
      </c>
      <c r="H52" s="24" t="s">
        <v>50</v>
      </c>
      <c r="I52" s="24" t="s">
        <v>51</v>
      </c>
      <c r="L52" s="79">
        <f>(J51+K51)/20000</f>
        <v>196674030</v>
      </c>
      <c r="N52" s="8" t="s">
        <v>17</v>
      </c>
      <c r="O52" s="18">
        <f t="shared" si="21"/>
        <v>42.857142857142854</v>
      </c>
      <c r="P52" s="18">
        <f t="shared" si="22"/>
        <v>57.142857142857146</v>
      </c>
      <c r="Q52" s="42">
        <f t="shared" si="23"/>
        <v>21.428571428571427</v>
      </c>
      <c r="R52" s="50">
        <f t="shared" si="24"/>
        <v>60.714285714285715</v>
      </c>
      <c r="S52" s="58">
        <f t="shared" si="20"/>
        <v>166.96428571428572</v>
      </c>
      <c r="T52" s="8" t="s">
        <v>17</v>
      </c>
    </row>
    <row r="53" spans="1:20" ht="15" customHeight="1" thickBot="1">
      <c r="A53" s="276"/>
      <c r="C53" s="209">
        <f>SUM(C37:C48)</f>
        <v>230035600000</v>
      </c>
      <c r="D53" s="209">
        <f>SUM(D37:D48)</f>
        <v>57508900000</v>
      </c>
      <c r="E53" s="209">
        <f>SUM(E37:E48)</f>
        <v>10351602000000</v>
      </c>
      <c r="G53" s="209">
        <f>SUM(G37:G50)</f>
        <v>690841800000</v>
      </c>
      <c r="H53" s="209">
        <f>SUM(H37:H50)</f>
        <v>197276700000</v>
      </c>
      <c r="I53" s="209">
        <f>SUM(I37:I50)</f>
        <v>3933480600000</v>
      </c>
      <c r="N53" s="8" t="s">
        <v>18</v>
      </c>
      <c r="O53" s="42">
        <f t="shared" si="21"/>
        <v>166.66666666666666</v>
      </c>
      <c r="P53" s="48">
        <f t="shared" si="22"/>
        <v>83.333333333333329</v>
      </c>
      <c r="Q53" s="48">
        <f t="shared" si="23"/>
        <v>10</v>
      </c>
      <c r="R53" s="52">
        <f t="shared" si="24"/>
        <v>93.333333333333329</v>
      </c>
      <c r="S53" s="67">
        <f t="shared" si="20"/>
        <v>373.33333333333331</v>
      </c>
      <c r="T53" s="71" t="s">
        <v>18</v>
      </c>
    </row>
    <row r="54" spans="1:20" ht="16.5" thickBot="1">
      <c r="A54" s="204" t="s">
        <v>25</v>
      </c>
      <c r="B54" s="205" t="s">
        <v>8</v>
      </c>
      <c r="C54" s="206" t="s">
        <v>1</v>
      </c>
      <c r="D54" s="206" t="s">
        <v>2</v>
      </c>
      <c r="E54" s="206" t="s">
        <v>45</v>
      </c>
      <c r="F54" s="206"/>
      <c r="G54" s="206" t="s">
        <v>48</v>
      </c>
      <c r="H54" s="206" t="s">
        <v>46</v>
      </c>
      <c r="I54" s="206" t="s">
        <v>47</v>
      </c>
      <c r="J54" s="207" t="s">
        <v>57</v>
      </c>
      <c r="K54" s="208" t="s">
        <v>58</v>
      </c>
      <c r="N54" s="83" t="s">
        <v>67</v>
      </c>
      <c r="O54" s="48">
        <f t="shared" si="21"/>
        <v>150</v>
      </c>
      <c r="P54" s="42">
        <f t="shared" si="22"/>
        <v>200</v>
      </c>
      <c r="Q54" s="48">
        <f t="shared" si="23"/>
        <v>10</v>
      </c>
      <c r="R54" s="53">
        <f t="shared" si="24"/>
        <v>147.5</v>
      </c>
      <c r="S54" s="14">
        <f t="shared" si="20"/>
        <v>442.5</v>
      </c>
      <c r="T54" s="83" t="s">
        <v>67</v>
      </c>
    </row>
    <row r="55" spans="1:20">
      <c r="A55" s="10" t="s">
        <v>24</v>
      </c>
      <c r="B55" s="201">
        <v>690000000</v>
      </c>
      <c r="C55" s="202">
        <f t="shared" ref="C55:C61" si="25">B55*B25</f>
        <v>55200000000</v>
      </c>
      <c r="D55" s="202">
        <f t="shared" ref="D55:D61" si="26">B55*C25</f>
        <v>13800000000</v>
      </c>
      <c r="E55" s="202">
        <f t="shared" ref="E55:E61" si="27">(B55*D25)/10</f>
        <v>138000000000</v>
      </c>
      <c r="F55" s="202"/>
      <c r="G55" s="202">
        <f>C55*(1+(B5/100))</f>
        <v>165600000000</v>
      </c>
      <c r="H55" s="202">
        <f>D55*(1+(C5/100))</f>
        <v>41400000000</v>
      </c>
      <c r="I55" s="202">
        <f>E55*(1+(D5/100))</f>
        <v>414000000000</v>
      </c>
      <c r="J55" s="203">
        <f>(K34/100)*(B55*H25)</f>
        <v>138000000000</v>
      </c>
      <c r="K55" s="203">
        <f>(K34/100)*(B55*I25)</f>
        <v>0</v>
      </c>
      <c r="N55" s="8" t="s">
        <v>68</v>
      </c>
      <c r="O55" s="48">
        <f t="shared" si="21"/>
        <v>37.5</v>
      </c>
      <c r="P55" s="42">
        <f t="shared" si="22"/>
        <v>30</v>
      </c>
      <c r="Q55" s="48">
        <f t="shared" si="23"/>
        <v>7.5</v>
      </c>
      <c r="R55" s="53">
        <f t="shared" si="24"/>
        <v>31.875</v>
      </c>
      <c r="S55" s="14">
        <f t="shared" si="20"/>
        <v>95.625</v>
      </c>
      <c r="T55" s="8" t="s">
        <v>68</v>
      </c>
    </row>
    <row r="56" spans="1:20">
      <c r="A56" s="7" t="s">
        <v>26</v>
      </c>
      <c r="B56" s="27">
        <v>521000000</v>
      </c>
      <c r="C56" s="33">
        <f t="shared" si="25"/>
        <v>52100000000</v>
      </c>
      <c r="D56" s="33">
        <f t="shared" si="26"/>
        <v>13025000000</v>
      </c>
      <c r="E56" s="33">
        <f t="shared" si="27"/>
        <v>104200000000</v>
      </c>
      <c r="F56" s="33"/>
      <c r="G56" s="33">
        <f>C56*(1+(B5/100))</f>
        <v>156300000000</v>
      </c>
      <c r="H56" s="33">
        <f>D56*(1+(C5/100))</f>
        <v>39075000000</v>
      </c>
      <c r="I56" s="33">
        <f>E56*(1+(D5/100))</f>
        <v>312600000000</v>
      </c>
      <c r="J56" s="26">
        <f>(K34/100)*(B56*H26)</f>
        <v>78150000000</v>
      </c>
      <c r="K56" s="26">
        <f>(K34/100)*(B56*I26)</f>
        <v>26050000000</v>
      </c>
    </row>
    <row r="57" spans="1:20">
      <c r="A57" s="7" t="s">
        <v>27</v>
      </c>
      <c r="B57" s="27">
        <v>30000000</v>
      </c>
      <c r="C57" s="33">
        <f t="shared" si="25"/>
        <v>7500000000</v>
      </c>
      <c r="D57" s="33">
        <f t="shared" si="26"/>
        <v>3000000000</v>
      </c>
      <c r="E57" s="33">
        <f t="shared" si="27"/>
        <v>24000000000</v>
      </c>
      <c r="F57" s="33"/>
      <c r="G57" s="33">
        <f>C57*(1+(B5/100))</f>
        <v>22500000000</v>
      </c>
      <c r="H57" s="33">
        <f>D57*(1+(C5/100))</f>
        <v>9000000000</v>
      </c>
      <c r="I57" s="33">
        <f>E57*(1+(D5/100))</f>
        <v>72000000000</v>
      </c>
      <c r="J57" s="26">
        <f>(K34/100)*(B57*H27)</f>
        <v>18000000000</v>
      </c>
      <c r="K57" s="26">
        <f>(K34/100)*(B57*I27)</f>
        <v>6000000000</v>
      </c>
      <c r="O57" s="3"/>
    </row>
    <row r="58" spans="1:20">
      <c r="A58" s="7" t="s">
        <v>28</v>
      </c>
      <c r="B58" s="27"/>
      <c r="C58" s="33">
        <f t="shared" si="25"/>
        <v>0</v>
      </c>
      <c r="D58" s="33">
        <f t="shared" si="26"/>
        <v>0</v>
      </c>
      <c r="E58" s="33">
        <f t="shared" si="27"/>
        <v>0</v>
      </c>
      <c r="F58" s="33"/>
      <c r="G58" s="33">
        <f>C58*(1+(B5/100))</f>
        <v>0</v>
      </c>
      <c r="H58" s="33">
        <f>D58*(1+(C5/100))</f>
        <v>0</v>
      </c>
      <c r="I58" s="33">
        <f>E58*(1+(D5/100))</f>
        <v>0</v>
      </c>
      <c r="J58" s="26">
        <f>(K34/100)*(B58*H28)</f>
        <v>0</v>
      </c>
      <c r="K58" s="26">
        <f>(K34/100)*(B58*I28)</f>
        <v>0</v>
      </c>
    </row>
    <row r="59" spans="1:20">
      <c r="A59" s="7" t="s">
        <v>29</v>
      </c>
      <c r="B59" s="27">
        <v>200000000</v>
      </c>
      <c r="C59" s="33">
        <f t="shared" si="25"/>
        <v>30000000000</v>
      </c>
      <c r="D59" s="33">
        <f t="shared" si="26"/>
        <v>100000000000</v>
      </c>
      <c r="E59" s="33">
        <f t="shared" si="27"/>
        <v>160000000000</v>
      </c>
      <c r="F59" s="33"/>
      <c r="G59" s="33">
        <f>(C59*(1+(B5/100)))</f>
        <v>90000000000</v>
      </c>
      <c r="H59" s="33">
        <f>D59*(1+(C5/100))</f>
        <v>300000000000</v>
      </c>
      <c r="I59" s="33">
        <f>E59*(1+(D5/100))</f>
        <v>480000000000</v>
      </c>
      <c r="J59" s="26">
        <f>(K34/100)*(B59*H29)</f>
        <v>40000000000</v>
      </c>
      <c r="K59" s="26">
        <f>(K34/100)*(B59*I29)</f>
        <v>120000000000</v>
      </c>
    </row>
    <row r="60" spans="1:20">
      <c r="A60" s="7" t="s">
        <v>30</v>
      </c>
      <c r="B60" s="27">
        <v>11562000</v>
      </c>
      <c r="C60" s="33">
        <f t="shared" si="25"/>
        <v>34686000000</v>
      </c>
      <c r="D60" s="33">
        <f t="shared" si="26"/>
        <v>3468600000</v>
      </c>
      <c r="E60" s="33">
        <f t="shared" si="27"/>
        <v>115620000000</v>
      </c>
      <c r="F60" s="33"/>
      <c r="G60" s="33">
        <f>C60*(1+(B25/100))</f>
        <v>62434800000</v>
      </c>
      <c r="H60" s="33">
        <f>D60*(1+(C5/100))</f>
        <v>10405800000</v>
      </c>
      <c r="I60" s="33">
        <f>E60*(1+(D5/100))</f>
        <v>346860000000</v>
      </c>
      <c r="J60" s="26">
        <f>(K34/100)*(B60*H30)</f>
        <v>57810000000</v>
      </c>
      <c r="K60" s="26">
        <f>(K34/100)*(B60*I30)</f>
        <v>57810000000</v>
      </c>
      <c r="N60" s="7" t="s">
        <v>25</v>
      </c>
      <c r="O60" s="7" t="s">
        <v>38</v>
      </c>
      <c r="P60" s="7" t="s">
        <v>39</v>
      </c>
      <c r="Q60" s="7" t="s">
        <v>40</v>
      </c>
      <c r="R60" s="54" t="s">
        <v>42</v>
      </c>
      <c r="S60" s="70" t="s">
        <v>63</v>
      </c>
    </row>
    <row r="61" spans="1:20">
      <c r="A61" s="7" t="s">
        <v>31</v>
      </c>
      <c r="B61" s="27"/>
      <c r="C61" s="33">
        <f t="shared" si="25"/>
        <v>0</v>
      </c>
      <c r="D61" s="33">
        <f t="shared" si="26"/>
        <v>0</v>
      </c>
      <c r="E61" s="33">
        <f t="shared" si="27"/>
        <v>0</v>
      </c>
      <c r="F61" s="33"/>
      <c r="G61" s="33">
        <f>C61*(1+(B5/100))</f>
        <v>0</v>
      </c>
      <c r="H61" s="33">
        <f>D61*(1+(C5/100))</f>
        <v>0</v>
      </c>
      <c r="I61" s="33">
        <f>E61*(1+(D5/100))</f>
        <v>0</v>
      </c>
      <c r="J61" s="26">
        <f>(K34/100)*(B61*H31)</f>
        <v>0</v>
      </c>
      <c r="K61" s="26">
        <f>(K34/100)*(B61*I31)</f>
        <v>0</v>
      </c>
      <c r="N61" s="8" t="s">
        <v>9</v>
      </c>
      <c r="O61" s="18">
        <f t="shared" ref="O61:O71" si="28">I9/C9</f>
        <v>300</v>
      </c>
      <c r="P61" s="18">
        <f t="shared" ref="P61:P71" si="29">J9/C9</f>
        <v>100</v>
      </c>
      <c r="Q61" s="18">
        <f t="shared" ref="Q61:Q71" si="30">K9/C9</f>
        <v>0</v>
      </c>
      <c r="R61" s="55">
        <f t="shared" ref="R61:R71" si="31">L9/C9</f>
        <v>125</v>
      </c>
      <c r="S61" s="64">
        <f>D9*(1+(D5/100))</f>
        <v>12000</v>
      </c>
      <c r="T61" s="71" t="s">
        <v>9</v>
      </c>
    </row>
    <row r="62" spans="1:20">
      <c r="A62" s="7"/>
      <c r="B62" s="27"/>
      <c r="C62" s="33"/>
      <c r="D62" s="33"/>
      <c r="E62" s="33"/>
      <c r="F62" s="33"/>
      <c r="G62" s="33"/>
      <c r="H62" s="33"/>
      <c r="I62" s="33"/>
      <c r="J62" s="26"/>
      <c r="K62" s="26"/>
      <c r="L62" s="54" t="s">
        <v>61</v>
      </c>
      <c r="N62" s="8" t="s">
        <v>11</v>
      </c>
      <c r="O62" s="18">
        <f t="shared" si="28"/>
        <v>240</v>
      </c>
      <c r="P62" s="18">
        <f t="shared" si="29"/>
        <v>160</v>
      </c>
      <c r="Q62" s="18">
        <f t="shared" si="30"/>
        <v>0</v>
      </c>
      <c r="R62" s="55">
        <f t="shared" si="31"/>
        <v>140</v>
      </c>
      <c r="S62" s="61">
        <f>D10*(1+(D5/100))</f>
        <v>30000</v>
      </c>
      <c r="T62" s="8" t="s">
        <v>11</v>
      </c>
    </row>
    <row r="63" spans="1:20">
      <c r="A63" s="7"/>
      <c r="B63" s="28"/>
      <c r="C63" s="33"/>
      <c r="D63" s="33"/>
      <c r="E63" s="33"/>
      <c r="F63" s="34"/>
      <c r="G63" s="34"/>
      <c r="H63" s="33"/>
      <c r="I63" s="34"/>
      <c r="J63" s="29"/>
      <c r="K63" s="26"/>
      <c r="L63" s="79">
        <f>(J64+K64)/20000</f>
        <v>27091000</v>
      </c>
      <c r="N63" s="8" t="s">
        <v>12</v>
      </c>
      <c r="O63" s="18">
        <f t="shared" si="28"/>
        <v>400</v>
      </c>
      <c r="P63" s="18">
        <f t="shared" si="29"/>
        <v>140</v>
      </c>
      <c r="Q63" s="18">
        <f t="shared" si="30"/>
        <v>40</v>
      </c>
      <c r="R63" s="55">
        <f t="shared" si="31"/>
        <v>210</v>
      </c>
      <c r="S63" s="61">
        <f>D11*(1+(D5/100))</f>
        <v>81000</v>
      </c>
      <c r="T63" s="8" t="s">
        <v>12</v>
      </c>
    </row>
    <row r="64" spans="1:20">
      <c r="J64" s="78">
        <f>SUM(J55:J61)</f>
        <v>331960000000</v>
      </c>
      <c r="K64" s="78">
        <f>SUM(K55:K61)</f>
        <v>209860000000</v>
      </c>
      <c r="N64" s="8" t="s">
        <v>13</v>
      </c>
      <c r="O64" s="18">
        <f t="shared" si="28"/>
        <v>225</v>
      </c>
      <c r="P64" s="48">
        <f t="shared" si="29"/>
        <v>75</v>
      </c>
      <c r="Q64" s="18">
        <f t="shared" si="30"/>
        <v>0</v>
      </c>
      <c r="R64" s="55">
        <f t="shared" si="31"/>
        <v>93.75</v>
      </c>
      <c r="S64" s="61">
        <f>D12*(1+(D5/100))</f>
        <v>180000</v>
      </c>
      <c r="T64" s="8" t="s">
        <v>13</v>
      </c>
    </row>
    <row r="65" spans="1:20">
      <c r="C65" s="272" t="s">
        <v>52</v>
      </c>
      <c r="D65" s="272"/>
      <c r="E65" s="272"/>
      <c r="G65" s="273" t="s">
        <v>53</v>
      </c>
      <c r="H65" s="273"/>
      <c r="I65" s="273"/>
      <c r="N65" s="8" t="s">
        <v>14</v>
      </c>
      <c r="O65" s="48">
        <f t="shared" si="28"/>
        <v>100</v>
      </c>
      <c r="P65" s="47">
        <f t="shared" si="29"/>
        <v>50</v>
      </c>
      <c r="Q65" s="48">
        <f t="shared" si="30"/>
        <v>30</v>
      </c>
      <c r="R65" s="51">
        <f t="shared" si="31"/>
        <v>80</v>
      </c>
      <c r="S65" s="61">
        <f>D13*(1+(D5/100))</f>
        <v>225000</v>
      </c>
      <c r="T65" s="73" t="s">
        <v>14</v>
      </c>
    </row>
    <row r="66" spans="1:20">
      <c r="C66" s="24" t="s">
        <v>49</v>
      </c>
      <c r="D66" s="24" t="s">
        <v>50</v>
      </c>
      <c r="E66" s="24" t="s">
        <v>51</v>
      </c>
      <c r="G66" s="24" t="s">
        <v>49</v>
      </c>
      <c r="H66" s="24" t="s">
        <v>50</v>
      </c>
      <c r="I66" s="24" t="s">
        <v>51</v>
      </c>
      <c r="N66" s="8" t="s">
        <v>15</v>
      </c>
      <c r="O66" s="18">
        <f t="shared" si="28"/>
        <v>120</v>
      </c>
      <c r="P66" s="18">
        <f t="shared" si="29"/>
        <v>100</v>
      </c>
      <c r="Q66" s="48">
        <f t="shared" si="30"/>
        <v>30</v>
      </c>
      <c r="R66" s="55">
        <f t="shared" si="31"/>
        <v>110</v>
      </c>
      <c r="S66" s="61">
        <f>D14*(1+(D5/100))</f>
        <v>330000</v>
      </c>
      <c r="T66" s="8" t="s">
        <v>15</v>
      </c>
    </row>
    <row r="67" spans="1:20">
      <c r="C67" s="31">
        <f>SUM(C55:C61)</f>
        <v>179486000000</v>
      </c>
      <c r="D67" s="31">
        <f>SUM(D55:D61)</f>
        <v>133293600000</v>
      </c>
      <c r="E67" s="31">
        <f>SUM(E55:E61)</f>
        <v>541820000000</v>
      </c>
      <c r="G67" s="31">
        <f>SUM(G55:G61)</f>
        <v>496834800000</v>
      </c>
      <c r="H67" s="31">
        <f>SUM(H55:H61)</f>
        <v>399880800000</v>
      </c>
      <c r="I67" s="31">
        <f>SUM(I55:I61)</f>
        <v>1625460000000</v>
      </c>
      <c r="N67" s="8" t="s">
        <v>16</v>
      </c>
      <c r="O67" s="48">
        <f t="shared" si="28"/>
        <v>100</v>
      </c>
      <c r="P67" s="18">
        <f t="shared" si="29"/>
        <v>80</v>
      </c>
      <c r="Q67" s="47">
        <f t="shared" si="30"/>
        <v>20</v>
      </c>
      <c r="R67" s="52">
        <f t="shared" si="31"/>
        <v>85</v>
      </c>
      <c r="S67" s="62">
        <f>D15*(1+(D5/100))</f>
        <v>27000000</v>
      </c>
      <c r="T67" s="72" t="s">
        <v>16</v>
      </c>
    </row>
    <row r="68" spans="1:20">
      <c r="J68" s="267" t="s">
        <v>65</v>
      </c>
      <c r="K68" s="267"/>
      <c r="L68" s="76" t="s">
        <v>66</v>
      </c>
      <c r="N68" s="8" t="s">
        <v>17</v>
      </c>
      <c r="O68" s="47">
        <f t="shared" si="28"/>
        <v>75</v>
      </c>
      <c r="P68" s="18">
        <f t="shared" si="29"/>
        <v>100</v>
      </c>
      <c r="Q68" s="18">
        <f t="shared" si="30"/>
        <v>37.5</v>
      </c>
      <c r="R68" s="55">
        <f t="shared" si="31"/>
        <v>106.25</v>
      </c>
      <c r="S68" s="61">
        <f>D16*(1+(D5/100))</f>
        <v>210000</v>
      </c>
      <c r="T68" s="8" t="s">
        <v>17</v>
      </c>
    </row>
    <row r="69" spans="1:20" ht="15" customHeight="1">
      <c r="J69" s="80">
        <f>J51+J64</f>
        <v>2531227000000</v>
      </c>
      <c r="K69" s="80">
        <f>K51+K64</f>
        <v>1944073600000</v>
      </c>
      <c r="L69" s="81">
        <f>L52+L63</f>
        <v>223765030</v>
      </c>
      <c r="N69" s="8" t="s">
        <v>18</v>
      </c>
      <c r="O69" s="42">
        <f t="shared" si="28"/>
        <v>500</v>
      </c>
      <c r="P69" s="42">
        <f t="shared" si="29"/>
        <v>250</v>
      </c>
      <c r="Q69" s="48">
        <f t="shared" si="30"/>
        <v>30</v>
      </c>
      <c r="R69" s="53">
        <f t="shared" si="31"/>
        <v>280</v>
      </c>
      <c r="S69" s="134" t="s">
        <v>86</v>
      </c>
      <c r="T69" s="73" t="s">
        <v>18</v>
      </c>
    </row>
    <row r="70" spans="1:20">
      <c r="G70" s="271" t="s">
        <v>60</v>
      </c>
      <c r="H70" s="271"/>
      <c r="I70" s="271"/>
      <c r="K70" s="75"/>
      <c r="L70" s="23"/>
      <c r="N70" s="8" t="s">
        <v>67</v>
      </c>
      <c r="O70" s="39">
        <f t="shared" si="28"/>
        <v>300</v>
      </c>
      <c r="P70" s="39">
        <f t="shared" si="29"/>
        <v>400</v>
      </c>
      <c r="Q70" s="39">
        <f t="shared" si="30"/>
        <v>20</v>
      </c>
      <c r="R70" s="55">
        <f t="shared" si="31"/>
        <v>295</v>
      </c>
      <c r="S70" s="133">
        <f t="shared" ref="S70:S71" si="32">D18*(1+(D6/100))</f>
        <v>1750000</v>
      </c>
      <c r="T70" s="83" t="s">
        <v>67</v>
      </c>
    </row>
    <row r="71" spans="1:20">
      <c r="G71" s="24" t="s">
        <v>49</v>
      </c>
      <c r="H71" s="24" t="s">
        <v>50</v>
      </c>
      <c r="I71" s="24" t="s">
        <v>51</v>
      </c>
      <c r="N71" s="8" t="s">
        <v>68</v>
      </c>
      <c r="O71" s="39">
        <f t="shared" si="28"/>
        <v>75</v>
      </c>
      <c r="P71" s="39">
        <f t="shared" si="29"/>
        <v>60</v>
      </c>
      <c r="Q71" s="39">
        <f t="shared" si="30"/>
        <v>15</v>
      </c>
      <c r="R71" s="55">
        <f t="shared" si="31"/>
        <v>63.75</v>
      </c>
      <c r="S71" s="63">
        <f t="shared" si="32"/>
        <v>13500000</v>
      </c>
      <c r="T71" s="8" t="s">
        <v>68</v>
      </c>
    </row>
    <row r="72" spans="1:20">
      <c r="G72" s="31">
        <f>G67+G53</f>
        <v>1187676600000</v>
      </c>
      <c r="H72" s="31">
        <f>H67+H53</f>
        <v>597157500000</v>
      </c>
      <c r="I72" s="31">
        <f>I67+I53</f>
        <v>5558940600000</v>
      </c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20" ht="15" customHeight="1">
      <c r="A75" s="210"/>
      <c r="B75" s="120"/>
      <c r="C75" s="120"/>
      <c r="D75" s="120"/>
      <c r="E75" s="120"/>
      <c r="F75" s="120"/>
      <c r="G75" s="120"/>
      <c r="H75" s="120"/>
      <c r="I75" s="120"/>
      <c r="J75" s="120"/>
      <c r="K75" s="120"/>
    </row>
    <row r="76" spans="1:20" ht="15" customHeight="1">
      <c r="A76" s="210"/>
      <c r="B76" s="120"/>
      <c r="C76" s="120"/>
      <c r="D76" s="120"/>
      <c r="E76" s="120"/>
      <c r="F76" s="120"/>
      <c r="G76" s="120"/>
      <c r="H76" s="120"/>
      <c r="I76" s="120"/>
      <c r="J76" s="120"/>
      <c r="K76" s="120"/>
    </row>
    <row r="77" spans="1:20" ht="15" customHeight="1">
      <c r="A77" s="210"/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20" ht="15" customHeight="1">
      <c r="A78" s="210"/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20">
      <c r="A79" s="121"/>
      <c r="B79" s="121"/>
      <c r="C79" s="121"/>
      <c r="D79" s="121"/>
      <c r="E79" s="121"/>
      <c r="F79" s="121"/>
      <c r="G79" s="121"/>
      <c r="H79" s="122"/>
      <c r="I79" s="121"/>
      <c r="J79" s="121"/>
      <c r="K79" s="121"/>
    </row>
    <row r="80" spans="1:20">
      <c r="A80" s="121"/>
      <c r="B80" s="123"/>
      <c r="C80" s="124"/>
      <c r="D80" s="124"/>
      <c r="E80" s="124"/>
      <c r="F80" s="125"/>
      <c r="G80" s="125"/>
      <c r="H80" s="122"/>
      <c r="I80" s="126"/>
      <c r="J80" s="126"/>
      <c r="K80" s="126"/>
    </row>
    <row r="81" spans="1:11">
      <c r="A81" s="121"/>
      <c r="B81" s="124"/>
      <c r="C81" s="124"/>
      <c r="D81" s="124"/>
      <c r="E81" s="124"/>
      <c r="F81" s="125"/>
      <c r="G81" s="125"/>
      <c r="H81" s="122"/>
      <c r="I81" s="126"/>
      <c r="J81" s="126"/>
      <c r="K81" s="126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8" spans="1:11">
      <c r="G88" s="112"/>
      <c r="H88" s="112"/>
      <c r="J88" s="112"/>
    </row>
    <row r="89" spans="1:11">
      <c r="G89" s="112"/>
      <c r="H89" s="112"/>
    </row>
    <row r="90" spans="1:11">
      <c r="G90" s="112"/>
      <c r="H90" s="112"/>
    </row>
    <row r="92" spans="1:11">
      <c r="G92" s="171"/>
      <c r="H92" s="171"/>
    </row>
    <row r="93" spans="1:11">
      <c r="G93" s="171"/>
      <c r="H93" s="171"/>
    </row>
    <row r="94" spans="1:11">
      <c r="G94" s="171"/>
      <c r="H94" s="171"/>
    </row>
    <row r="97" spans="7:12">
      <c r="G97" s="171"/>
      <c r="H97" s="171"/>
    </row>
    <row r="98" spans="7:12">
      <c r="G98" s="171"/>
      <c r="H98" s="171"/>
    </row>
    <row r="99" spans="7:12">
      <c r="G99" s="171"/>
      <c r="H99" s="171"/>
    </row>
    <row r="101" spans="7:12">
      <c r="K101" t="s">
        <v>119</v>
      </c>
    </row>
    <row r="102" spans="7:12">
      <c r="G102" s="171"/>
      <c r="H102" s="171"/>
      <c r="I102" s="171"/>
      <c r="K102" s="171">
        <f>G102*0.25+H102*0.5+I102</f>
        <v>0</v>
      </c>
      <c r="L102" s="171">
        <f>K102+K103</f>
        <v>0</v>
      </c>
    </row>
    <row r="103" spans="7:12">
      <c r="G103" s="171"/>
      <c r="H103" s="171"/>
      <c r="I103" s="171"/>
      <c r="K103" s="171">
        <f>G103*0.25+H103*0.5+I103</f>
        <v>0</v>
      </c>
    </row>
    <row r="106" spans="7:12">
      <c r="K106" s="112">
        <f>G106*0.25+H106*0.5</f>
        <v>0</v>
      </c>
    </row>
  </sheetData>
  <mergeCells count="13">
    <mergeCell ref="F2:G2"/>
    <mergeCell ref="J68:K68"/>
    <mergeCell ref="A32:A35"/>
    <mergeCell ref="G70:I70"/>
    <mergeCell ref="C65:E65"/>
    <mergeCell ref="G65:I65"/>
    <mergeCell ref="A7:B7"/>
    <mergeCell ref="A51:A53"/>
    <mergeCell ref="L5:L8"/>
    <mergeCell ref="C51:E51"/>
    <mergeCell ref="G51:I51"/>
    <mergeCell ref="K32:K33"/>
    <mergeCell ref="K23:L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topLeftCell="A25" workbookViewId="0">
      <selection activeCell="B46" sqref="B46"/>
    </sheetView>
  </sheetViews>
  <sheetFormatPr baseColWidth="10" defaultRowHeight="15"/>
  <cols>
    <col min="1" max="1" width="25.5703125" customWidth="1"/>
    <col min="2" max="2" width="13.7109375" bestFit="1" customWidth="1"/>
    <col min="3" max="3" width="18.42578125" customWidth="1"/>
    <col min="4" max="4" width="21.28515625" customWidth="1"/>
    <col min="5" max="5" width="20.85546875" customWidth="1"/>
    <col min="7" max="7" width="18.85546875" customWidth="1"/>
    <col min="8" max="8" width="21" customWidth="1"/>
    <col min="9" max="9" width="25" customWidth="1"/>
    <col min="10" max="10" width="18.28515625" customWidth="1"/>
    <col min="11" max="11" width="22" customWidth="1"/>
    <col min="12" max="12" width="20.85546875" customWidth="1"/>
    <col min="13" max="13" width="19.7109375" customWidth="1"/>
    <col min="14" max="14" width="17.42578125" customWidth="1"/>
    <col min="15" max="15" width="14.7109375" customWidth="1"/>
    <col min="16" max="16" width="19.28515625" customWidth="1"/>
    <col min="17" max="17" width="19.42578125" customWidth="1"/>
  </cols>
  <sheetData>
    <row r="1" spans="1:12">
      <c r="A1" s="7" t="s">
        <v>0</v>
      </c>
      <c r="B1" s="7" t="s">
        <v>1</v>
      </c>
      <c r="C1" s="7" t="s">
        <v>2</v>
      </c>
      <c r="D1" s="7" t="s">
        <v>4</v>
      </c>
    </row>
    <row r="2" spans="1:12">
      <c r="A2" s="5" t="s">
        <v>3</v>
      </c>
      <c r="B2" s="5">
        <v>20</v>
      </c>
      <c r="C2" s="5">
        <v>20</v>
      </c>
      <c r="D2" s="5">
        <v>21</v>
      </c>
    </row>
    <row r="3" spans="1:12">
      <c r="A3" s="8" t="s">
        <v>5</v>
      </c>
      <c r="B3" s="8">
        <f>B2*10</f>
        <v>200</v>
      </c>
      <c r="C3" s="8">
        <f>C2*10</f>
        <v>200</v>
      </c>
      <c r="D3" s="8">
        <f>D2*10</f>
        <v>210</v>
      </c>
      <c r="H3" s="4"/>
      <c r="I3" s="1" t="s">
        <v>8</v>
      </c>
    </row>
    <row r="4" spans="1:12">
      <c r="A4" s="6" t="s">
        <v>6</v>
      </c>
      <c r="B4" s="6">
        <v>20</v>
      </c>
      <c r="C4" s="2"/>
      <c r="D4" s="3"/>
    </row>
    <row r="5" spans="1:12" ht="15" customHeight="1">
      <c r="A5" s="8" t="s">
        <v>7</v>
      </c>
      <c r="B5" s="9">
        <f>((B4/2)+B2)*10</f>
        <v>300</v>
      </c>
      <c r="C5" s="9">
        <f>((B4/2)+C2)*10</f>
        <v>300</v>
      </c>
      <c r="D5" s="9">
        <f>((B4/2)+D2)*10</f>
        <v>310</v>
      </c>
      <c r="L5" s="254" t="s">
        <v>59</v>
      </c>
    </row>
    <row r="6" spans="1:12">
      <c r="L6" s="254"/>
    </row>
    <row r="7" spans="1:12" ht="18.75">
      <c r="A7" s="277" t="s">
        <v>56</v>
      </c>
      <c r="B7" s="277"/>
      <c r="L7" s="254"/>
    </row>
    <row r="8" spans="1:12">
      <c r="A8" s="10" t="s">
        <v>10</v>
      </c>
      <c r="B8" s="10" t="s">
        <v>1</v>
      </c>
      <c r="C8" s="7" t="s">
        <v>2</v>
      </c>
      <c r="D8" s="7" t="s">
        <v>19</v>
      </c>
      <c r="E8" s="7" t="s">
        <v>20</v>
      </c>
      <c r="F8" s="11" t="s">
        <v>21</v>
      </c>
      <c r="G8" s="13" t="s">
        <v>22</v>
      </c>
      <c r="H8" s="14" t="s">
        <v>23</v>
      </c>
      <c r="I8" s="13" t="s">
        <v>32</v>
      </c>
      <c r="J8" s="13" t="s">
        <v>33</v>
      </c>
      <c r="K8" s="13" t="s">
        <v>34</v>
      </c>
      <c r="L8" s="254"/>
    </row>
    <row r="9" spans="1:12">
      <c r="A9" s="7" t="s">
        <v>9</v>
      </c>
      <c r="B9" s="12">
        <v>50</v>
      </c>
      <c r="C9" s="12">
        <v>10</v>
      </c>
      <c r="D9" s="12">
        <v>4000</v>
      </c>
      <c r="E9" s="12">
        <v>50</v>
      </c>
      <c r="F9" s="37">
        <f t="shared" ref="F9:F10" si="0">D9/B9</f>
        <v>80</v>
      </c>
      <c r="G9" s="38">
        <f>D9/C9</f>
        <v>400</v>
      </c>
      <c r="H9" s="39">
        <f>D9/E9</f>
        <v>80</v>
      </c>
      <c r="I9" s="32">
        <v>3000</v>
      </c>
      <c r="J9" s="32">
        <v>1000</v>
      </c>
      <c r="K9" s="45"/>
      <c r="L9" s="30">
        <f>(0.25*I9)+(0.5*J9)+K9</f>
        <v>1250</v>
      </c>
    </row>
    <row r="10" spans="1:12">
      <c r="A10" s="7" t="s">
        <v>11</v>
      </c>
      <c r="B10" s="12">
        <v>150</v>
      </c>
      <c r="C10" s="12">
        <v>25</v>
      </c>
      <c r="D10" s="12">
        <v>10000</v>
      </c>
      <c r="E10" s="12">
        <v>100</v>
      </c>
      <c r="F10" s="37">
        <f t="shared" si="0"/>
        <v>66.666666666666671</v>
      </c>
      <c r="G10" s="38">
        <f t="shared" ref="G10:G17" si="1">D10/C10</f>
        <v>400</v>
      </c>
      <c r="H10" s="39">
        <f t="shared" ref="H10:H17" si="2">D10/E10</f>
        <v>100</v>
      </c>
      <c r="I10" s="32">
        <v>6000</v>
      </c>
      <c r="J10" s="32">
        <v>4000</v>
      </c>
      <c r="K10" s="45"/>
      <c r="L10" s="30">
        <f t="shared" ref="L10:L17" si="3">(0.25*I10)+(0.5*J10)+K10</f>
        <v>3500</v>
      </c>
    </row>
    <row r="11" spans="1:12">
      <c r="A11" s="7" t="s">
        <v>12</v>
      </c>
      <c r="B11" s="12">
        <v>400</v>
      </c>
      <c r="C11" s="12">
        <v>50</v>
      </c>
      <c r="D11" s="12">
        <v>27000</v>
      </c>
      <c r="E11" s="12">
        <v>800</v>
      </c>
      <c r="F11" s="37">
        <f>D11/B11</f>
        <v>67.5</v>
      </c>
      <c r="G11" s="38">
        <f t="shared" si="1"/>
        <v>540</v>
      </c>
      <c r="H11" s="39">
        <f t="shared" si="2"/>
        <v>33.75</v>
      </c>
      <c r="I11" s="32">
        <v>20000</v>
      </c>
      <c r="J11" s="32">
        <v>7000</v>
      </c>
      <c r="K11" s="45">
        <v>2000</v>
      </c>
      <c r="L11" s="30">
        <f t="shared" si="3"/>
        <v>10500</v>
      </c>
    </row>
    <row r="12" spans="1:12">
      <c r="A12" s="7" t="s">
        <v>13</v>
      </c>
      <c r="B12" s="12">
        <v>1000</v>
      </c>
      <c r="C12" s="12">
        <v>200</v>
      </c>
      <c r="D12" s="12">
        <v>60000</v>
      </c>
      <c r="E12" s="12">
        <v>1500</v>
      </c>
      <c r="F12" s="37">
        <f t="shared" ref="F12:F17" si="4">D12/B12</f>
        <v>60</v>
      </c>
      <c r="G12" s="38">
        <f t="shared" si="1"/>
        <v>300</v>
      </c>
      <c r="H12" s="39">
        <f t="shared" si="2"/>
        <v>40</v>
      </c>
      <c r="I12" s="32">
        <v>45000</v>
      </c>
      <c r="J12" s="32">
        <v>15000</v>
      </c>
      <c r="K12" s="45"/>
      <c r="L12" s="30">
        <f t="shared" si="3"/>
        <v>18750</v>
      </c>
    </row>
    <row r="13" spans="1:12">
      <c r="A13" s="7" t="s">
        <v>14</v>
      </c>
      <c r="B13" s="12">
        <v>1000</v>
      </c>
      <c r="C13" s="12">
        <v>500</v>
      </c>
      <c r="D13" s="12">
        <v>75000</v>
      </c>
      <c r="E13" s="12">
        <v>500</v>
      </c>
      <c r="F13" s="37">
        <f t="shared" si="4"/>
        <v>75</v>
      </c>
      <c r="G13" s="40">
        <f>D13/C13</f>
        <v>150</v>
      </c>
      <c r="H13" s="39">
        <f t="shared" si="2"/>
        <v>150</v>
      </c>
      <c r="I13" s="32">
        <v>50000</v>
      </c>
      <c r="J13" s="32">
        <v>25000</v>
      </c>
      <c r="K13" s="45">
        <v>15000</v>
      </c>
      <c r="L13" s="30">
        <f t="shared" si="3"/>
        <v>40000</v>
      </c>
    </row>
    <row r="14" spans="1:12">
      <c r="A14" s="7" t="s">
        <v>15</v>
      </c>
      <c r="B14" s="12">
        <v>2000</v>
      </c>
      <c r="C14" s="12">
        <v>500</v>
      </c>
      <c r="D14" s="12">
        <v>110000</v>
      </c>
      <c r="E14" s="16">
        <v>2000</v>
      </c>
      <c r="F14" s="41">
        <f t="shared" si="4"/>
        <v>55</v>
      </c>
      <c r="G14" s="38">
        <f t="shared" si="1"/>
        <v>220</v>
      </c>
      <c r="H14" s="39">
        <f t="shared" si="2"/>
        <v>55</v>
      </c>
      <c r="I14" s="32">
        <v>60000</v>
      </c>
      <c r="J14" s="32">
        <v>50000</v>
      </c>
      <c r="K14" s="45">
        <v>15000</v>
      </c>
      <c r="L14" s="30">
        <f t="shared" si="3"/>
        <v>55000</v>
      </c>
    </row>
    <row r="15" spans="1:12">
      <c r="A15" s="7" t="s">
        <v>16</v>
      </c>
      <c r="B15" s="15">
        <v>200000</v>
      </c>
      <c r="C15" s="15">
        <v>50000</v>
      </c>
      <c r="D15" s="15">
        <v>9000000</v>
      </c>
      <c r="E15" s="15">
        <v>1000000</v>
      </c>
      <c r="F15" s="42">
        <f t="shared" si="4"/>
        <v>45</v>
      </c>
      <c r="G15" s="38">
        <f t="shared" si="1"/>
        <v>180</v>
      </c>
      <c r="H15" s="41">
        <f t="shared" si="2"/>
        <v>9</v>
      </c>
      <c r="I15" s="32">
        <v>5000000</v>
      </c>
      <c r="J15" s="32">
        <v>4000000</v>
      </c>
      <c r="K15" s="45">
        <v>1000000</v>
      </c>
      <c r="L15" s="30">
        <f t="shared" si="3"/>
        <v>4250000</v>
      </c>
    </row>
    <row r="16" spans="1:12">
      <c r="A16" s="7" t="s">
        <v>17</v>
      </c>
      <c r="B16" s="12">
        <v>700</v>
      </c>
      <c r="C16" s="12">
        <v>400</v>
      </c>
      <c r="D16" s="12">
        <v>70000</v>
      </c>
      <c r="E16" s="12">
        <v>750</v>
      </c>
      <c r="F16" s="37">
        <f t="shared" si="4"/>
        <v>100</v>
      </c>
      <c r="G16" s="43">
        <f t="shared" si="1"/>
        <v>175</v>
      </c>
      <c r="H16" s="39">
        <f t="shared" si="2"/>
        <v>93.333333333333329</v>
      </c>
      <c r="I16" s="32">
        <v>30000</v>
      </c>
      <c r="J16" s="32">
        <v>40000</v>
      </c>
      <c r="K16" s="45">
        <v>15000</v>
      </c>
      <c r="L16" s="30">
        <f t="shared" si="3"/>
        <v>42500</v>
      </c>
    </row>
    <row r="17" spans="1:19">
      <c r="A17" s="7" t="s">
        <v>18</v>
      </c>
      <c r="B17" s="16">
        <v>3000</v>
      </c>
      <c r="C17" s="16">
        <v>1000</v>
      </c>
      <c r="D17" s="16">
        <v>750000</v>
      </c>
      <c r="E17" s="15">
        <v>1000000</v>
      </c>
      <c r="F17" s="37">
        <f t="shared" si="4"/>
        <v>250</v>
      </c>
      <c r="G17" s="38">
        <f t="shared" si="1"/>
        <v>750</v>
      </c>
      <c r="H17" s="42">
        <f t="shared" si="2"/>
        <v>0.75</v>
      </c>
      <c r="I17" s="32">
        <v>500000</v>
      </c>
      <c r="J17" s="32">
        <v>250000</v>
      </c>
      <c r="K17" s="45">
        <v>30000</v>
      </c>
      <c r="L17" s="30">
        <f t="shared" si="3"/>
        <v>280000</v>
      </c>
    </row>
    <row r="19" spans="1:19" ht="15" customHeight="1">
      <c r="K19" s="278" t="s">
        <v>59</v>
      </c>
    </row>
    <row r="20" spans="1:19">
      <c r="K20" s="278"/>
    </row>
    <row r="21" spans="1:19">
      <c r="K21" s="278"/>
    </row>
    <row r="22" spans="1:19">
      <c r="A22" s="7" t="s">
        <v>25</v>
      </c>
      <c r="B22" s="7" t="s">
        <v>1</v>
      </c>
      <c r="C22" s="7" t="s">
        <v>2</v>
      </c>
      <c r="D22" s="7" t="s">
        <v>19</v>
      </c>
      <c r="E22" s="7"/>
      <c r="F22" s="7" t="s">
        <v>21</v>
      </c>
      <c r="G22" s="7" t="s">
        <v>22</v>
      </c>
      <c r="H22" s="7" t="s">
        <v>32</v>
      </c>
      <c r="I22" s="7" t="s">
        <v>33</v>
      </c>
      <c r="J22" s="19" t="s">
        <v>34</v>
      </c>
      <c r="K22" s="278"/>
      <c r="M22" s="7" t="s">
        <v>25</v>
      </c>
      <c r="N22" s="7" t="s">
        <v>35</v>
      </c>
      <c r="O22" s="7" t="s">
        <v>36</v>
      </c>
      <c r="P22" s="7" t="s">
        <v>37</v>
      </c>
      <c r="Q22" s="60" t="s">
        <v>41</v>
      </c>
      <c r="R22" s="60" t="s">
        <v>62</v>
      </c>
    </row>
    <row r="23" spans="1:19">
      <c r="A23" s="7" t="s">
        <v>24</v>
      </c>
      <c r="B23" s="32">
        <v>80</v>
      </c>
      <c r="C23" s="32">
        <v>20</v>
      </c>
      <c r="D23" s="32">
        <v>2000</v>
      </c>
      <c r="E23" s="18"/>
      <c r="F23" s="18">
        <f>D23/B23</f>
        <v>25</v>
      </c>
      <c r="G23" s="18">
        <f>D23/C23</f>
        <v>100</v>
      </c>
      <c r="H23" s="32">
        <v>2000</v>
      </c>
      <c r="I23" s="32"/>
      <c r="J23" s="32"/>
      <c r="K23" s="192">
        <f>(H23/4)+(I23/2)+J23</f>
        <v>500</v>
      </c>
      <c r="M23" s="18" t="s">
        <v>24</v>
      </c>
      <c r="N23" s="18">
        <f t="shared" ref="N23:N29" si="5">H23/B23</f>
        <v>25</v>
      </c>
      <c r="O23" s="18">
        <f t="shared" ref="O23:O29" si="6">I23/B23</f>
        <v>0</v>
      </c>
      <c r="P23" s="18">
        <f>J23/B23</f>
        <v>0</v>
      </c>
      <c r="Q23" s="68">
        <f>K23/B23</f>
        <v>6.25</v>
      </c>
      <c r="R23" s="65">
        <f>Q23+Q32</f>
        <v>31.25</v>
      </c>
      <c r="S23" s="74" t="s">
        <v>24</v>
      </c>
    </row>
    <row r="24" spans="1:19">
      <c r="A24" s="7" t="s">
        <v>26</v>
      </c>
      <c r="B24" s="32">
        <v>100</v>
      </c>
      <c r="C24" s="32">
        <v>25</v>
      </c>
      <c r="D24" s="32">
        <v>2000</v>
      </c>
      <c r="E24" s="18"/>
      <c r="F24" s="18">
        <f t="shared" ref="F24:F29" si="7">D24/B24</f>
        <v>20</v>
      </c>
      <c r="G24" s="18">
        <f t="shared" ref="G24:G29" si="8">D24/C24</f>
        <v>80</v>
      </c>
      <c r="H24" s="32">
        <v>1500</v>
      </c>
      <c r="I24" s="32">
        <v>500</v>
      </c>
      <c r="J24" s="32"/>
      <c r="K24" s="44">
        <f t="shared" ref="K24:K29" si="9">(H24/4)+(I24/2)+J24</f>
        <v>625</v>
      </c>
      <c r="M24" s="18" t="s">
        <v>26</v>
      </c>
      <c r="N24" s="20">
        <f t="shared" si="5"/>
        <v>15</v>
      </c>
      <c r="O24" s="21">
        <f t="shared" si="6"/>
        <v>5</v>
      </c>
      <c r="P24" s="18">
        <f t="shared" ref="P24:P29" si="10">J24/B24</f>
        <v>0</v>
      </c>
      <c r="Q24" s="68">
        <f t="shared" ref="Q24:Q29" si="11">K24/B24</f>
        <v>6.25</v>
      </c>
      <c r="R24" s="65">
        <f t="shared" ref="R24:R29" si="12">Q24+Q33</f>
        <v>31.25</v>
      </c>
      <c r="S24" s="74" t="s">
        <v>26</v>
      </c>
    </row>
    <row r="25" spans="1:19">
      <c r="A25" s="7" t="s">
        <v>27</v>
      </c>
      <c r="B25" s="32">
        <v>250</v>
      </c>
      <c r="C25" s="32">
        <v>100</v>
      </c>
      <c r="D25" s="32">
        <v>8000</v>
      </c>
      <c r="E25" s="18"/>
      <c r="F25" s="18">
        <f t="shared" si="7"/>
        <v>32</v>
      </c>
      <c r="G25" s="18">
        <f t="shared" si="8"/>
        <v>80</v>
      </c>
      <c r="H25" s="32">
        <v>6000</v>
      </c>
      <c r="I25" s="32">
        <v>2000</v>
      </c>
      <c r="J25" s="32"/>
      <c r="K25" s="44">
        <f t="shared" si="9"/>
        <v>2500</v>
      </c>
      <c r="M25" s="18" t="s">
        <v>27</v>
      </c>
      <c r="N25" s="18">
        <f t="shared" si="5"/>
        <v>24</v>
      </c>
      <c r="O25" s="20">
        <f t="shared" si="6"/>
        <v>8</v>
      </c>
      <c r="P25" s="18">
        <f t="shared" si="10"/>
        <v>0</v>
      </c>
      <c r="Q25" s="58">
        <f t="shared" si="11"/>
        <v>10</v>
      </c>
      <c r="R25" s="57">
        <f t="shared" si="12"/>
        <v>35</v>
      </c>
      <c r="S25" s="48" t="s">
        <v>27</v>
      </c>
    </row>
    <row r="26" spans="1:19">
      <c r="A26" s="7" t="s">
        <v>28</v>
      </c>
      <c r="B26" s="32">
        <v>1100</v>
      </c>
      <c r="C26" s="32">
        <v>200</v>
      </c>
      <c r="D26" s="32">
        <v>35000</v>
      </c>
      <c r="E26" s="18"/>
      <c r="F26" s="18">
        <f t="shared" si="7"/>
        <v>31.818181818181817</v>
      </c>
      <c r="G26" s="18">
        <f t="shared" si="8"/>
        <v>175</v>
      </c>
      <c r="H26" s="32">
        <v>20000</v>
      </c>
      <c r="I26" s="32">
        <v>15000</v>
      </c>
      <c r="J26" s="32">
        <v>2000</v>
      </c>
      <c r="K26" s="44">
        <f t="shared" si="9"/>
        <v>14500</v>
      </c>
      <c r="M26" s="18" t="s">
        <v>28</v>
      </c>
      <c r="N26" s="18">
        <f t="shared" si="5"/>
        <v>18.181818181818183</v>
      </c>
      <c r="O26" s="18">
        <f t="shared" si="6"/>
        <v>13.636363636363637</v>
      </c>
      <c r="P26" s="22">
        <f t="shared" si="10"/>
        <v>1.8181818181818181</v>
      </c>
      <c r="Q26" s="7">
        <f t="shared" si="11"/>
        <v>13.181818181818182</v>
      </c>
      <c r="R26" s="56">
        <f t="shared" si="12"/>
        <v>85.681818181818187</v>
      </c>
      <c r="S26" s="18" t="s">
        <v>28</v>
      </c>
    </row>
    <row r="27" spans="1:19">
      <c r="A27" s="7" t="s">
        <v>29</v>
      </c>
      <c r="B27" s="32">
        <v>150</v>
      </c>
      <c r="C27" s="32">
        <v>500</v>
      </c>
      <c r="D27" s="32">
        <v>8000</v>
      </c>
      <c r="E27" s="18"/>
      <c r="F27" s="18">
        <f t="shared" si="7"/>
        <v>53.333333333333336</v>
      </c>
      <c r="G27" s="18">
        <f t="shared" si="8"/>
        <v>16</v>
      </c>
      <c r="H27" s="32">
        <v>2000</v>
      </c>
      <c r="I27" s="32">
        <v>6000</v>
      </c>
      <c r="J27" s="32"/>
      <c r="K27" s="44">
        <f t="shared" si="9"/>
        <v>3500</v>
      </c>
      <c r="M27" s="18" t="s">
        <v>29</v>
      </c>
      <c r="N27" s="21">
        <f t="shared" si="5"/>
        <v>13.333333333333334</v>
      </c>
      <c r="O27" s="18">
        <f t="shared" si="6"/>
        <v>40</v>
      </c>
      <c r="P27" s="18">
        <f t="shared" si="10"/>
        <v>0</v>
      </c>
      <c r="Q27" s="7">
        <f t="shared" si="11"/>
        <v>23.333333333333332</v>
      </c>
      <c r="R27" s="56">
        <f t="shared" si="12"/>
        <v>30.333333333333332</v>
      </c>
      <c r="S27" s="18" t="s">
        <v>29</v>
      </c>
    </row>
    <row r="28" spans="1:19">
      <c r="A28" s="7" t="s">
        <v>30</v>
      </c>
      <c r="B28" s="32">
        <v>3000</v>
      </c>
      <c r="C28" s="32">
        <v>300</v>
      </c>
      <c r="D28" s="32">
        <v>100000</v>
      </c>
      <c r="E28" s="18"/>
      <c r="F28" s="18">
        <f t="shared" si="7"/>
        <v>33.333333333333336</v>
      </c>
      <c r="G28" s="18">
        <f t="shared" si="8"/>
        <v>333.33333333333331</v>
      </c>
      <c r="H28" s="32">
        <v>50000</v>
      </c>
      <c r="I28" s="32">
        <v>50000</v>
      </c>
      <c r="J28" s="32">
        <v>30000</v>
      </c>
      <c r="K28" s="44">
        <f t="shared" si="9"/>
        <v>67500</v>
      </c>
      <c r="M28" s="18" t="s">
        <v>30</v>
      </c>
      <c r="N28" s="18">
        <f t="shared" si="5"/>
        <v>16.666666666666668</v>
      </c>
      <c r="O28" s="18">
        <f t="shared" si="6"/>
        <v>16.666666666666668</v>
      </c>
      <c r="P28" s="18">
        <f t="shared" si="10"/>
        <v>10</v>
      </c>
      <c r="Q28" s="7">
        <f t="shared" si="11"/>
        <v>22.5</v>
      </c>
      <c r="R28" s="66">
        <f t="shared" si="12"/>
        <v>247.5</v>
      </c>
      <c r="S28" s="42" t="s">
        <v>30</v>
      </c>
    </row>
    <row r="29" spans="1:19">
      <c r="A29" s="7" t="s">
        <v>31</v>
      </c>
      <c r="B29" s="32">
        <v>5000</v>
      </c>
      <c r="C29" s="32">
        <v>10000</v>
      </c>
      <c r="D29" s="32">
        <v>200000</v>
      </c>
      <c r="E29" s="18"/>
      <c r="F29" s="18">
        <f t="shared" si="7"/>
        <v>40</v>
      </c>
      <c r="G29" s="18">
        <f t="shared" si="8"/>
        <v>20</v>
      </c>
      <c r="H29" s="32">
        <v>100000</v>
      </c>
      <c r="I29" s="32">
        <v>100000</v>
      </c>
      <c r="J29" s="32">
        <v>50000</v>
      </c>
      <c r="K29" s="44">
        <f t="shared" si="9"/>
        <v>125000</v>
      </c>
      <c r="M29" s="18" t="s">
        <v>31</v>
      </c>
      <c r="N29" s="18">
        <f t="shared" si="5"/>
        <v>20</v>
      </c>
      <c r="O29" s="18">
        <f t="shared" si="6"/>
        <v>20</v>
      </c>
      <c r="P29" s="18">
        <f t="shared" si="10"/>
        <v>10</v>
      </c>
      <c r="Q29" s="69">
        <f t="shared" si="11"/>
        <v>25</v>
      </c>
      <c r="R29" s="56">
        <f t="shared" si="12"/>
        <v>37.5</v>
      </c>
      <c r="S29" s="18" t="s">
        <v>31</v>
      </c>
    </row>
    <row r="30" spans="1:19">
      <c r="A30" s="17"/>
      <c r="B30" s="17"/>
      <c r="C30" s="17"/>
      <c r="D30" s="17"/>
      <c r="E30" s="17"/>
      <c r="F30" s="17"/>
      <c r="G30" s="17"/>
      <c r="M30" s="23"/>
      <c r="N30" s="23"/>
      <c r="O30" s="23"/>
      <c r="P30" s="23"/>
      <c r="Q30" s="23"/>
    </row>
    <row r="31" spans="1:19">
      <c r="A31" s="17"/>
      <c r="B31" s="17"/>
      <c r="C31" s="17"/>
      <c r="D31" s="17"/>
      <c r="E31" s="17"/>
      <c r="F31" s="17"/>
      <c r="G31" s="17"/>
      <c r="J31" s="279" t="s">
        <v>54</v>
      </c>
      <c r="K31" s="254" t="s">
        <v>55</v>
      </c>
      <c r="M31" s="7" t="s">
        <v>25</v>
      </c>
      <c r="N31" s="7" t="s">
        <v>38</v>
      </c>
      <c r="O31" s="7" t="s">
        <v>39</v>
      </c>
      <c r="P31" s="7" t="s">
        <v>40</v>
      </c>
      <c r="Q31" s="60" t="s">
        <v>42</v>
      </c>
      <c r="R31" s="70" t="s">
        <v>64</v>
      </c>
    </row>
    <row r="32" spans="1:19" ht="15" customHeight="1">
      <c r="A32" s="280" t="s">
        <v>43</v>
      </c>
      <c r="B32" s="17"/>
      <c r="C32" s="17"/>
      <c r="D32" s="17"/>
      <c r="E32" s="17"/>
      <c r="F32" s="17"/>
      <c r="G32" s="17"/>
      <c r="J32" s="279"/>
      <c r="K32" s="254"/>
      <c r="M32" s="18" t="s">
        <v>24</v>
      </c>
      <c r="N32" s="18">
        <f>H23/C23</f>
        <v>100</v>
      </c>
      <c r="O32" s="18">
        <f>I23/C23</f>
        <v>0</v>
      </c>
      <c r="P32" s="18">
        <f>J23/C23</f>
        <v>0</v>
      </c>
      <c r="Q32" s="58">
        <f>K23/C23</f>
        <v>25</v>
      </c>
      <c r="R32" s="64">
        <f>D23*(1+(D5/100))</f>
        <v>8200</v>
      </c>
      <c r="S32" s="18" t="s">
        <v>24</v>
      </c>
    </row>
    <row r="33" spans="1:20" ht="15" customHeight="1">
      <c r="A33" s="280"/>
      <c r="B33" s="17"/>
      <c r="C33" s="17"/>
      <c r="D33" s="17"/>
      <c r="E33" s="17"/>
      <c r="F33" s="17"/>
      <c r="G33" s="17"/>
      <c r="J33" s="24">
        <v>30</v>
      </c>
      <c r="K33" s="24">
        <v>10</v>
      </c>
      <c r="M33" s="18" t="s">
        <v>26</v>
      </c>
      <c r="N33" s="18">
        <f t="shared" ref="N33:N38" si="13">H24/C24</f>
        <v>60</v>
      </c>
      <c r="O33" s="18">
        <f t="shared" ref="O33:O38" si="14">I24/C24</f>
        <v>20</v>
      </c>
      <c r="P33" s="18">
        <f t="shared" ref="P33:P38" si="15">J24/C24</f>
        <v>0</v>
      </c>
      <c r="Q33" s="58">
        <f t="shared" ref="Q33:Q38" si="16">K24/C24</f>
        <v>25</v>
      </c>
      <c r="R33" s="64">
        <f>D24*(1+(D5/100))</f>
        <v>8200</v>
      </c>
      <c r="S33" s="18" t="s">
        <v>26</v>
      </c>
    </row>
    <row r="34" spans="1:20" ht="15" customHeight="1">
      <c r="A34" s="280"/>
      <c r="B34" s="17"/>
      <c r="C34" s="17"/>
      <c r="D34" s="17"/>
      <c r="E34" s="17"/>
      <c r="F34" s="17"/>
      <c r="G34" s="17"/>
      <c r="M34" s="18" t="s">
        <v>27</v>
      </c>
      <c r="N34" s="18">
        <f t="shared" si="13"/>
        <v>60</v>
      </c>
      <c r="O34" s="18">
        <f t="shared" si="14"/>
        <v>20</v>
      </c>
      <c r="P34" s="18">
        <f t="shared" si="15"/>
        <v>0</v>
      </c>
      <c r="Q34" s="58">
        <f t="shared" si="16"/>
        <v>25</v>
      </c>
      <c r="R34" s="61">
        <f>D25*(1+(D5/100))</f>
        <v>32800</v>
      </c>
      <c r="S34" s="18" t="s">
        <v>27</v>
      </c>
    </row>
    <row r="35" spans="1:20" ht="15" customHeight="1">
      <c r="A35" s="280"/>
      <c r="M35" s="18" t="s">
        <v>28</v>
      </c>
      <c r="N35" s="18">
        <f t="shared" si="13"/>
        <v>100</v>
      </c>
      <c r="O35" s="18">
        <f t="shared" si="14"/>
        <v>75</v>
      </c>
      <c r="P35" s="20">
        <f t="shared" si="15"/>
        <v>10</v>
      </c>
      <c r="Q35" s="7">
        <f t="shared" si="16"/>
        <v>72.5</v>
      </c>
      <c r="R35" s="61">
        <f>D26*(1+(D5/100))</f>
        <v>143500</v>
      </c>
      <c r="S35" s="18" t="s">
        <v>28</v>
      </c>
    </row>
    <row r="36" spans="1:20" ht="15.75">
      <c r="A36" s="46" t="s">
        <v>44</v>
      </c>
      <c r="B36" s="25" t="s">
        <v>8</v>
      </c>
      <c r="C36" s="35" t="s">
        <v>1</v>
      </c>
      <c r="D36" s="35" t="s">
        <v>2</v>
      </c>
      <c r="E36" s="35" t="s">
        <v>45</v>
      </c>
      <c r="F36" s="35"/>
      <c r="G36" s="35" t="s">
        <v>48</v>
      </c>
      <c r="H36" s="35" t="s">
        <v>46</v>
      </c>
      <c r="I36" s="35" t="s">
        <v>47</v>
      </c>
      <c r="J36" s="36" t="s">
        <v>57</v>
      </c>
      <c r="K36" s="36" t="s">
        <v>58</v>
      </c>
      <c r="L36" s="36" t="s">
        <v>85</v>
      </c>
      <c r="M36" s="117" t="s">
        <v>29</v>
      </c>
      <c r="N36" s="22">
        <f t="shared" si="13"/>
        <v>4</v>
      </c>
      <c r="O36" s="20">
        <f>I27/C27</f>
        <v>12</v>
      </c>
      <c r="P36" s="18">
        <f t="shared" si="15"/>
        <v>0</v>
      </c>
      <c r="Q36" s="68">
        <f t="shared" si="16"/>
        <v>7</v>
      </c>
      <c r="R36" s="61">
        <f>D27*(1+(D5/100))</f>
        <v>32800</v>
      </c>
      <c r="S36" s="18" t="s">
        <v>29</v>
      </c>
    </row>
    <row r="37" spans="1:20">
      <c r="A37" s="7" t="s">
        <v>9</v>
      </c>
      <c r="B37" s="27"/>
      <c r="C37" s="33">
        <f>B9*B37</f>
        <v>0</v>
      </c>
      <c r="D37" s="33">
        <f>C9*B37</f>
        <v>0</v>
      </c>
      <c r="E37" s="33">
        <f>D9*B37</f>
        <v>0</v>
      </c>
      <c r="F37" s="33"/>
      <c r="G37" s="33">
        <f>C37*(1+(B5/100))</f>
        <v>0</v>
      </c>
      <c r="H37" s="33">
        <f>D37*(1+(C5/100))</f>
        <v>0</v>
      </c>
      <c r="I37" s="33">
        <f>E37*(1+(D5/100))/10</f>
        <v>0</v>
      </c>
      <c r="J37" s="26">
        <f>(J33/100)*(B37*I9)</f>
        <v>0</v>
      </c>
      <c r="K37" s="44">
        <f>(J33/100)*(B37*J9)</f>
        <v>0</v>
      </c>
      <c r="L37" s="26">
        <f>B37*E9</f>
        <v>0</v>
      </c>
      <c r="M37" s="117" t="s">
        <v>30</v>
      </c>
      <c r="N37" s="18">
        <f t="shared" si="13"/>
        <v>166.66666666666666</v>
      </c>
      <c r="O37" s="18">
        <f t="shared" si="14"/>
        <v>166.66666666666666</v>
      </c>
      <c r="P37" s="18">
        <f t="shared" si="15"/>
        <v>100</v>
      </c>
      <c r="Q37" s="69">
        <f t="shared" si="16"/>
        <v>225</v>
      </c>
      <c r="R37" s="63">
        <f>D28*(1+(D5/100))</f>
        <v>409999.99999999994</v>
      </c>
      <c r="S37" s="18" t="s">
        <v>30</v>
      </c>
    </row>
    <row r="38" spans="1:20">
      <c r="A38" s="7" t="s">
        <v>11</v>
      </c>
      <c r="B38" s="27"/>
      <c r="C38" s="33">
        <f t="shared" ref="C38:C45" si="17">B10*B38</f>
        <v>0</v>
      </c>
      <c r="D38" s="33">
        <f t="shared" ref="D38:D45" si="18">C10*B38</f>
        <v>0</v>
      </c>
      <c r="E38" s="33">
        <f t="shared" ref="E38:E45" si="19">D10*B38</f>
        <v>0</v>
      </c>
      <c r="F38" s="33"/>
      <c r="G38" s="33">
        <f>C38*(1+(B5/100))</f>
        <v>0</v>
      </c>
      <c r="H38" s="33">
        <f>D38*(1+(C5/100))</f>
        <v>0</v>
      </c>
      <c r="I38" s="33">
        <f>E38*(1+(D5/100))/10</f>
        <v>0</v>
      </c>
      <c r="J38" s="26">
        <f>(J33/100)*(B38*I10)</f>
        <v>0</v>
      </c>
      <c r="K38" s="44">
        <f>(J33/100)*(B38*J10)</f>
        <v>0</v>
      </c>
      <c r="L38" s="26">
        <f t="shared" ref="L38:L45" si="20">B38*E10</f>
        <v>0</v>
      </c>
      <c r="M38" s="117" t="s">
        <v>31</v>
      </c>
      <c r="N38" s="21">
        <f t="shared" si="13"/>
        <v>10</v>
      </c>
      <c r="O38" s="21">
        <f t="shared" si="14"/>
        <v>10</v>
      </c>
      <c r="P38" s="21">
        <f t="shared" si="15"/>
        <v>5</v>
      </c>
      <c r="Q38" s="7">
        <f t="shared" si="16"/>
        <v>12.5</v>
      </c>
      <c r="R38" s="62">
        <f>D29*(1+(D5/100))</f>
        <v>819999.99999999988</v>
      </c>
      <c r="S38" s="18" t="s">
        <v>31</v>
      </c>
    </row>
    <row r="39" spans="1:20">
      <c r="A39" s="7" t="s">
        <v>12</v>
      </c>
      <c r="B39" s="27"/>
      <c r="C39" s="33">
        <f t="shared" si="17"/>
        <v>0</v>
      </c>
      <c r="D39" s="33">
        <f t="shared" si="18"/>
        <v>0</v>
      </c>
      <c r="E39" s="33">
        <f t="shared" si="19"/>
        <v>0</v>
      </c>
      <c r="F39" s="33"/>
      <c r="G39" s="33">
        <f>C39*(1+(B5/100))</f>
        <v>0</v>
      </c>
      <c r="H39" s="33">
        <f>D39*(1+(C5/100))</f>
        <v>0</v>
      </c>
      <c r="I39" s="33">
        <f>E39*(1+(D5/100))/10</f>
        <v>0</v>
      </c>
      <c r="J39" s="26">
        <f>(J33/100)*(B39*I11)</f>
        <v>0</v>
      </c>
      <c r="K39" s="44">
        <f>(J33/100)*(B39*J11)</f>
        <v>0</v>
      </c>
      <c r="L39" s="26">
        <f t="shared" si="20"/>
        <v>0</v>
      </c>
    </row>
    <row r="40" spans="1:20">
      <c r="A40" s="7" t="s">
        <v>13</v>
      </c>
      <c r="B40" s="27"/>
      <c r="C40" s="33">
        <f t="shared" si="17"/>
        <v>0</v>
      </c>
      <c r="D40" s="33">
        <f t="shared" si="18"/>
        <v>0</v>
      </c>
      <c r="E40" s="33">
        <f t="shared" si="19"/>
        <v>0</v>
      </c>
      <c r="F40" s="33"/>
      <c r="G40" s="33">
        <f>C40*(1+(B5/100))</f>
        <v>0</v>
      </c>
      <c r="H40" s="33">
        <f>D40*(1+(C5/100))</f>
        <v>0</v>
      </c>
      <c r="I40" s="33">
        <f>E40*(1+(D5/100))/10</f>
        <v>0</v>
      </c>
      <c r="J40" s="26">
        <f>(J33/100)*(B40*I12)</f>
        <v>0</v>
      </c>
      <c r="K40" s="44">
        <f>(J33/100)*(B40*J12)</f>
        <v>0</v>
      </c>
      <c r="L40" s="26">
        <f t="shared" si="20"/>
        <v>0</v>
      </c>
    </row>
    <row r="41" spans="1:20">
      <c r="A41" s="7" t="s">
        <v>14</v>
      </c>
      <c r="B41" s="27"/>
      <c r="C41" s="33">
        <f t="shared" si="17"/>
        <v>0</v>
      </c>
      <c r="D41" s="33">
        <f t="shared" si="18"/>
        <v>0</v>
      </c>
      <c r="E41" s="33">
        <f t="shared" si="19"/>
        <v>0</v>
      </c>
      <c r="F41" s="33"/>
      <c r="G41" s="33">
        <f>(C41*(1+(B5/100)))</f>
        <v>0</v>
      </c>
      <c r="H41" s="33">
        <f>D41*(1+(C5/100))</f>
        <v>0</v>
      </c>
      <c r="I41" s="33">
        <f>E41*(1+(D5/100))/10</f>
        <v>0</v>
      </c>
      <c r="J41" s="26">
        <f>(J33/100)*(B41*I13)</f>
        <v>0</v>
      </c>
      <c r="K41" s="44">
        <f>(J33/100)*(B41*J13)</f>
        <v>0</v>
      </c>
      <c r="L41" s="26">
        <f t="shared" si="20"/>
        <v>0</v>
      </c>
    </row>
    <row r="42" spans="1:20">
      <c r="A42" s="7" t="s">
        <v>15</v>
      </c>
      <c r="B42" s="27"/>
      <c r="C42" s="33">
        <f t="shared" si="17"/>
        <v>0</v>
      </c>
      <c r="D42" s="33">
        <f t="shared" si="18"/>
        <v>0</v>
      </c>
      <c r="E42" s="33">
        <f t="shared" si="19"/>
        <v>0</v>
      </c>
      <c r="F42" s="33"/>
      <c r="G42" s="33">
        <f>C42*(1+(B5/100))</f>
        <v>0</v>
      </c>
      <c r="H42" s="33">
        <f>D42*(1+(C5/100))</f>
        <v>0</v>
      </c>
      <c r="I42" s="33">
        <f>E42*(1+(D5/100))/10</f>
        <v>0</v>
      </c>
      <c r="J42" s="26">
        <f>(J33/100)*(B42*I14)</f>
        <v>0</v>
      </c>
      <c r="K42" s="44">
        <f>(J33/100)*(B42*J14)</f>
        <v>0</v>
      </c>
      <c r="L42" s="26">
        <f t="shared" si="20"/>
        <v>0</v>
      </c>
    </row>
    <row r="43" spans="1:20">
      <c r="A43" s="7" t="s">
        <v>16</v>
      </c>
      <c r="B43" s="27"/>
      <c r="C43" s="33">
        <f t="shared" si="17"/>
        <v>0</v>
      </c>
      <c r="D43" s="33">
        <f t="shared" si="18"/>
        <v>0</v>
      </c>
      <c r="E43" s="33">
        <f t="shared" si="19"/>
        <v>0</v>
      </c>
      <c r="F43" s="33"/>
      <c r="G43" s="33">
        <f>C43*(1+(B5/100))</f>
        <v>0</v>
      </c>
      <c r="H43" s="33">
        <f>D43*(1+(C5/100))</f>
        <v>0</v>
      </c>
      <c r="I43" s="33">
        <f>E43*(1+(D5/100))/10</f>
        <v>0</v>
      </c>
      <c r="J43" s="26">
        <f>(J33/100)*(B43*I15)</f>
        <v>0</v>
      </c>
      <c r="K43" s="44">
        <f>(J33/100)*(B43*J15)</f>
        <v>0</v>
      </c>
      <c r="L43" s="26">
        <f t="shared" si="20"/>
        <v>0</v>
      </c>
    </row>
    <row r="44" spans="1:20">
      <c r="A44" s="7" t="s">
        <v>17</v>
      </c>
      <c r="B44" s="27"/>
      <c r="C44" s="33">
        <f t="shared" si="17"/>
        <v>0</v>
      </c>
      <c r="D44" s="33">
        <f t="shared" si="18"/>
        <v>0</v>
      </c>
      <c r="E44" s="33">
        <f t="shared" si="19"/>
        <v>0</v>
      </c>
      <c r="F44" s="33"/>
      <c r="G44" s="33">
        <f>(C44*(1+(B5/100)))</f>
        <v>0</v>
      </c>
      <c r="H44" s="33">
        <f>D44*(1+(C5/100))</f>
        <v>0</v>
      </c>
      <c r="I44" s="33">
        <f>E44*(1+(D5/100))/10</f>
        <v>0</v>
      </c>
      <c r="J44" s="26">
        <f>(J33/100)*(B44*I16)</f>
        <v>0</v>
      </c>
      <c r="K44" s="44">
        <f>(J33/100)*(B44*J16)</f>
        <v>0</v>
      </c>
      <c r="L44" s="26">
        <f t="shared" si="20"/>
        <v>0</v>
      </c>
      <c r="N44" s="7" t="s">
        <v>25</v>
      </c>
      <c r="O44" s="7" t="s">
        <v>35</v>
      </c>
      <c r="P44" s="7" t="s">
        <v>36</v>
      </c>
      <c r="Q44" s="7" t="s">
        <v>37</v>
      </c>
      <c r="R44" s="54" t="s">
        <v>41</v>
      </c>
      <c r="S44" s="60" t="s">
        <v>62</v>
      </c>
    </row>
    <row r="45" spans="1:20">
      <c r="A45" s="7" t="s">
        <v>18</v>
      </c>
      <c r="B45" s="28"/>
      <c r="C45" s="33">
        <f t="shared" si="17"/>
        <v>0</v>
      </c>
      <c r="D45" s="33">
        <f t="shared" si="18"/>
        <v>0</v>
      </c>
      <c r="E45" s="33">
        <f t="shared" si="19"/>
        <v>0</v>
      </c>
      <c r="F45" s="34"/>
      <c r="G45" s="34">
        <f>(C45*(1+(B5/100)))</f>
        <v>0</v>
      </c>
      <c r="H45" s="33">
        <f>D45*(1+(C5/100))</f>
        <v>0</v>
      </c>
      <c r="I45" s="34">
        <f>E45*(1+(D5/100))/10</f>
        <v>0</v>
      </c>
      <c r="J45" s="29">
        <f>(J33/100)*(B45*I17)</f>
        <v>0</v>
      </c>
      <c r="K45" s="44">
        <f>(J33/100)*(B45*J17)</f>
        <v>0</v>
      </c>
      <c r="L45" s="26">
        <f t="shared" si="20"/>
        <v>0</v>
      </c>
      <c r="N45" s="8" t="s">
        <v>9</v>
      </c>
      <c r="O45" s="18">
        <f>I9/B9</f>
        <v>60</v>
      </c>
      <c r="P45" s="48">
        <f>J9/B9</f>
        <v>20</v>
      </c>
      <c r="Q45" s="18">
        <f>K9/B9</f>
        <v>0</v>
      </c>
      <c r="R45" s="50">
        <f>L9/B9</f>
        <v>25</v>
      </c>
      <c r="S45" s="7">
        <f>R45+R57</f>
        <v>150</v>
      </c>
      <c r="T45" s="8" t="s">
        <v>9</v>
      </c>
    </row>
    <row r="46" spans="1:20">
      <c r="J46" s="77">
        <f>SUM(J37:J45)</f>
        <v>0</v>
      </c>
      <c r="K46" s="77">
        <f>SUM(K37:K45)</f>
        <v>0</v>
      </c>
      <c r="L46" s="118">
        <f>SUM(L37:L45)</f>
        <v>0</v>
      </c>
      <c r="N46" s="8" t="s">
        <v>11</v>
      </c>
      <c r="O46" s="18">
        <f t="shared" ref="O46:O53" si="21">I10/B10</f>
        <v>40</v>
      </c>
      <c r="P46" s="18">
        <f t="shared" ref="P46:P53" si="22">J10/B10</f>
        <v>26.666666666666668</v>
      </c>
      <c r="Q46" s="18">
        <f t="shared" ref="Q46:Q53" si="23">K10/B10</f>
        <v>0</v>
      </c>
      <c r="R46" s="50">
        <f t="shared" ref="R46:R53" si="24">L10/B10</f>
        <v>23.333333333333332</v>
      </c>
      <c r="S46" s="7">
        <f t="shared" ref="S46:S53" si="25">R46+R58</f>
        <v>163.33333333333334</v>
      </c>
      <c r="T46" s="8" t="s">
        <v>11</v>
      </c>
    </row>
    <row r="47" spans="1:20">
      <c r="C47" s="281" t="s">
        <v>52</v>
      </c>
      <c r="D47" s="282"/>
      <c r="E47" s="283"/>
      <c r="G47" s="284" t="s">
        <v>53</v>
      </c>
      <c r="H47" s="285"/>
      <c r="I47" s="286"/>
      <c r="K47" s="36" t="s">
        <v>61</v>
      </c>
      <c r="N47" s="8" t="s">
        <v>12</v>
      </c>
      <c r="O47" s="18">
        <f t="shared" si="21"/>
        <v>50</v>
      </c>
      <c r="P47" s="18">
        <f t="shared" si="22"/>
        <v>17.5</v>
      </c>
      <c r="Q47" s="47">
        <f t="shared" si="23"/>
        <v>5</v>
      </c>
      <c r="R47" s="50">
        <f t="shared" si="24"/>
        <v>26.25</v>
      </c>
      <c r="S47" s="7">
        <f t="shared" si="25"/>
        <v>236.25</v>
      </c>
      <c r="T47" s="8" t="s">
        <v>12</v>
      </c>
    </row>
    <row r="48" spans="1:20">
      <c r="C48" s="24" t="s">
        <v>49</v>
      </c>
      <c r="D48" s="24" t="s">
        <v>50</v>
      </c>
      <c r="E48" s="24" t="s">
        <v>51</v>
      </c>
      <c r="G48" s="24" t="s">
        <v>49</v>
      </c>
      <c r="H48" s="24" t="s">
        <v>50</v>
      </c>
      <c r="I48" s="24" t="s">
        <v>51</v>
      </c>
      <c r="K48" s="79">
        <f>(J46+K46)/20000</f>
        <v>0</v>
      </c>
      <c r="N48" s="8" t="s">
        <v>13</v>
      </c>
      <c r="O48" s="18">
        <f t="shared" si="21"/>
        <v>45</v>
      </c>
      <c r="P48" s="47">
        <f t="shared" si="22"/>
        <v>15</v>
      </c>
      <c r="Q48" s="18">
        <f t="shared" si="23"/>
        <v>0</v>
      </c>
      <c r="R48" s="51">
        <f>L12/B12</f>
        <v>18.75</v>
      </c>
      <c r="S48" s="58">
        <f t="shared" si="25"/>
        <v>112.5</v>
      </c>
      <c r="T48" s="73" t="s">
        <v>13</v>
      </c>
    </row>
    <row r="49" spans="1:20">
      <c r="C49" s="31">
        <f>SUM(C37:C45)</f>
        <v>0</v>
      </c>
      <c r="D49" s="31">
        <f>SUM(D37:D45)</f>
        <v>0</v>
      </c>
      <c r="E49" s="31">
        <f>SUM(E37:E45)</f>
        <v>0</v>
      </c>
      <c r="G49" s="31">
        <f>SUM(G37:G45)</f>
        <v>0</v>
      </c>
      <c r="H49" s="31">
        <f>SUM(H37:H45)</f>
        <v>0</v>
      </c>
      <c r="I49" s="31">
        <f>SUM(I37:I45)</f>
        <v>0</v>
      </c>
      <c r="N49" s="8" t="s">
        <v>14</v>
      </c>
      <c r="O49" s="18">
        <f t="shared" si="21"/>
        <v>50</v>
      </c>
      <c r="P49" s="18">
        <f t="shared" si="22"/>
        <v>25</v>
      </c>
      <c r="Q49" s="18">
        <f t="shared" si="23"/>
        <v>15</v>
      </c>
      <c r="R49" s="50">
        <f t="shared" si="24"/>
        <v>40</v>
      </c>
      <c r="S49" s="7">
        <f t="shared" si="25"/>
        <v>120</v>
      </c>
      <c r="T49" s="8" t="s">
        <v>14</v>
      </c>
    </row>
    <row r="50" spans="1:20" ht="15" customHeight="1">
      <c r="A50" s="287" t="s">
        <v>43</v>
      </c>
      <c r="N50" s="8" t="s">
        <v>15</v>
      </c>
      <c r="O50" s="49">
        <f t="shared" si="21"/>
        <v>30</v>
      </c>
      <c r="P50" s="18">
        <f t="shared" si="22"/>
        <v>25</v>
      </c>
      <c r="Q50" s="18">
        <f t="shared" si="23"/>
        <v>7.5</v>
      </c>
      <c r="R50" s="50">
        <f t="shared" si="24"/>
        <v>27.5</v>
      </c>
      <c r="S50" s="7">
        <f t="shared" si="25"/>
        <v>137.5</v>
      </c>
      <c r="T50" s="8" t="s">
        <v>15</v>
      </c>
    </row>
    <row r="51" spans="1:20" ht="15" customHeight="1">
      <c r="A51" s="287"/>
      <c r="N51" s="8" t="s">
        <v>16</v>
      </c>
      <c r="O51" s="47">
        <f t="shared" si="21"/>
        <v>25</v>
      </c>
      <c r="P51" s="48">
        <f t="shared" si="22"/>
        <v>20</v>
      </c>
      <c r="Q51" s="47">
        <f t="shared" si="23"/>
        <v>5</v>
      </c>
      <c r="R51" s="52">
        <f t="shared" si="24"/>
        <v>21.25</v>
      </c>
      <c r="S51" s="59">
        <f t="shared" si="25"/>
        <v>106.25</v>
      </c>
      <c r="T51" s="72" t="s">
        <v>16</v>
      </c>
    </row>
    <row r="52" spans="1:20" ht="15" customHeight="1">
      <c r="A52" s="287"/>
      <c r="N52" s="8" t="s">
        <v>17</v>
      </c>
      <c r="O52" s="18">
        <f t="shared" si="21"/>
        <v>42.857142857142854</v>
      </c>
      <c r="P52" s="18">
        <f t="shared" si="22"/>
        <v>57.142857142857146</v>
      </c>
      <c r="Q52" s="42">
        <f t="shared" si="23"/>
        <v>21.428571428571427</v>
      </c>
      <c r="R52" s="50">
        <f t="shared" si="24"/>
        <v>60.714285714285715</v>
      </c>
      <c r="S52" s="7">
        <f t="shared" si="25"/>
        <v>166.96428571428572</v>
      </c>
      <c r="T52" s="8" t="s">
        <v>17</v>
      </c>
    </row>
    <row r="53" spans="1:20" ht="15" customHeight="1">
      <c r="A53" s="288"/>
      <c r="N53" s="8" t="s">
        <v>18</v>
      </c>
      <c r="O53" s="42">
        <f t="shared" si="21"/>
        <v>166.66666666666666</v>
      </c>
      <c r="P53" s="42">
        <f t="shared" si="22"/>
        <v>83.333333333333329</v>
      </c>
      <c r="Q53" s="48">
        <f t="shared" si="23"/>
        <v>10</v>
      </c>
      <c r="R53" s="53">
        <f t="shared" si="24"/>
        <v>93.333333333333329</v>
      </c>
      <c r="S53" s="67">
        <f t="shared" si="25"/>
        <v>373.33333333333331</v>
      </c>
      <c r="T53" s="71" t="s">
        <v>18</v>
      </c>
    </row>
    <row r="54" spans="1:20" ht="15.75">
      <c r="A54" s="46" t="s">
        <v>25</v>
      </c>
      <c r="B54" s="25" t="s">
        <v>8</v>
      </c>
      <c r="C54" s="35" t="s">
        <v>1</v>
      </c>
      <c r="D54" s="35" t="s">
        <v>2</v>
      </c>
      <c r="E54" s="35" t="s">
        <v>45</v>
      </c>
      <c r="F54" s="35"/>
      <c r="G54" s="35" t="s">
        <v>48</v>
      </c>
      <c r="H54" s="35" t="s">
        <v>46</v>
      </c>
      <c r="I54" s="35" t="s">
        <v>47</v>
      </c>
      <c r="J54" s="36" t="s">
        <v>57</v>
      </c>
      <c r="K54" s="36" t="s">
        <v>58</v>
      </c>
    </row>
    <row r="55" spans="1:20">
      <c r="A55" s="7" t="s">
        <v>24</v>
      </c>
      <c r="B55" s="27"/>
      <c r="C55" s="33">
        <f>B55*B23</f>
        <v>0</v>
      </c>
      <c r="D55" s="33">
        <f>B55*C23</f>
        <v>0</v>
      </c>
      <c r="E55" s="33">
        <f t="shared" ref="E55:E62" si="26">(B55*D23)/10</f>
        <v>0</v>
      </c>
      <c r="F55" s="33"/>
      <c r="G55" s="33">
        <f>C55*(1+(B5/100))</f>
        <v>0</v>
      </c>
      <c r="H55" s="33">
        <f>D55*(1+(C5/100))</f>
        <v>0</v>
      </c>
      <c r="I55" s="33">
        <f>E55*(1+(D5/100))</f>
        <v>0</v>
      </c>
      <c r="J55" s="26">
        <f>(K33/100)*(B55*H23)</f>
        <v>0</v>
      </c>
      <c r="K55" s="26">
        <f>(K33/100)*(B55*I23)</f>
        <v>0</v>
      </c>
    </row>
    <row r="56" spans="1:20">
      <c r="A56" s="7" t="s">
        <v>26</v>
      </c>
      <c r="B56" s="27"/>
      <c r="C56" s="33">
        <f t="shared" ref="C56:C63" si="27">B56*B24</f>
        <v>0</v>
      </c>
      <c r="D56" s="33">
        <f t="shared" ref="D56:D63" si="28">B56*C24</f>
        <v>0</v>
      </c>
      <c r="E56" s="33">
        <f t="shared" si="26"/>
        <v>0</v>
      </c>
      <c r="F56" s="33"/>
      <c r="G56" s="33">
        <f>C56*(1+(B5/100))</f>
        <v>0</v>
      </c>
      <c r="H56" s="33">
        <f>D56*(1+(C5/100))</f>
        <v>0</v>
      </c>
      <c r="I56" s="33">
        <f>E56*(1+(D5/100))</f>
        <v>0</v>
      </c>
      <c r="J56" s="26">
        <f>(K33/100)*(B56*H24)</f>
        <v>0</v>
      </c>
      <c r="K56" s="26">
        <f>(K33/100)*(B56*I24)</f>
        <v>0</v>
      </c>
      <c r="N56" s="7" t="s">
        <v>25</v>
      </c>
      <c r="O56" s="7" t="s">
        <v>38</v>
      </c>
      <c r="P56" s="7" t="s">
        <v>39</v>
      </c>
      <c r="Q56" s="7" t="s">
        <v>40</v>
      </c>
      <c r="R56" s="54" t="s">
        <v>42</v>
      </c>
      <c r="S56" s="70" t="s">
        <v>63</v>
      </c>
    </row>
    <row r="57" spans="1:20">
      <c r="A57" s="7" t="s">
        <v>27</v>
      </c>
      <c r="B57" s="27"/>
      <c r="C57" s="33">
        <f t="shared" si="27"/>
        <v>0</v>
      </c>
      <c r="D57" s="33">
        <f t="shared" si="28"/>
        <v>0</v>
      </c>
      <c r="E57" s="33">
        <f t="shared" si="26"/>
        <v>0</v>
      </c>
      <c r="F57" s="33"/>
      <c r="G57" s="33">
        <f>C57*(1+(B5/100))</f>
        <v>0</v>
      </c>
      <c r="H57" s="33">
        <f>D57*(1+(C5/100))</f>
        <v>0</v>
      </c>
      <c r="I57" s="33">
        <f>E57*(1+(D5/100))</f>
        <v>0</v>
      </c>
      <c r="J57" s="26">
        <f>(K33/100)*(B57*H25)</f>
        <v>0</v>
      </c>
      <c r="K57" s="26">
        <f>(K33/100)*(B57*I25)</f>
        <v>0</v>
      </c>
      <c r="N57" s="8" t="s">
        <v>9</v>
      </c>
      <c r="O57" s="18">
        <f>I9/C9</f>
        <v>300</v>
      </c>
      <c r="P57" s="18">
        <f>J9/C9</f>
        <v>100</v>
      </c>
      <c r="Q57" s="18">
        <f>K9/C9</f>
        <v>0</v>
      </c>
      <c r="R57" s="55">
        <f>L9/C9</f>
        <v>125</v>
      </c>
      <c r="S57" s="64">
        <f>D9*(1+(D5/100))</f>
        <v>16400</v>
      </c>
      <c r="T57" s="71" t="s">
        <v>9</v>
      </c>
    </row>
    <row r="58" spans="1:20">
      <c r="A58" s="7" t="s">
        <v>28</v>
      </c>
      <c r="B58" s="27"/>
      <c r="C58" s="33">
        <f t="shared" si="27"/>
        <v>0</v>
      </c>
      <c r="D58" s="33">
        <f t="shared" si="28"/>
        <v>0</v>
      </c>
      <c r="E58" s="33">
        <f t="shared" si="26"/>
        <v>0</v>
      </c>
      <c r="F58" s="33"/>
      <c r="G58" s="33">
        <f>C58*(1+(B5/100))</f>
        <v>0</v>
      </c>
      <c r="H58" s="33">
        <f>D58*(1+(C5/100))</f>
        <v>0</v>
      </c>
      <c r="I58" s="33">
        <f>E58*(1+(D5/100))</f>
        <v>0</v>
      </c>
      <c r="J58" s="26">
        <f>(K33/100)*(B58*H26)</f>
        <v>0</v>
      </c>
      <c r="K58" s="26">
        <f>(K33/100)*(B58*I26)</f>
        <v>0</v>
      </c>
      <c r="N58" s="8" t="s">
        <v>11</v>
      </c>
      <c r="O58" s="18">
        <f t="shared" ref="O58:O65" si="29">I10/C10</f>
        <v>240</v>
      </c>
      <c r="P58" s="18">
        <f t="shared" ref="P58:P65" si="30">J10/C10</f>
        <v>160</v>
      </c>
      <c r="Q58" s="18">
        <f t="shared" ref="Q58:Q65" si="31">K10/C10</f>
        <v>0</v>
      </c>
      <c r="R58" s="55">
        <f t="shared" ref="R58:R65" si="32">L10/C10</f>
        <v>140</v>
      </c>
      <c r="S58" s="61">
        <f>D10*(1+(D5/100))</f>
        <v>41000</v>
      </c>
      <c r="T58" s="8" t="s">
        <v>11</v>
      </c>
    </row>
    <row r="59" spans="1:20">
      <c r="A59" s="7" t="s">
        <v>29</v>
      </c>
      <c r="B59" s="27"/>
      <c r="C59" s="33">
        <f t="shared" si="27"/>
        <v>0</v>
      </c>
      <c r="D59" s="33">
        <f t="shared" si="28"/>
        <v>0</v>
      </c>
      <c r="E59" s="33">
        <f t="shared" si="26"/>
        <v>0</v>
      </c>
      <c r="F59" s="33"/>
      <c r="G59" s="33">
        <f>(C59*(1+(B5/100)))</f>
        <v>0</v>
      </c>
      <c r="H59" s="33">
        <f>D59*(1+(C5/100))</f>
        <v>0</v>
      </c>
      <c r="I59" s="33">
        <f>E59*(1+(D5/100))</f>
        <v>0</v>
      </c>
      <c r="J59" s="26">
        <f>(K33/100)*(B59*H27)</f>
        <v>0</v>
      </c>
      <c r="K59" s="26">
        <f>(K33/100)*(B59*I27)</f>
        <v>0</v>
      </c>
      <c r="N59" s="8" t="s">
        <v>12</v>
      </c>
      <c r="O59" s="18">
        <f t="shared" si="29"/>
        <v>400</v>
      </c>
      <c r="P59" s="18">
        <f t="shared" si="30"/>
        <v>140</v>
      </c>
      <c r="Q59" s="18">
        <f t="shared" si="31"/>
        <v>40</v>
      </c>
      <c r="R59" s="55">
        <f t="shared" si="32"/>
        <v>210</v>
      </c>
      <c r="S59" s="61">
        <f>D11*(1+(D5/100))</f>
        <v>110699.99999999999</v>
      </c>
      <c r="T59" s="8" t="s">
        <v>12</v>
      </c>
    </row>
    <row r="60" spans="1:20">
      <c r="A60" s="7" t="s">
        <v>30</v>
      </c>
      <c r="B60" s="27"/>
      <c r="C60" s="33">
        <f t="shared" si="27"/>
        <v>0</v>
      </c>
      <c r="D60" s="33">
        <f t="shared" si="28"/>
        <v>0</v>
      </c>
      <c r="E60" s="33">
        <f t="shared" si="26"/>
        <v>0</v>
      </c>
      <c r="F60" s="33"/>
      <c r="G60" s="33">
        <f>C60*(1+(B23/100))</f>
        <v>0</v>
      </c>
      <c r="H60" s="33">
        <f>D60*(1+(C5/100))</f>
        <v>0</v>
      </c>
      <c r="I60" s="33">
        <f>E60*(1+(D5/100))</f>
        <v>0</v>
      </c>
      <c r="J60" s="26">
        <f>(K33/100)*(B60*H28)</f>
        <v>0</v>
      </c>
      <c r="K60" s="26">
        <f>(K33/100)*(B60*I28)</f>
        <v>0</v>
      </c>
      <c r="N60" s="8" t="s">
        <v>13</v>
      </c>
      <c r="O60" s="18">
        <f t="shared" si="29"/>
        <v>225</v>
      </c>
      <c r="P60" s="48">
        <f t="shared" si="30"/>
        <v>75</v>
      </c>
      <c r="Q60" s="18">
        <f t="shared" si="31"/>
        <v>0</v>
      </c>
      <c r="R60" s="55">
        <f t="shared" si="32"/>
        <v>93.75</v>
      </c>
      <c r="S60" s="61">
        <f>D12*(1+(D5/100))</f>
        <v>245999.99999999997</v>
      </c>
      <c r="T60" s="8" t="s">
        <v>13</v>
      </c>
    </row>
    <row r="61" spans="1:20">
      <c r="A61" s="7" t="s">
        <v>31</v>
      </c>
      <c r="B61" s="27"/>
      <c r="C61" s="33">
        <f t="shared" si="27"/>
        <v>0</v>
      </c>
      <c r="D61" s="33">
        <f t="shared" si="28"/>
        <v>0</v>
      </c>
      <c r="E61" s="33">
        <f t="shared" si="26"/>
        <v>0</v>
      </c>
      <c r="F61" s="33"/>
      <c r="G61" s="33">
        <f>C61*(1+(B5/100))</f>
        <v>0</v>
      </c>
      <c r="H61" s="33">
        <f>D61*(1+(C5/100))</f>
        <v>0</v>
      </c>
      <c r="I61" s="33">
        <f>E61*(1+(D5/100))</f>
        <v>0</v>
      </c>
      <c r="J61" s="26">
        <f>(K33/100)*(B61*H29)</f>
        <v>0</v>
      </c>
      <c r="K61" s="26">
        <f>(K33/100)*(B61*I29)</f>
        <v>0</v>
      </c>
      <c r="N61" s="8" t="s">
        <v>14</v>
      </c>
      <c r="O61" s="48">
        <f t="shared" si="29"/>
        <v>100</v>
      </c>
      <c r="P61" s="47">
        <f t="shared" si="30"/>
        <v>50</v>
      </c>
      <c r="Q61" s="48">
        <f t="shared" si="31"/>
        <v>30</v>
      </c>
      <c r="R61" s="51">
        <f t="shared" si="32"/>
        <v>80</v>
      </c>
      <c r="S61" s="61">
        <f>D13*(1+(D5/100))</f>
        <v>307500</v>
      </c>
      <c r="T61" s="73" t="s">
        <v>14</v>
      </c>
    </row>
    <row r="62" spans="1:20">
      <c r="A62" s="7"/>
      <c r="B62" s="27"/>
      <c r="C62" s="33">
        <f t="shared" si="27"/>
        <v>0</v>
      </c>
      <c r="D62" s="33">
        <f t="shared" si="28"/>
        <v>0</v>
      </c>
      <c r="E62" s="33">
        <f t="shared" si="26"/>
        <v>0</v>
      </c>
      <c r="F62" s="33"/>
      <c r="G62" s="33">
        <f>(C62*(1+(B5/100)))</f>
        <v>0</v>
      </c>
      <c r="H62" s="33">
        <f>D62*(1+(C5/100))</f>
        <v>0</v>
      </c>
      <c r="I62" s="33">
        <f>E62*(1+(D5/100))</f>
        <v>0</v>
      </c>
      <c r="J62" s="26"/>
      <c r="K62" s="26"/>
      <c r="L62" s="54" t="s">
        <v>61</v>
      </c>
      <c r="N62" s="8" t="s">
        <v>15</v>
      </c>
      <c r="O62" s="18">
        <f t="shared" si="29"/>
        <v>120</v>
      </c>
      <c r="P62" s="18">
        <f t="shared" si="30"/>
        <v>100</v>
      </c>
      <c r="Q62" s="48">
        <f t="shared" si="31"/>
        <v>30</v>
      </c>
      <c r="R62" s="55">
        <f t="shared" si="32"/>
        <v>110</v>
      </c>
      <c r="S62" s="61">
        <f>D14*(1+(D5/100))</f>
        <v>450999.99999999994</v>
      </c>
      <c r="T62" s="8" t="s">
        <v>15</v>
      </c>
    </row>
    <row r="63" spans="1:20">
      <c r="A63" s="7"/>
      <c r="B63" s="28"/>
      <c r="C63" s="33">
        <f t="shared" si="27"/>
        <v>0</v>
      </c>
      <c r="D63" s="33">
        <f t="shared" si="28"/>
        <v>0</v>
      </c>
      <c r="E63" s="33">
        <f t="shared" ref="E63" si="33">B63*D31</f>
        <v>0</v>
      </c>
      <c r="F63" s="34"/>
      <c r="G63" s="34">
        <f>(C63*(1+(B5/100)))</f>
        <v>0</v>
      </c>
      <c r="H63" s="33">
        <f>D63*(1+(C5/100))</f>
        <v>0</v>
      </c>
      <c r="I63" s="34">
        <f>E63*(1+(D5/100))</f>
        <v>0</v>
      </c>
      <c r="J63" s="29"/>
      <c r="K63" s="26"/>
      <c r="L63" s="79">
        <f>(J64+K64)/20000</f>
        <v>0</v>
      </c>
      <c r="N63" s="8" t="s">
        <v>16</v>
      </c>
      <c r="O63" s="48">
        <f t="shared" si="29"/>
        <v>100</v>
      </c>
      <c r="P63" s="18">
        <f t="shared" si="30"/>
        <v>80</v>
      </c>
      <c r="Q63" s="47">
        <f t="shared" si="31"/>
        <v>20</v>
      </c>
      <c r="R63" s="52">
        <f t="shared" si="32"/>
        <v>85</v>
      </c>
      <c r="S63" s="62">
        <f>D15*(1+(D5/100))</f>
        <v>36900000</v>
      </c>
      <c r="T63" s="72" t="s">
        <v>16</v>
      </c>
    </row>
    <row r="64" spans="1:20">
      <c r="J64" s="78">
        <f>SUM(J55:J61)</f>
        <v>0</v>
      </c>
      <c r="K64" s="78">
        <f>SUM(K55:K61)</f>
        <v>0</v>
      </c>
      <c r="N64" s="8" t="s">
        <v>17</v>
      </c>
      <c r="O64" s="47">
        <f t="shared" si="29"/>
        <v>75</v>
      </c>
      <c r="P64" s="18">
        <f t="shared" si="30"/>
        <v>100</v>
      </c>
      <c r="Q64" s="18">
        <f t="shared" si="31"/>
        <v>37.5</v>
      </c>
      <c r="R64" s="55">
        <f t="shared" si="32"/>
        <v>106.25</v>
      </c>
      <c r="S64" s="61">
        <f>D16*(1+(D5/100))</f>
        <v>287000</v>
      </c>
      <c r="T64" s="8" t="s">
        <v>17</v>
      </c>
    </row>
    <row r="65" spans="3:20">
      <c r="C65" s="272" t="s">
        <v>52</v>
      </c>
      <c r="D65" s="272"/>
      <c r="E65" s="272"/>
      <c r="G65" s="273" t="s">
        <v>53</v>
      </c>
      <c r="H65" s="273"/>
      <c r="I65" s="273"/>
      <c r="N65" s="8" t="s">
        <v>18</v>
      </c>
      <c r="O65" s="42">
        <f t="shared" si="29"/>
        <v>500</v>
      </c>
      <c r="P65" s="42">
        <f t="shared" si="30"/>
        <v>250</v>
      </c>
      <c r="Q65" s="48">
        <f t="shared" si="31"/>
        <v>30</v>
      </c>
      <c r="R65" s="53">
        <f t="shared" si="32"/>
        <v>280</v>
      </c>
      <c r="S65" s="63">
        <f>D17*(1+(D5/100))</f>
        <v>3074999.9999999995</v>
      </c>
      <c r="T65" s="73" t="s">
        <v>18</v>
      </c>
    </row>
    <row r="66" spans="3:20">
      <c r="C66" s="24" t="s">
        <v>49</v>
      </c>
      <c r="D66" s="24" t="s">
        <v>50</v>
      </c>
      <c r="E66" s="24" t="s">
        <v>51</v>
      </c>
      <c r="G66" s="24" t="s">
        <v>49</v>
      </c>
      <c r="H66" s="24" t="s">
        <v>50</v>
      </c>
      <c r="I66" s="24" t="s">
        <v>51</v>
      </c>
    </row>
    <row r="67" spans="3:20">
      <c r="C67" s="31">
        <f>SUM(C55:C63)</f>
        <v>0</v>
      </c>
      <c r="D67" s="31">
        <f>SUM(D55:D63)</f>
        <v>0</v>
      </c>
      <c r="E67" s="31">
        <f>SUM(E55:E63)</f>
        <v>0</v>
      </c>
      <c r="G67" s="31">
        <f>SUM(G55:G63)</f>
        <v>0</v>
      </c>
      <c r="H67" s="31">
        <f>SUM(H55:H63)</f>
        <v>0</v>
      </c>
      <c r="I67" s="31">
        <f>SUM(I55:I63)</f>
        <v>0</v>
      </c>
    </row>
    <row r="68" spans="3:20">
      <c r="J68" s="267" t="s">
        <v>65</v>
      </c>
      <c r="K68" s="267"/>
      <c r="L68" s="76" t="s">
        <v>66</v>
      </c>
    </row>
    <row r="69" spans="3:20">
      <c r="J69" s="80">
        <f>J46+J64</f>
        <v>0</v>
      </c>
      <c r="K69" s="80">
        <f>K46+K64</f>
        <v>0</v>
      </c>
      <c r="L69" s="81">
        <f>K48+L63</f>
        <v>0</v>
      </c>
    </row>
    <row r="70" spans="3:20">
      <c r="G70" s="271" t="s">
        <v>60</v>
      </c>
      <c r="H70" s="271"/>
      <c r="I70" s="271"/>
      <c r="K70" s="75"/>
      <c r="L70" s="23"/>
    </row>
    <row r="71" spans="3:20">
      <c r="G71" s="24" t="s">
        <v>49</v>
      </c>
      <c r="H71" s="24" t="s">
        <v>50</v>
      </c>
      <c r="I71" s="24" t="s">
        <v>51</v>
      </c>
    </row>
    <row r="72" spans="3:20">
      <c r="G72" s="31">
        <f>G67+G49</f>
        <v>0</v>
      </c>
      <c r="H72" s="31">
        <f>H67+H49</f>
        <v>0</v>
      </c>
      <c r="I72" s="31">
        <f>I67+I49</f>
        <v>0</v>
      </c>
    </row>
  </sheetData>
  <mergeCells count="13">
    <mergeCell ref="G70:I70"/>
    <mergeCell ref="L5:L8"/>
    <mergeCell ref="A7:B7"/>
    <mergeCell ref="K19:K22"/>
    <mergeCell ref="J31:J32"/>
    <mergeCell ref="K31:K32"/>
    <mergeCell ref="A32:A35"/>
    <mergeCell ref="C47:E47"/>
    <mergeCell ref="G47:I47"/>
    <mergeCell ref="A50:A53"/>
    <mergeCell ref="C65:E65"/>
    <mergeCell ref="G65:I65"/>
    <mergeCell ref="J68:K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opLeftCell="A46" zoomScale="80" zoomScaleNormal="80" workbookViewId="0">
      <selection activeCell="I48" sqref="I48"/>
    </sheetView>
  </sheetViews>
  <sheetFormatPr baseColWidth="10" defaultRowHeight="15"/>
  <cols>
    <col min="1" max="1" width="20.28515625" customWidth="1"/>
    <col min="2" max="2" width="19.85546875" customWidth="1"/>
    <col min="3" max="3" width="19.7109375" customWidth="1"/>
    <col min="4" max="4" width="18.85546875" customWidth="1"/>
    <col min="5" max="5" width="22.42578125" customWidth="1"/>
    <col min="6" max="6" width="25.140625" customWidth="1"/>
    <col min="7" max="7" width="27.28515625" customWidth="1"/>
    <col min="8" max="8" width="22.85546875" customWidth="1"/>
    <col min="9" max="9" width="20.42578125" customWidth="1"/>
    <col min="10" max="10" width="20.140625" customWidth="1"/>
    <col min="11" max="11" width="17.5703125" customWidth="1"/>
    <col min="12" max="12" width="14.5703125" customWidth="1"/>
    <col min="13" max="13" width="22" customWidth="1"/>
  </cols>
  <sheetData>
    <row r="1" spans="1:13" ht="18.75">
      <c r="A1" s="114" t="s">
        <v>75</v>
      </c>
      <c r="B1" s="17"/>
      <c r="E1" s="113" t="s">
        <v>79</v>
      </c>
    </row>
    <row r="2" spans="1:13">
      <c r="A2" s="24" t="s">
        <v>76</v>
      </c>
      <c r="B2" s="115">
        <v>30000000</v>
      </c>
      <c r="E2" s="1" t="s">
        <v>76</v>
      </c>
      <c r="F2" s="176">
        <v>20000000</v>
      </c>
      <c r="G2" s="112"/>
    </row>
    <row r="3" spans="1:13">
      <c r="A3" s="24" t="s">
        <v>77</v>
      </c>
      <c r="B3" s="26">
        <f>B2*6000</f>
        <v>180000000000</v>
      </c>
      <c r="E3" s="1" t="s">
        <v>80</v>
      </c>
      <c r="F3" s="44">
        <f>F2*25000</f>
        <v>500000000000</v>
      </c>
      <c r="G3" s="112"/>
    </row>
    <row r="4" spans="1:13">
      <c r="A4" s="24" t="s">
        <v>78</v>
      </c>
      <c r="B4" s="26">
        <f>B2*4000</f>
        <v>120000000000</v>
      </c>
      <c r="E4" s="1" t="s">
        <v>81</v>
      </c>
      <c r="F4" s="44">
        <f>F2*25000</f>
        <v>500000000000</v>
      </c>
      <c r="G4" s="112"/>
    </row>
    <row r="5" spans="1:13">
      <c r="A5" s="116" t="s">
        <v>83</v>
      </c>
      <c r="B5" s="30">
        <f>(B3/4)+(B4/2)</f>
        <v>105000000000</v>
      </c>
      <c r="E5" s="1" t="s">
        <v>82</v>
      </c>
      <c r="F5" s="44">
        <f>F2*25000</f>
        <v>500000000000</v>
      </c>
    </row>
    <row r="6" spans="1:13">
      <c r="E6" s="291"/>
      <c r="F6" s="291"/>
    </row>
    <row r="8" spans="1:13" ht="18.75">
      <c r="A8" s="82" t="s">
        <v>146</v>
      </c>
      <c r="B8" s="7" t="s">
        <v>1</v>
      </c>
      <c r="C8" s="7" t="s">
        <v>2</v>
      </c>
      <c r="D8" s="7" t="s">
        <v>4</v>
      </c>
      <c r="F8" s="82" t="s">
        <v>147</v>
      </c>
      <c r="G8" s="7" t="s">
        <v>1</v>
      </c>
      <c r="H8" s="7" t="s">
        <v>2</v>
      </c>
      <c r="I8" s="7" t="s">
        <v>4</v>
      </c>
    </row>
    <row r="9" spans="1:13">
      <c r="A9" s="5" t="s">
        <v>3</v>
      </c>
      <c r="B9" s="5">
        <v>21</v>
      </c>
      <c r="C9" s="5">
        <v>21</v>
      </c>
      <c r="D9" s="5">
        <v>20</v>
      </c>
      <c r="F9" s="5" t="s">
        <v>3</v>
      </c>
      <c r="G9" s="5">
        <v>21</v>
      </c>
      <c r="H9" s="5">
        <v>21</v>
      </c>
      <c r="I9" s="5">
        <v>20</v>
      </c>
    </row>
    <row r="10" spans="1:13">
      <c r="A10" s="8" t="s">
        <v>5</v>
      </c>
      <c r="B10" s="8">
        <f>B9*10</f>
        <v>210</v>
      </c>
      <c r="C10" s="8">
        <f>C9*10</f>
        <v>210</v>
      </c>
      <c r="D10" s="8">
        <f>D9*10</f>
        <v>200</v>
      </c>
      <c r="F10" s="8" t="s">
        <v>5</v>
      </c>
      <c r="G10" s="8">
        <f>G9*10</f>
        <v>210</v>
      </c>
      <c r="H10" s="8">
        <f>H9*10</f>
        <v>210</v>
      </c>
      <c r="I10" s="8">
        <f>I9*10</f>
        <v>200</v>
      </c>
    </row>
    <row r="11" spans="1:13">
      <c r="A11" s="6" t="s">
        <v>6</v>
      </c>
      <c r="B11" s="6">
        <v>20</v>
      </c>
      <c r="C11" s="2"/>
      <c r="D11" s="3"/>
      <c r="F11" s="6" t="s">
        <v>6</v>
      </c>
      <c r="G11" s="6">
        <v>20</v>
      </c>
      <c r="H11" s="2"/>
      <c r="I11" s="3"/>
    </row>
    <row r="12" spans="1:13">
      <c r="A12" s="8" t="s">
        <v>7</v>
      </c>
      <c r="B12" s="9">
        <f>((B11/2)+B9)*10</f>
        <v>310</v>
      </c>
      <c r="C12" s="9">
        <f>((B11/2)+C9)*10</f>
        <v>310</v>
      </c>
      <c r="D12" s="9">
        <f>((B11/2)+D9)*10</f>
        <v>300</v>
      </c>
      <c r="F12" s="8" t="s">
        <v>7</v>
      </c>
      <c r="G12" s="9">
        <f>((G11/2)+G9)*10</f>
        <v>310</v>
      </c>
      <c r="H12" s="9">
        <f>((G11/2)+H9)*10</f>
        <v>310</v>
      </c>
      <c r="I12" s="9">
        <f>((G11/2)+I9)*10</f>
        <v>300</v>
      </c>
    </row>
    <row r="15" spans="1:13">
      <c r="A15" s="293" t="s">
        <v>84</v>
      </c>
      <c r="M15" s="261" t="s">
        <v>145</v>
      </c>
    </row>
    <row r="16" spans="1:13">
      <c r="A16" s="293"/>
      <c r="M16" s="292"/>
    </row>
    <row r="17" spans="1:13">
      <c r="A17" s="293"/>
      <c r="M17" s="292"/>
    </row>
    <row r="18" spans="1:13" ht="15.75">
      <c r="A18" s="173" t="s">
        <v>120</v>
      </c>
      <c r="B18" s="173" t="s">
        <v>1</v>
      </c>
      <c r="C18" s="173" t="s">
        <v>2</v>
      </c>
      <c r="D18" s="173" t="s">
        <v>19</v>
      </c>
      <c r="E18" s="173"/>
      <c r="F18" s="173" t="s">
        <v>21</v>
      </c>
      <c r="G18" s="173" t="s">
        <v>22</v>
      </c>
      <c r="H18" s="173" t="s">
        <v>32</v>
      </c>
      <c r="I18" s="173" t="s">
        <v>33</v>
      </c>
      <c r="J18" s="174" t="s">
        <v>34</v>
      </c>
      <c r="K18" s="173" t="s">
        <v>143</v>
      </c>
      <c r="L18" s="173" t="s">
        <v>144</v>
      </c>
      <c r="M18" s="262"/>
    </row>
    <row r="19" spans="1:13">
      <c r="A19" s="7" t="s">
        <v>121</v>
      </c>
      <c r="B19" s="32">
        <v>5</v>
      </c>
      <c r="C19" s="32">
        <v>3</v>
      </c>
      <c r="D19" s="32">
        <v>100</v>
      </c>
      <c r="E19" s="32"/>
      <c r="F19" s="32">
        <f>D19/B19</f>
        <v>20</v>
      </c>
      <c r="G19" s="32">
        <f>D19/C19</f>
        <v>33.333333333333336</v>
      </c>
      <c r="H19" s="32">
        <v>100</v>
      </c>
      <c r="I19" s="32"/>
      <c r="J19" s="32"/>
      <c r="K19" s="172">
        <v>1</v>
      </c>
      <c r="L19" s="172"/>
      <c r="M19" s="44">
        <f>(H19/4)+(I19/2)+J19</f>
        <v>25</v>
      </c>
    </row>
    <row r="20" spans="1:13">
      <c r="A20" s="7" t="s">
        <v>122</v>
      </c>
      <c r="B20" s="32">
        <v>50</v>
      </c>
      <c r="C20" s="32">
        <v>30</v>
      </c>
      <c r="D20" s="32">
        <v>500</v>
      </c>
      <c r="E20" s="32"/>
      <c r="F20" s="32">
        <f t="shared" ref="F20:F40" si="0">D20/B20</f>
        <v>10</v>
      </c>
      <c r="G20" s="32">
        <f t="shared" ref="G20:G40" si="1">D20/C20</f>
        <v>16.666666666666668</v>
      </c>
      <c r="H20" s="32">
        <v>500</v>
      </c>
      <c r="I20" s="32"/>
      <c r="J20" s="32"/>
      <c r="K20" s="172">
        <v>5</v>
      </c>
      <c r="L20" s="172"/>
      <c r="M20" s="44">
        <f t="shared" ref="M20:M40" si="2">(H20/4)+(I20/2)+J20</f>
        <v>125</v>
      </c>
    </row>
    <row r="21" spans="1:13">
      <c r="A21" s="7" t="s">
        <v>123</v>
      </c>
      <c r="B21" s="32">
        <v>10</v>
      </c>
      <c r="C21" s="32">
        <v>5</v>
      </c>
      <c r="D21" s="32">
        <v>210</v>
      </c>
      <c r="E21" s="32"/>
      <c r="F21" s="32">
        <f t="shared" si="0"/>
        <v>21</v>
      </c>
      <c r="G21" s="32">
        <f t="shared" si="1"/>
        <v>42</v>
      </c>
      <c r="H21" s="32">
        <v>200</v>
      </c>
      <c r="I21" s="32">
        <v>10</v>
      </c>
      <c r="J21" s="32">
        <v>10</v>
      </c>
      <c r="K21" s="172">
        <v>2</v>
      </c>
      <c r="L21" s="172">
        <v>5</v>
      </c>
      <c r="M21" s="44">
        <f t="shared" si="2"/>
        <v>65</v>
      </c>
    </row>
    <row r="22" spans="1:13">
      <c r="A22" s="7" t="s">
        <v>124</v>
      </c>
      <c r="B22" s="32">
        <v>100</v>
      </c>
      <c r="C22" s="32">
        <v>50</v>
      </c>
      <c r="D22" s="32">
        <v>1050</v>
      </c>
      <c r="E22" s="32"/>
      <c r="F22" s="32">
        <f t="shared" si="0"/>
        <v>10.5</v>
      </c>
      <c r="G22" s="32">
        <f t="shared" si="1"/>
        <v>21</v>
      </c>
      <c r="H22" s="32">
        <v>1000</v>
      </c>
      <c r="I22" s="32">
        <v>50</v>
      </c>
      <c r="J22" s="32">
        <v>50</v>
      </c>
      <c r="K22" s="172">
        <v>10</v>
      </c>
      <c r="L22" s="172">
        <v>25</v>
      </c>
      <c r="M22" s="44">
        <f t="shared" si="2"/>
        <v>325</v>
      </c>
    </row>
    <row r="23" spans="1:13">
      <c r="A23" s="7" t="s">
        <v>125</v>
      </c>
      <c r="B23" s="32">
        <v>20</v>
      </c>
      <c r="C23" s="32">
        <v>10</v>
      </c>
      <c r="D23" s="32">
        <v>770</v>
      </c>
      <c r="E23" s="32"/>
      <c r="F23" s="32">
        <f t="shared" si="0"/>
        <v>38.5</v>
      </c>
      <c r="G23" s="32">
        <f t="shared" si="1"/>
        <v>77</v>
      </c>
      <c r="H23" s="32">
        <v>750</v>
      </c>
      <c r="I23" s="32">
        <v>20</v>
      </c>
      <c r="J23" s="32">
        <v>100</v>
      </c>
      <c r="K23" s="172">
        <v>10</v>
      </c>
      <c r="L23" s="172">
        <v>10</v>
      </c>
      <c r="M23" s="44">
        <f t="shared" si="2"/>
        <v>297.5</v>
      </c>
    </row>
    <row r="24" spans="1:13">
      <c r="A24" s="7" t="s">
        <v>126</v>
      </c>
      <c r="B24" s="32">
        <v>25</v>
      </c>
      <c r="C24" s="32">
        <v>20</v>
      </c>
      <c r="D24" s="32">
        <v>1030</v>
      </c>
      <c r="E24" s="32"/>
      <c r="F24" s="32">
        <f t="shared" si="0"/>
        <v>41.2</v>
      </c>
      <c r="G24" s="32">
        <f t="shared" si="1"/>
        <v>51.5</v>
      </c>
      <c r="H24" s="32">
        <v>1000</v>
      </c>
      <c r="I24" s="32">
        <v>30</v>
      </c>
      <c r="J24" s="32">
        <v>200</v>
      </c>
      <c r="K24" s="172">
        <v>20</v>
      </c>
      <c r="L24" s="172">
        <v>20</v>
      </c>
      <c r="M24" s="44">
        <f t="shared" si="2"/>
        <v>465</v>
      </c>
    </row>
    <row r="25" spans="1:13">
      <c r="A25" s="7" t="s">
        <v>127</v>
      </c>
      <c r="B25" s="32">
        <v>50</v>
      </c>
      <c r="C25" s="32">
        <v>50</v>
      </c>
      <c r="D25" s="32">
        <v>1290</v>
      </c>
      <c r="E25" s="32"/>
      <c r="F25" s="32">
        <f t="shared" si="0"/>
        <v>25.8</v>
      </c>
      <c r="G25" s="32">
        <f t="shared" si="1"/>
        <v>25.8</v>
      </c>
      <c r="H25" s="32">
        <v>1250</v>
      </c>
      <c r="I25" s="32">
        <v>40</v>
      </c>
      <c r="J25" s="32">
        <v>500</v>
      </c>
      <c r="K25" s="172">
        <v>25</v>
      </c>
      <c r="L25" s="172">
        <v>50</v>
      </c>
      <c r="M25" s="44">
        <f t="shared" si="2"/>
        <v>832.5</v>
      </c>
    </row>
    <row r="26" spans="1:13">
      <c r="A26" s="7" t="s">
        <v>128</v>
      </c>
      <c r="B26" s="172">
        <v>100</v>
      </c>
      <c r="C26" s="172">
        <v>100</v>
      </c>
      <c r="D26" s="172">
        <v>1550</v>
      </c>
      <c r="E26" s="172"/>
      <c r="F26" s="172">
        <f t="shared" si="0"/>
        <v>15.5</v>
      </c>
      <c r="G26" s="172">
        <f t="shared" si="1"/>
        <v>15.5</v>
      </c>
      <c r="H26" s="172">
        <v>1500</v>
      </c>
      <c r="I26" s="172">
        <v>50</v>
      </c>
      <c r="J26" s="172">
        <v>1000</v>
      </c>
      <c r="K26" s="172">
        <v>50</v>
      </c>
      <c r="L26" s="172">
        <v>100</v>
      </c>
      <c r="M26" s="44">
        <f t="shared" si="2"/>
        <v>1400</v>
      </c>
    </row>
    <row r="27" spans="1:13">
      <c r="A27" s="7" t="s">
        <v>129</v>
      </c>
      <c r="B27" s="172">
        <v>150</v>
      </c>
      <c r="C27" s="172">
        <v>150</v>
      </c>
      <c r="D27" s="172">
        <v>1810</v>
      </c>
      <c r="E27" s="172"/>
      <c r="F27" s="172">
        <f t="shared" si="0"/>
        <v>12.066666666666666</v>
      </c>
      <c r="G27" s="172">
        <f t="shared" si="1"/>
        <v>12.066666666666666</v>
      </c>
      <c r="H27" s="172">
        <v>1750</v>
      </c>
      <c r="I27" s="172">
        <v>60</v>
      </c>
      <c r="J27" s="172">
        <v>2000</v>
      </c>
      <c r="K27" s="172">
        <v>75</v>
      </c>
      <c r="L27" s="172">
        <v>200</v>
      </c>
      <c r="M27" s="44">
        <f t="shared" si="2"/>
        <v>2467.5</v>
      </c>
    </row>
    <row r="28" spans="1:13">
      <c r="A28" s="7" t="s">
        <v>130</v>
      </c>
      <c r="B28" s="172">
        <v>200</v>
      </c>
      <c r="C28" s="172">
        <v>200</v>
      </c>
      <c r="D28" s="172">
        <v>2070</v>
      </c>
      <c r="E28" s="172"/>
      <c r="F28" s="172">
        <f t="shared" si="0"/>
        <v>10.35</v>
      </c>
      <c r="G28" s="172">
        <f t="shared" si="1"/>
        <v>10.35</v>
      </c>
      <c r="H28" s="172">
        <v>2000</v>
      </c>
      <c r="I28" s="172">
        <v>70</v>
      </c>
      <c r="J28" s="172">
        <v>5000</v>
      </c>
      <c r="K28" s="172">
        <v>100</v>
      </c>
      <c r="L28" s="172">
        <v>300</v>
      </c>
      <c r="M28" s="44">
        <f t="shared" si="2"/>
        <v>5535</v>
      </c>
    </row>
    <row r="29" spans="1:13">
      <c r="A29" s="7" t="s">
        <v>131</v>
      </c>
      <c r="B29" s="172">
        <v>50</v>
      </c>
      <c r="C29" s="172">
        <v>200</v>
      </c>
      <c r="D29" s="172">
        <v>50</v>
      </c>
      <c r="E29" s="172"/>
      <c r="F29" s="172">
        <f t="shared" si="0"/>
        <v>1</v>
      </c>
      <c r="G29" s="172">
        <f t="shared" si="1"/>
        <v>0.25</v>
      </c>
      <c r="H29" s="172"/>
      <c r="I29" s="172">
        <v>50</v>
      </c>
      <c r="J29" s="172">
        <v>100</v>
      </c>
      <c r="K29" s="172">
        <v>10</v>
      </c>
      <c r="L29" s="172">
        <v>500</v>
      </c>
      <c r="M29" s="44">
        <f t="shared" si="2"/>
        <v>125</v>
      </c>
    </row>
    <row r="30" spans="1:13">
      <c r="A30" s="7" t="s">
        <v>132</v>
      </c>
      <c r="B30" s="172">
        <v>100</v>
      </c>
      <c r="C30" s="172">
        <v>250</v>
      </c>
      <c r="D30" s="172">
        <v>1000</v>
      </c>
      <c r="E30" s="172"/>
      <c r="F30" s="172">
        <f t="shared" si="0"/>
        <v>10</v>
      </c>
      <c r="G30" s="172">
        <f t="shared" si="1"/>
        <v>4</v>
      </c>
      <c r="H30" s="172"/>
      <c r="I30" s="172">
        <v>1000</v>
      </c>
      <c r="J30" s="172">
        <v>1000</v>
      </c>
      <c r="K30" s="172">
        <v>1000</v>
      </c>
      <c r="L30" s="172"/>
      <c r="M30" s="44">
        <f t="shared" si="2"/>
        <v>1500</v>
      </c>
    </row>
    <row r="31" spans="1:13">
      <c r="A31" s="7" t="s">
        <v>133</v>
      </c>
      <c r="B31" s="172">
        <v>250</v>
      </c>
      <c r="C31" s="172">
        <v>150</v>
      </c>
      <c r="D31" s="172">
        <v>20000</v>
      </c>
      <c r="E31" s="172"/>
      <c r="F31" s="172">
        <f t="shared" si="0"/>
        <v>80</v>
      </c>
      <c r="G31" s="172">
        <f t="shared" si="1"/>
        <v>133.33333333333334</v>
      </c>
      <c r="H31" s="172">
        <v>10000</v>
      </c>
      <c r="I31" s="172">
        <v>10000</v>
      </c>
      <c r="J31" s="172">
        <v>10000</v>
      </c>
      <c r="K31" s="172"/>
      <c r="L31" s="172">
        <v>10000</v>
      </c>
      <c r="M31" s="44">
        <f t="shared" si="2"/>
        <v>17500</v>
      </c>
    </row>
    <row r="32" spans="1:13">
      <c r="A32" s="7" t="s">
        <v>134</v>
      </c>
      <c r="B32" s="172">
        <v>200</v>
      </c>
      <c r="C32" s="172">
        <v>50</v>
      </c>
      <c r="D32" s="172">
        <v>4000</v>
      </c>
      <c r="E32" s="172"/>
      <c r="F32" s="172">
        <f t="shared" si="0"/>
        <v>20</v>
      </c>
      <c r="G32" s="172">
        <f t="shared" si="1"/>
        <v>80</v>
      </c>
      <c r="H32" s="172">
        <v>2000</v>
      </c>
      <c r="I32" s="172">
        <v>2000</v>
      </c>
      <c r="J32" s="172"/>
      <c r="K32" s="172"/>
      <c r="L32" s="172"/>
      <c r="M32" s="44">
        <f t="shared" si="2"/>
        <v>1500</v>
      </c>
    </row>
    <row r="33" spans="1:13">
      <c r="A33" s="7" t="s">
        <v>135</v>
      </c>
      <c r="B33" s="172">
        <v>250</v>
      </c>
      <c r="C33" s="172">
        <v>70</v>
      </c>
      <c r="D33" s="172">
        <v>6000</v>
      </c>
      <c r="E33" s="172"/>
      <c r="F33" s="172">
        <f t="shared" si="0"/>
        <v>24</v>
      </c>
      <c r="G33" s="172">
        <f t="shared" si="1"/>
        <v>85.714285714285708</v>
      </c>
      <c r="H33" s="172">
        <v>4000</v>
      </c>
      <c r="I33" s="172">
        <v>2000</v>
      </c>
      <c r="J33" s="172"/>
      <c r="K33" s="172"/>
      <c r="L33" s="172"/>
      <c r="M33" s="44">
        <f t="shared" si="2"/>
        <v>2000</v>
      </c>
    </row>
    <row r="34" spans="1:13">
      <c r="A34" s="7" t="s">
        <v>136</v>
      </c>
      <c r="B34" s="172">
        <v>300</v>
      </c>
      <c r="C34" s="172">
        <v>90</v>
      </c>
      <c r="D34" s="172">
        <v>8000</v>
      </c>
      <c r="E34" s="172"/>
      <c r="F34" s="172">
        <f t="shared" si="0"/>
        <v>26.666666666666668</v>
      </c>
      <c r="G34" s="172">
        <f t="shared" si="1"/>
        <v>88.888888888888886</v>
      </c>
      <c r="H34" s="172">
        <v>6000</v>
      </c>
      <c r="I34" s="172">
        <v>2000</v>
      </c>
      <c r="J34" s="172"/>
      <c r="K34" s="172"/>
      <c r="L34" s="172"/>
      <c r="M34" s="44">
        <f t="shared" si="2"/>
        <v>2500</v>
      </c>
    </row>
    <row r="35" spans="1:13">
      <c r="A35" s="7" t="s">
        <v>137</v>
      </c>
      <c r="B35" s="172">
        <v>500</v>
      </c>
      <c r="C35" s="172">
        <v>120</v>
      </c>
      <c r="D35" s="172">
        <v>10000</v>
      </c>
      <c r="E35" s="172"/>
      <c r="F35" s="172">
        <f t="shared" si="0"/>
        <v>20</v>
      </c>
      <c r="G35" s="172">
        <f t="shared" si="1"/>
        <v>83.333333333333329</v>
      </c>
      <c r="H35" s="172">
        <v>8000</v>
      </c>
      <c r="I35" s="172">
        <v>2000</v>
      </c>
      <c r="J35" s="172"/>
      <c r="K35" s="172"/>
      <c r="L35" s="172"/>
      <c r="M35" s="44">
        <f t="shared" si="2"/>
        <v>3000</v>
      </c>
    </row>
    <row r="36" spans="1:13">
      <c r="A36" s="7" t="s">
        <v>138</v>
      </c>
      <c r="B36" s="172">
        <v>700</v>
      </c>
      <c r="C36" s="172">
        <v>250</v>
      </c>
      <c r="D36" s="172">
        <v>12000</v>
      </c>
      <c r="E36" s="172"/>
      <c r="F36" s="172">
        <f t="shared" si="0"/>
        <v>17.142857142857142</v>
      </c>
      <c r="G36" s="172">
        <f t="shared" si="1"/>
        <v>48</v>
      </c>
      <c r="H36" s="172">
        <v>10000</v>
      </c>
      <c r="I36" s="172">
        <v>2000</v>
      </c>
      <c r="J36" s="172"/>
      <c r="K36" s="172"/>
      <c r="L36" s="172">
        <v>1000</v>
      </c>
      <c r="M36" s="44">
        <f t="shared" si="2"/>
        <v>3500</v>
      </c>
    </row>
    <row r="37" spans="1:13">
      <c r="A37" s="7" t="s">
        <v>139</v>
      </c>
      <c r="B37" s="172">
        <v>1500</v>
      </c>
      <c r="C37" s="172">
        <v>500</v>
      </c>
      <c r="D37" s="172">
        <v>20000</v>
      </c>
      <c r="E37" s="172"/>
      <c r="F37" s="172">
        <f t="shared" si="0"/>
        <v>13.333333333333334</v>
      </c>
      <c r="G37" s="172">
        <f t="shared" si="1"/>
        <v>40</v>
      </c>
      <c r="H37" s="172">
        <v>10000</v>
      </c>
      <c r="I37" s="172">
        <v>10000</v>
      </c>
      <c r="J37" s="172"/>
      <c r="K37" s="172"/>
      <c r="L37" s="172">
        <v>10000</v>
      </c>
      <c r="M37" s="44">
        <f t="shared" si="2"/>
        <v>7500</v>
      </c>
    </row>
    <row r="38" spans="1:13">
      <c r="A38" s="7" t="s">
        <v>140</v>
      </c>
      <c r="B38" s="172">
        <v>2200</v>
      </c>
      <c r="C38" s="172">
        <v>600</v>
      </c>
      <c r="D38" s="172">
        <v>40000</v>
      </c>
      <c r="E38" s="172"/>
      <c r="F38" s="172">
        <f t="shared" si="0"/>
        <v>18.181818181818183</v>
      </c>
      <c r="G38" s="172">
        <f t="shared" si="1"/>
        <v>66.666666666666671</v>
      </c>
      <c r="H38" s="172">
        <v>20000</v>
      </c>
      <c r="I38" s="172">
        <v>20000</v>
      </c>
      <c r="J38" s="172"/>
      <c r="K38" s="172"/>
      <c r="L38" s="172">
        <v>200000</v>
      </c>
      <c r="M38" s="44">
        <f t="shared" si="2"/>
        <v>15000</v>
      </c>
    </row>
    <row r="39" spans="1:13">
      <c r="A39" s="7" t="s">
        <v>141</v>
      </c>
      <c r="B39" s="172">
        <v>2500</v>
      </c>
      <c r="C39" s="172">
        <v>1000</v>
      </c>
      <c r="D39" s="172">
        <v>60000</v>
      </c>
      <c r="E39" s="172"/>
      <c r="F39" s="172">
        <f t="shared" si="0"/>
        <v>24</v>
      </c>
      <c r="G39" s="172">
        <f t="shared" si="1"/>
        <v>60</v>
      </c>
      <c r="H39" s="172">
        <v>20000</v>
      </c>
      <c r="I39" s="172">
        <v>20000</v>
      </c>
      <c r="J39" s="172"/>
      <c r="K39" s="172"/>
      <c r="L39" s="172">
        <v>20000</v>
      </c>
      <c r="M39" s="44">
        <f t="shared" si="2"/>
        <v>15000</v>
      </c>
    </row>
    <row r="40" spans="1:13">
      <c r="A40" s="7" t="s">
        <v>142</v>
      </c>
      <c r="B40" s="172">
        <v>250</v>
      </c>
      <c r="C40" s="172">
        <v>250</v>
      </c>
      <c r="D40" s="172">
        <v>2330</v>
      </c>
      <c r="E40" s="172"/>
      <c r="F40" s="172">
        <f t="shared" si="0"/>
        <v>9.32</v>
      </c>
      <c r="G40" s="172">
        <f t="shared" si="1"/>
        <v>9.32</v>
      </c>
      <c r="H40" s="172">
        <v>2250</v>
      </c>
      <c r="I40" s="172">
        <v>80</v>
      </c>
      <c r="J40" s="172">
        <v>6000</v>
      </c>
      <c r="K40" s="172">
        <v>150</v>
      </c>
      <c r="L40" s="172">
        <v>400</v>
      </c>
      <c r="M40" s="44">
        <f t="shared" si="2"/>
        <v>6602.5</v>
      </c>
    </row>
    <row r="42" spans="1:13">
      <c r="A42" s="289" t="s">
        <v>148</v>
      </c>
    </row>
    <row r="43" spans="1:13" ht="15" customHeight="1">
      <c r="A43" s="289"/>
    </row>
    <row r="44" spans="1:13" ht="15" customHeight="1">
      <c r="A44" s="289"/>
    </row>
    <row r="45" spans="1:13" ht="15" customHeight="1">
      <c r="A45" s="290"/>
    </row>
    <row r="46" spans="1:13" ht="15.75">
      <c r="A46" s="173" t="s">
        <v>120</v>
      </c>
      <c r="B46" s="173" t="s">
        <v>8</v>
      </c>
      <c r="C46" s="173" t="s">
        <v>1</v>
      </c>
      <c r="D46" s="173" t="s">
        <v>2</v>
      </c>
      <c r="E46" s="173" t="s">
        <v>45</v>
      </c>
      <c r="F46" s="173" t="s">
        <v>48</v>
      </c>
      <c r="G46" s="173" t="s">
        <v>46</v>
      </c>
      <c r="H46" s="173" t="s">
        <v>47</v>
      </c>
      <c r="I46" s="175" t="s">
        <v>57</v>
      </c>
      <c r="J46" s="175" t="s">
        <v>58</v>
      </c>
      <c r="K46" s="214"/>
      <c r="L46" s="214"/>
    </row>
    <row r="47" spans="1:13">
      <c r="A47" s="7" t="s">
        <v>121</v>
      </c>
      <c r="B47" s="176">
        <v>200000000</v>
      </c>
      <c r="C47" s="44">
        <f>B47*B19</f>
        <v>1000000000</v>
      </c>
      <c r="D47" s="44">
        <f>B47*C19</f>
        <v>600000000</v>
      </c>
      <c r="E47" s="44">
        <f>B47*D19</f>
        <v>20000000000</v>
      </c>
      <c r="F47" s="44">
        <f>C47*(1+(B12/100))</f>
        <v>4099999999.9999995</v>
      </c>
      <c r="G47" s="44">
        <f>D47*(1+(C12/100))</f>
        <v>2460000000</v>
      </c>
      <c r="H47" s="44">
        <f>E47*(1+(D12/100)/10)</f>
        <v>26000000000</v>
      </c>
      <c r="I47" s="44">
        <f>B47*(1.3*H19)</f>
        <v>26000000000</v>
      </c>
      <c r="J47" s="44">
        <f>B47*(1.3*I19)</f>
        <v>0</v>
      </c>
      <c r="K47" s="3"/>
      <c r="L47" s="3"/>
    </row>
    <row r="48" spans="1:13">
      <c r="A48" s="7" t="s">
        <v>122</v>
      </c>
      <c r="B48" s="176"/>
      <c r="C48" s="44">
        <f t="shared" ref="C48:C68" si="3">B48*B20</f>
        <v>0</v>
      </c>
      <c r="D48" s="44">
        <f t="shared" ref="D48:D68" si="4">B48*C20</f>
        <v>0</v>
      </c>
      <c r="E48" s="44">
        <f t="shared" ref="E48:E68" si="5">B48*D20</f>
        <v>0</v>
      </c>
      <c r="F48" s="44">
        <f>C48*(1+(B12/100))</f>
        <v>0</v>
      </c>
      <c r="G48" s="44">
        <f>D48*(1+(C12/100))</f>
        <v>0</v>
      </c>
      <c r="H48" s="44">
        <f>E48*(1+(D12/100)/10)</f>
        <v>0</v>
      </c>
      <c r="I48" s="44">
        <f t="shared" ref="I48:I68" si="6">B48*(1.3*H20)</f>
        <v>0</v>
      </c>
      <c r="J48" s="44">
        <f t="shared" ref="J48:J68" si="7">B48*(1.3*I20)</f>
        <v>0</v>
      </c>
      <c r="K48" s="3"/>
      <c r="L48" s="3"/>
    </row>
    <row r="49" spans="1:12">
      <c r="A49" s="7" t="s">
        <v>123</v>
      </c>
      <c r="B49" s="176">
        <v>30000000</v>
      </c>
      <c r="C49" s="44">
        <f t="shared" si="3"/>
        <v>300000000</v>
      </c>
      <c r="D49" s="44">
        <f t="shared" si="4"/>
        <v>150000000</v>
      </c>
      <c r="E49" s="44">
        <f t="shared" si="5"/>
        <v>6300000000</v>
      </c>
      <c r="F49" s="44">
        <f>C49*(1+(B12/100))</f>
        <v>1230000000</v>
      </c>
      <c r="G49" s="44">
        <f>D49*(1+(C12/100))</f>
        <v>615000000</v>
      </c>
      <c r="H49" s="44">
        <f>E49*(1+($D$12/100)/10)</f>
        <v>8190000000</v>
      </c>
      <c r="I49" s="44">
        <f t="shared" si="6"/>
        <v>7800000000</v>
      </c>
      <c r="J49" s="44">
        <f t="shared" si="7"/>
        <v>390000000</v>
      </c>
      <c r="K49" s="3"/>
      <c r="L49" s="3"/>
    </row>
    <row r="50" spans="1:12">
      <c r="A50" s="7" t="s">
        <v>124</v>
      </c>
      <c r="B50" s="176"/>
      <c r="C50" s="44">
        <f t="shared" si="3"/>
        <v>0</v>
      </c>
      <c r="D50" s="44">
        <f t="shared" si="4"/>
        <v>0</v>
      </c>
      <c r="E50" s="44">
        <f t="shared" si="5"/>
        <v>0</v>
      </c>
      <c r="F50" s="44">
        <f>C50*(1+(B12/100))</f>
        <v>0</v>
      </c>
      <c r="G50" s="44">
        <f>D50*(1+(C12/100))</f>
        <v>0</v>
      </c>
      <c r="H50" s="44">
        <f t="shared" ref="H50:H67" si="8">E50*(1+($D$12/100)/10)</f>
        <v>0</v>
      </c>
      <c r="I50" s="44">
        <f t="shared" si="6"/>
        <v>0</v>
      </c>
      <c r="J50" s="44">
        <f t="shared" si="7"/>
        <v>0</v>
      </c>
      <c r="K50" s="3"/>
      <c r="L50" s="3"/>
    </row>
    <row r="51" spans="1:12">
      <c r="A51" s="7" t="s">
        <v>125</v>
      </c>
      <c r="B51" s="176"/>
      <c r="C51" s="44">
        <f t="shared" si="3"/>
        <v>0</v>
      </c>
      <c r="D51" s="44">
        <f t="shared" si="4"/>
        <v>0</v>
      </c>
      <c r="E51" s="44">
        <f t="shared" si="5"/>
        <v>0</v>
      </c>
      <c r="F51" s="44">
        <f>C51*(1+(B12/100))</f>
        <v>0</v>
      </c>
      <c r="G51" s="44">
        <f>D51*(1+(C12/100))</f>
        <v>0</v>
      </c>
      <c r="H51" s="44">
        <f t="shared" si="8"/>
        <v>0</v>
      </c>
      <c r="I51" s="44">
        <f t="shared" si="6"/>
        <v>0</v>
      </c>
      <c r="J51" s="44">
        <f t="shared" si="7"/>
        <v>0</v>
      </c>
      <c r="K51" s="3"/>
      <c r="L51" s="3"/>
    </row>
    <row r="52" spans="1:12">
      <c r="A52" s="7" t="s">
        <v>126</v>
      </c>
      <c r="B52" s="176"/>
      <c r="C52" s="44">
        <f t="shared" si="3"/>
        <v>0</v>
      </c>
      <c r="D52" s="44">
        <f t="shared" si="4"/>
        <v>0</v>
      </c>
      <c r="E52" s="44">
        <f t="shared" si="5"/>
        <v>0</v>
      </c>
      <c r="F52" s="44">
        <f>C52*(1+(B12/100))</f>
        <v>0</v>
      </c>
      <c r="G52" s="44">
        <f>D52*(1+(C12/100))</f>
        <v>0</v>
      </c>
      <c r="H52" s="44">
        <f t="shared" si="8"/>
        <v>0</v>
      </c>
      <c r="I52" s="44">
        <f t="shared" si="6"/>
        <v>0</v>
      </c>
      <c r="J52" s="44">
        <f t="shared" si="7"/>
        <v>0</v>
      </c>
      <c r="K52" s="3"/>
      <c r="L52" s="3"/>
    </row>
    <row r="53" spans="1:12">
      <c r="A53" s="7" t="s">
        <v>127</v>
      </c>
      <c r="B53" s="176"/>
      <c r="C53" s="44">
        <f t="shared" si="3"/>
        <v>0</v>
      </c>
      <c r="D53" s="44">
        <f t="shared" si="4"/>
        <v>0</v>
      </c>
      <c r="E53" s="44">
        <f t="shared" si="5"/>
        <v>0</v>
      </c>
      <c r="F53" s="44">
        <f>C53*(1+(B12/100))</f>
        <v>0</v>
      </c>
      <c r="G53" s="44">
        <f>D53*(1+(C12/100))</f>
        <v>0</v>
      </c>
      <c r="H53" s="44">
        <f t="shared" si="8"/>
        <v>0</v>
      </c>
      <c r="I53" s="44">
        <f t="shared" si="6"/>
        <v>0</v>
      </c>
      <c r="J53" s="44">
        <f t="shared" si="7"/>
        <v>0</v>
      </c>
      <c r="K53" s="3"/>
      <c r="L53" s="3"/>
    </row>
    <row r="54" spans="1:12">
      <c r="A54" s="7" t="s">
        <v>128</v>
      </c>
      <c r="B54" s="176"/>
      <c r="C54" s="44">
        <f t="shared" si="3"/>
        <v>0</v>
      </c>
      <c r="D54" s="44">
        <f t="shared" si="4"/>
        <v>0</v>
      </c>
      <c r="E54" s="44">
        <f t="shared" si="5"/>
        <v>0</v>
      </c>
      <c r="F54" s="44">
        <f>C54*(1+(B12/100))</f>
        <v>0</v>
      </c>
      <c r="G54" s="44">
        <f>D54*(1+(C12/100))</f>
        <v>0</v>
      </c>
      <c r="H54" s="44">
        <f t="shared" si="8"/>
        <v>0</v>
      </c>
      <c r="I54" s="44">
        <f t="shared" si="6"/>
        <v>0</v>
      </c>
      <c r="J54" s="44">
        <f t="shared" si="7"/>
        <v>0</v>
      </c>
      <c r="K54" s="3"/>
      <c r="L54" s="3"/>
    </row>
    <row r="55" spans="1:12" ht="18.75">
      <c r="A55" s="7" t="s">
        <v>129</v>
      </c>
      <c r="B55" s="176"/>
      <c r="C55" s="44">
        <f t="shared" si="3"/>
        <v>0</v>
      </c>
      <c r="D55" s="44">
        <f t="shared" si="4"/>
        <v>0</v>
      </c>
      <c r="E55" s="44">
        <f t="shared" si="5"/>
        <v>0</v>
      </c>
      <c r="F55" s="44">
        <f>C55*(1+(B12/100))</f>
        <v>0</v>
      </c>
      <c r="G55" s="44">
        <f>D55*(1+(C12/100))</f>
        <v>0</v>
      </c>
      <c r="H55" s="44">
        <f t="shared" si="8"/>
        <v>0</v>
      </c>
      <c r="I55" s="44">
        <f t="shared" si="6"/>
        <v>0</v>
      </c>
      <c r="J55" s="44">
        <f t="shared" si="7"/>
        <v>0</v>
      </c>
      <c r="K55" s="216" t="s">
        <v>61</v>
      </c>
      <c r="L55" s="3"/>
    </row>
    <row r="56" spans="1:12" ht="18.75">
      <c r="A56" s="7" t="s">
        <v>130</v>
      </c>
      <c r="B56" s="176"/>
      <c r="C56" s="44">
        <f t="shared" si="3"/>
        <v>0</v>
      </c>
      <c r="D56" s="44">
        <f t="shared" si="4"/>
        <v>0</v>
      </c>
      <c r="E56" s="44">
        <f t="shared" si="5"/>
        <v>0</v>
      </c>
      <c r="F56" s="44">
        <f>C56*(1+(B12/100))</f>
        <v>0</v>
      </c>
      <c r="G56" s="44">
        <f>D56*(1+(C12/100))</f>
        <v>0</v>
      </c>
      <c r="H56" s="44">
        <f t="shared" si="8"/>
        <v>0</v>
      </c>
      <c r="I56" s="44">
        <f t="shared" si="6"/>
        <v>0</v>
      </c>
      <c r="J56" s="44">
        <f t="shared" si="7"/>
        <v>0</v>
      </c>
      <c r="K56" s="215">
        <f>(SUM(I47:I68)+SUM(J47:J68))/20000</f>
        <v>182526500</v>
      </c>
      <c r="L56" s="3"/>
    </row>
    <row r="57" spans="1:12">
      <c r="A57" s="7" t="s">
        <v>131</v>
      </c>
      <c r="B57" s="176"/>
      <c r="C57" s="44">
        <f t="shared" si="3"/>
        <v>0</v>
      </c>
      <c r="D57" s="44">
        <f t="shared" si="4"/>
        <v>0</v>
      </c>
      <c r="E57" s="44">
        <f t="shared" si="5"/>
        <v>0</v>
      </c>
      <c r="F57" s="44">
        <f>C57*(1+(B12/100))</f>
        <v>0</v>
      </c>
      <c r="G57" s="44">
        <f>D57*(1+(C12/100))</f>
        <v>0</v>
      </c>
      <c r="H57" s="44">
        <f t="shared" si="8"/>
        <v>0</v>
      </c>
      <c r="I57" s="44">
        <f t="shared" si="6"/>
        <v>0</v>
      </c>
      <c r="J57" s="44">
        <f t="shared" si="7"/>
        <v>0</v>
      </c>
      <c r="K57" s="3"/>
      <c r="L57" s="3"/>
    </row>
    <row r="58" spans="1:12">
      <c r="A58" s="7" t="s">
        <v>132</v>
      </c>
      <c r="B58" s="176"/>
      <c r="C58" s="44">
        <f t="shared" si="3"/>
        <v>0</v>
      </c>
      <c r="D58" s="44">
        <f t="shared" si="4"/>
        <v>0</v>
      </c>
      <c r="E58" s="44">
        <f t="shared" si="5"/>
        <v>0</v>
      </c>
      <c r="F58" s="44">
        <f>C58*(1+(B12/100))</f>
        <v>0</v>
      </c>
      <c r="G58" s="44">
        <f>D58*(1+(C12/100))</f>
        <v>0</v>
      </c>
      <c r="H58" s="44">
        <f t="shared" si="8"/>
        <v>0</v>
      </c>
      <c r="I58" s="44">
        <f t="shared" si="6"/>
        <v>0</v>
      </c>
      <c r="J58" s="44">
        <f t="shared" si="7"/>
        <v>0</v>
      </c>
      <c r="K58" s="3"/>
      <c r="L58" s="3"/>
    </row>
    <row r="59" spans="1:12">
      <c r="A59" s="7" t="s">
        <v>133</v>
      </c>
      <c r="B59" s="176"/>
      <c r="C59" s="44">
        <f t="shared" si="3"/>
        <v>0</v>
      </c>
      <c r="D59" s="44">
        <f t="shared" si="4"/>
        <v>0</v>
      </c>
      <c r="E59" s="44">
        <f t="shared" si="5"/>
        <v>0</v>
      </c>
      <c r="F59" s="44">
        <f>C59*(1+(B12/100))</f>
        <v>0</v>
      </c>
      <c r="G59" s="44">
        <f>D59*(1+(C12/100))</f>
        <v>0</v>
      </c>
      <c r="H59" s="44">
        <f t="shared" si="8"/>
        <v>0</v>
      </c>
      <c r="I59" s="44">
        <f t="shared" si="6"/>
        <v>0</v>
      </c>
      <c r="J59" s="44">
        <f t="shared" si="7"/>
        <v>0</v>
      </c>
      <c r="K59" s="3"/>
      <c r="L59" s="3"/>
    </row>
    <row r="60" spans="1:12">
      <c r="A60" s="7" t="s">
        <v>134</v>
      </c>
      <c r="B60" s="176">
        <v>70000000</v>
      </c>
      <c r="C60" s="44">
        <f t="shared" si="3"/>
        <v>14000000000</v>
      </c>
      <c r="D60" s="44">
        <f t="shared" si="4"/>
        <v>3500000000</v>
      </c>
      <c r="E60" s="44">
        <f t="shared" si="5"/>
        <v>280000000000</v>
      </c>
      <c r="F60" s="44">
        <f>C60*(1+(B12/100))</f>
        <v>57399999999.999992</v>
      </c>
      <c r="G60" s="44">
        <f>D60*(1+(C12/100))</f>
        <v>14349999999.999998</v>
      </c>
      <c r="H60" s="44">
        <f t="shared" si="8"/>
        <v>364000000000</v>
      </c>
      <c r="I60" s="44">
        <f t="shared" si="6"/>
        <v>182000000000</v>
      </c>
      <c r="J60" s="44">
        <f t="shared" si="7"/>
        <v>182000000000</v>
      </c>
      <c r="K60" s="3"/>
      <c r="L60" s="3"/>
    </row>
    <row r="61" spans="1:12">
      <c r="A61" s="7" t="s">
        <v>135</v>
      </c>
      <c r="B61" s="176"/>
      <c r="C61" s="44">
        <f t="shared" si="3"/>
        <v>0</v>
      </c>
      <c r="D61" s="44">
        <f t="shared" si="4"/>
        <v>0</v>
      </c>
      <c r="E61" s="44">
        <f t="shared" si="5"/>
        <v>0</v>
      </c>
      <c r="F61" s="44">
        <f t="shared" ref="F61" si="9">C61*(1+(B26/100))</f>
        <v>0</v>
      </c>
      <c r="G61" s="44">
        <f>D61*(1+(C12/100))</f>
        <v>0</v>
      </c>
      <c r="H61" s="44">
        <f t="shared" si="8"/>
        <v>0</v>
      </c>
      <c r="I61" s="44">
        <f t="shared" si="6"/>
        <v>0</v>
      </c>
      <c r="J61" s="44">
        <f t="shared" si="7"/>
        <v>0</v>
      </c>
      <c r="K61" s="3"/>
      <c r="L61" s="3"/>
    </row>
    <row r="62" spans="1:12">
      <c r="A62" s="7" t="s">
        <v>136</v>
      </c>
      <c r="B62" s="176">
        <v>100000000</v>
      </c>
      <c r="C62" s="44">
        <f t="shared" si="3"/>
        <v>30000000000</v>
      </c>
      <c r="D62" s="44">
        <f t="shared" si="4"/>
        <v>9000000000</v>
      </c>
      <c r="E62" s="44">
        <f t="shared" si="5"/>
        <v>800000000000</v>
      </c>
      <c r="F62" s="44">
        <f>C62*(1+(B12/100))</f>
        <v>122999999999.99998</v>
      </c>
      <c r="G62" s="44">
        <f>D62*(1+(C12/100))</f>
        <v>36900000000</v>
      </c>
      <c r="H62" s="44">
        <f t="shared" si="8"/>
        <v>1040000000000</v>
      </c>
      <c r="I62" s="44">
        <f t="shared" si="6"/>
        <v>780000000000</v>
      </c>
      <c r="J62" s="44">
        <f t="shared" si="7"/>
        <v>260000000000</v>
      </c>
      <c r="K62" s="3"/>
      <c r="L62" s="3"/>
    </row>
    <row r="63" spans="1:12">
      <c r="A63" s="7" t="s">
        <v>137</v>
      </c>
      <c r="B63" s="176">
        <v>170000000</v>
      </c>
      <c r="C63" s="44">
        <f t="shared" si="3"/>
        <v>85000000000</v>
      </c>
      <c r="D63" s="44">
        <f t="shared" si="4"/>
        <v>20400000000</v>
      </c>
      <c r="E63" s="44">
        <f t="shared" si="5"/>
        <v>1700000000000</v>
      </c>
      <c r="F63" s="44">
        <f>C63*(1+(B12/100))</f>
        <v>348500000000</v>
      </c>
      <c r="G63" s="44">
        <f>D63*(1+(C12/100))</f>
        <v>83640000000</v>
      </c>
      <c r="H63" s="44">
        <f t="shared" si="8"/>
        <v>2210000000000</v>
      </c>
      <c r="I63" s="44">
        <f t="shared" si="6"/>
        <v>1768000000000</v>
      </c>
      <c r="J63" s="44">
        <f t="shared" si="7"/>
        <v>442000000000</v>
      </c>
      <c r="K63" s="3"/>
      <c r="L63" s="3"/>
    </row>
    <row r="64" spans="1:12">
      <c r="A64" s="7" t="s">
        <v>138</v>
      </c>
      <c r="B64" s="176">
        <v>100000</v>
      </c>
      <c r="C64" s="44">
        <f t="shared" si="3"/>
        <v>70000000</v>
      </c>
      <c r="D64" s="44">
        <f t="shared" si="4"/>
        <v>25000000</v>
      </c>
      <c r="E64" s="44">
        <f t="shared" si="5"/>
        <v>1200000000</v>
      </c>
      <c r="F64" s="44">
        <f>C64*(1+(B12/100))</f>
        <v>287000000</v>
      </c>
      <c r="G64" s="44">
        <f>D64*(1+(C12/100))</f>
        <v>102499999.99999999</v>
      </c>
      <c r="H64" s="44">
        <f t="shared" si="8"/>
        <v>1560000000</v>
      </c>
      <c r="I64" s="44">
        <f t="shared" si="6"/>
        <v>1300000000</v>
      </c>
      <c r="J64" s="44">
        <f t="shared" si="7"/>
        <v>260000000</v>
      </c>
      <c r="K64" s="3"/>
      <c r="L64" s="3"/>
    </row>
    <row r="65" spans="1:12">
      <c r="A65" s="7" t="s">
        <v>139</v>
      </c>
      <c r="B65" s="176">
        <v>10000</v>
      </c>
      <c r="C65" s="44">
        <f t="shared" si="3"/>
        <v>15000000</v>
      </c>
      <c r="D65" s="44">
        <f t="shared" si="4"/>
        <v>5000000</v>
      </c>
      <c r="E65" s="44">
        <f t="shared" si="5"/>
        <v>200000000</v>
      </c>
      <c r="F65" s="44">
        <f>C65*(1+(B12/100))</f>
        <v>61499999.999999993</v>
      </c>
      <c r="G65" s="44">
        <f>D65*(1+(C12/100))</f>
        <v>20500000</v>
      </c>
      <c r="H65" s="44">
        <f t="shared" si="8"/>
        <v>260000000</v>
      </c>
      <c r="I65" s="44">
        <f t="shared" si="6"/>
        <v>130000000</v>
      </c>
      <c r="J65" s="44">
        <f t="shared" si="7"/>
        <v>130000000</v>
      </c>
      <c r="K65" s="3"/>
      <c r="L65" s="3"/>
    </row>
    <row r="66" spans="1:12">
      <c r="A66" s="7" t="s">
        <v>140</v>
      </c>
      <c r="B66" s="176"/>
      <c r="C66" s="44">
        <f t="shared" si="3"/>
        <v>0</v>
      </c>
      <c r="D66" s="44">
        <f t="shared" si="4"/>
        <v>0</v>
      </c>
      <c r="E66" s="44">
        <f t="shared" si="5"/>
        <v>0</v>
      </c>
      <c r="F66" s="44">
        <f>C66*(1+(B12/100))</f>
        <v>0</v>
      </c>
      <c r="G66" s="44">
        <f>D66*(1+(C12/100))</f>
        <v>0</v>
      </c>
      <c r="H66" s="44">
        <f t="shared" si="8"/>
        <v>0</v>
      </c>
      <c r="I66" s="44">
        <f t="shared" si="6"/>
        <v>0</v>
      </c>
      <c r="J66" s="44">
        <f t="shared" si="7"/>
        <v>0</v>
      </c>
      <c r="K66" s="3"/>
      <c r="L66" s="3"/>
    </row>
    <row r="67" spans="1:12">
      <c r="A67" s="7" t="s">
        <v>141</v>
      </c>
      <c r="B67" s="176">
        <v>10000</v>
      </c>
      <c r="C67" s="44">
        <f t="shared" si="3"/>
        <v>25000000</v>
      </c>
      <c r="D67" s="44">
        <f t="shared" si="4"/>
        <v>10000000</v>
      </c>
      <c r="E67" s="44">
        <f t="shared" si="5"/>
        <v>600000000</v>
      </c>
      <c r="F67" s="44">
        <f>C67*(1+(B12/100))</f>
        <v>102499999.99999999</v>
      </c>
      <c r="G67" s="44">
        <f>D67*(1+(C12/100))</f>
        <v>41000000</v>
      </c>
      <c r="H67" s="44">
        <f t="shared" si="8"/>
        <v>780000000</v>
      </c>
      <c r="I67" s="44">
        <f t="shared" si="6"/>
        <v>260000000</v>
      </c>
      <c r="J67" s="44">
        <f t="shared" si="7"/>
        <v>260000000</v>
      </c>
      <c r="K67" s="3"/>
      <c r="L67" s="3"/>
    </row>
    <row r="68" spans="1:12">
      <c r="A68" s="7" t="s">
        <v>142</v>
      </c>
      <c r="B68" s="176"/>
      <c r="C68" s="44">
        <f t="shared" si="3"/>
        <v>0</v>
      </c>
      <c r="D68" s="44">
        <f t="shared" si="4"/>
        <v>0</v>
      </c>
      <c r="E68" s="44">
        <f t="shared" si="5"/>
        <v>0</v>
      </c>
      <c r="F68" s="44">
        <f>C68*(1+(B12/100))</f>
        <v>0</v>
      </c>
      <c r="G68" s="44">
        <f>D68*(1+(C12/100))</f>
        <v>0</v>
      </c>
      <c r="H68" s="44">
        <f>E68*(1+($D$12/100)/10)</f>
        <v>0</v>
      </c>
      <c r="I68" s="44">
        <f t="shared" si="6"/>
        <v>0</v>
      </c>
      <c r="J68" s="44">
        <f t="shared" si="7"/>
        <v>0</v>
      </c>
      <c r="K68" s="3"/>
      <c r="L68" s="3"/>
    </row>
    <row r="70" spans="1:12" ht="17.25">
      <c r="F70" s="252">
        <f>SUM(F47:F68)</f>
        <v>534681000000</v>
      </c>
      <c r="G70" s="252">
        <f>SUM(G47:G68)</f>
        <v>138129000000</v>
      </c>
      <c r="H70" s="252">
        <f>SUM(H47:H68)</f>
        <v>3650790000000</v>
      </c>
    </row>
    <row r="71" spans="1:12">
      <c r="A71" s="289" t="s">
        <v>149</v>
      </c>
    </row>
    <row r="72" spans="1:12" ht="15" customHeight="1">
      <c r="A72" s="289"/>
    </row>
    <row r="73" spans="1:12" ht="15" customHeight="1">
      <c r="A73" s="289"/>
    </row>
    <row r="74" spans="1:12" ht="15" customHeight="1">
      <c r="A74" s="290"/>
    </row>
    <row r="75" spans="1:12" ht="15.75" customHeight="1">
      <c r="A75" s="177" t="s">
        <v>120</v>
      </c>
      <c r="B75" s="178" t="s">
        <v>8</v>
      </c>
      <c r="C75" s="173" t="s">
        <v>1</v>
      </c>
      <c r="D75" s="173" t="s">
        <v>2</v>
      </c>
      <c r="E75" s="173" t="s">
        <v>45</v>
      </c>
      <c r="F75" s="173" t="s">
        <v>48</v>
      </c>
      <c r="G75" s="173" t="s">
        <v>46</v>
      </c>
      <c r="H75" s="173" t="s">
        <v>47</v>
      </c>
      <c r="I75" s="175" t="s">
        <v>57</v>
      </c>
      <c r="J75" s="175" t="s">
        <v>58</v>
      </c>
    </row>
    <row r="76" spans="1:12">
      <c r="A76" s="10" t="s">
        <v>121</v>
      </c>
      <c r="B76" s="176"/>
      <c r="C76" s="44">
        <f>B76*B19</f>
        <v>0</v>
      </c>
      <c r="D76" s="44">
        <f>B76*C19</f>
        <v>0</v>
      </c>
      <c r="E76" s="44">
        <f>B76*D19</f>
        <v>0</v>
      </c>
      <c r="F76" s="44">
        <f>C76*(1+($G$12/100))</f>
        <v>0</v>
      </c>
      <c r="G76" s="44">
        <f>D76*(1+($H$12/100))</f>
        <v>0</v>
      </c>
      <c r="H76" s="44">
        <f>E76*(1+($I$12/100)/10)</f>
        <v>0</v>
      </c>
      <c r="I76" s="44">
        <f>B76*(1.3*H19)</f>
        <v>0</v>
      </c>
      <c r="J76" s="44">
        <f>B76*(1.3*I19)</f>
        <v>0</v>
      </c>
    </row>
    <row r="77" spans="1:12">
      <c r="A77" s="7" t="s">
        <v>122</v>
      </c>
      <c r="B77" s="176"/>
      <c r="C77" s="44">
        <f t="shared" ref="C77:C97" si="10">B77*B20</f>
        <v>0</v>
      </c>
      <c r="D77" s="44">
        <f t="shared" ref="D77:D97" si="11">B77*C20</f>
        <v>0</v>
      </c>
      <c r="E77" s="44">
        <f t="shared" ref="E77:E97" si="12">B77*D20</f>
        <v>0</v>
      </c>
      <c r="F77" s="44">
        <f t="shared" ref="F77:F97" si="13">C77*(1+($G$12/100))</f>
        <v>0</v>
      </c>
      <c r="G77" s="44">
        <f t="shared" ref="G77:G97" si="14">D77*(1+($H$12/100))</f>
        <v>0</v>
      </c>
      <c r="H77" s="44">
        <f t="shared" ref="H77:H97" si="15">E77*(1+($I$12/100)/10)</f>
        <v>0</v>
      </c>
      <c r="I77" s="44">
        <f t="shared" ref="I77:I97" si="16">B77*(1.3*H20)</f>
        <v>0</v>
      </c>
      <c r="J77" s="44">
        <f t="shared" ref="J77:J97" si="17">B77*(1.3*I20)</f>
        <v>0</v>
      </c>
    </row>
    <row r="78" spans="1:12">
      <c r="A78" s="7" t="s">
        <v>123</v>
      </c>
      <c r="B78" s="176"/>
      <c r="C78" s="44">
        <f t="shared" si="10"/>
        <v>0</v>
      </c>
      <c r="D78" s="44">
        <f t="shared" si="11"/>
        <v>0</v>
      </c>
      <c r="E78" s="44">
        <f t="shared" si="12"/>
        <v>0</v>
      </c>
      <c r="F78" s="44">
        <f t="shared" si="13"/>
        <v>0</v>
      </c>
      <c r="G78" s="44">
        <f t="shared" si="14"/>
        <v>0</v>
      </c>
      <c r="H78" s="44">
        <f t="shared" si="15"/>
        <v>0</v>
      </c>
      <c r="I78" s="44">
        <f t="shared" si="16"/>
        <v>0</v>
      </c>
      <c r="J78" s="44">
        <f t="shared" si="17"/>
        <v>0</v>
      </c>
    </row>
    <row r="79" spans="1:12">
      <c r="A79" s="7" t="s">
        <v>124</v>
      </c>
      <c r="B79" s="176"/>
      <c r="C79" s="44">
        <f t="shared" si="10"/>
        <v>0</v>
      </c>
      <c r="D79" s="44">
        <f t="shared" si="11"/>
        <v>0</v>
      </c>
      <c r="E79" s="44">
        <f t="shared" si="12"/>
        <v>0</v>
      </c>
      <c r="F79" s="44">
        <f t="shared" si="13"/>
        <v>0</v>
      </c>
      <c r="G79" s="44">
        <f t="shared" si="14"/>
        <v>0</v>
      </c>
      <c r="H79" s="44">
        <f t="shared" si="15"/>
        <v>0</v>
      </c>
      <c r="I79" s="44">
        <f t="shared" si="16"/>
        <v>0</v>
      </c>
      <c r="J79" s="44">
        <f t="shared" si="17"/>
        <v>0</v>
      </c>
    </row>
    <row r="80" spans="1:12">
      <c r="A80" s="7" t="s">
        <v>125</v>
      </c>
      <c r="B80" s="176"/>
      <c r="C80" s="44">
        <f t="shared" si="10"/>
        <v>0</v>
      </c>
      <c r="D80" s="44">
        <f t="shared" si="11"/>
        <v>0</v>
      </c>
      <c r="E80" s="44">
        <f t="shared" si="12"/>
        <v>0</v>
      </c>
      <c r="F80" s="44">
        <f t="shared" si="13"/>
        <v>0</v>
      </c>
      <c r="G80" s="44">
        <f t="shared" si="14"/>
        <v>0</v>
      </c>
      <c r="H80" s="44">
        <f t="shared" si="15"/>
        <v>0</v>
      </c>
      <c r="I80" s="44">
        <f t="shared" si="16"/>
        <v>0</v>
      </c>
      <c r="J80" s="44">
        <f t="shared" si="17"/>
        <v>0</v>
      </c>
    </row>
    <row r="81" spans="1:11">
      <c r="A81" s="7" t="s">
        <v>126</v>
      </c>
      <c r="B81" s="176"/>
      <c r="C81" s="44">
        <f t="shared" si="10"/>
        <v>0</v>
      </c>
      <c r="D81" s="44">
        <f t="shared" si="11"/>
        <v>0</v>
      </c>
      <c r="E81" s="44">
        <f t="shared" si="12"/>
        <v>0</v>
      </c>
      <c r="F81" s="44">
        <f t="shared" si="13"/>
        <v>0</v>
      </c>
      <c r="G81" s="44">
        <f t="shared" si="14"/>
        <v>0</v>
      </c>
      <c r="H81" s="44">
        <f t="shared" si="15"/>
        <v>0</v>
      </c>
      <c r="I81" s="44">
        <f t="shared" si="16"/>
        <v>0</v>
      </c>
      <c r="J81" s="44">
        <f t="shared" si="17"/>
        <v>0</v>
      </c>
    </row>
    <row r="82" spans="1:11">
      <c r="A82" s="7" t="s">
        <v>127</v>
      </c>
      <c r="B82" s="176"/>
      <c r="C82" s="44">
        <f t="shared" si="10"/>
        <v>0</v>
      </c>
      <c r="D82" s="44">
        <f t="shared" si="11"/>
        <v>0</v>
      </c>
      <c r="E82" s="44">
        <f t="shared" si="12"/>
        <v>0</v>
      </c>
      <c r="F82" s="44">
        <f t="shared" si="13"/>
        <v>0</v>
      </c>
      <c r="G82" s="44">
        <f t="shared" si="14"/>
        <v>0</v>
      </c>
      <c r="H82" s="44">
        <f t="shared" si="15"/>
        <v>0</v>
      </c>
      <c r="I82" s="44">
        <f t="shared" si="16"/>
        <v>0</v>
      </c>
      <c r="J82" s="44">
        <f t="shared" si="17"/>
        <v>0</v>
      </c>
    </row>
    <row r="83" spans="1:11">
      <c r="A83" s="7" t="s">
        <v>128</v>
      </c>
      <c r="B83" s="176"/>
      <c r="C83" s="44">
        <f t="shared" si="10"/>
        <v>0</v>
      </c>
      <c r="D83" s="44">
        <f t="shared" si="11"/>
        <v>0</v>
      </c>
      <c r="E83" s="44">
        <f t="shared" si="12"/>
        <v>0</v>
      </c>
      <c r="F83" s="44">
        <f t="shared" si="13"/>
        <v>0</v>
      </c>
      <c r="G83" s="44">
        <f t="shared" si="14"/>
        <v>0</v>
      </c>
      <c r="H83" s="44">
        <f t="shared" si="15"/>
        <v>0</v>
      </c>
      <c r="I83" s="44">
        <f t="shared" si="16"/>
        <v>0</v>
      </c>
      <c r="J83" s="44">
        <f t="shared" si="17"/>
        <v>0</v>
      </c>
    </row>
    <row r="84" spans="1:11">
      <c r="A84" s="7" t="s">
        <v>129</v>
      </c>
      <c r="B84" s="176"/>
      <c r="C84" s="44">
        <f t="shared" si="10"/>
        <v>0</v>
      </c>
      <c r="D84" s="44">
        <f t="shared" si="11"/>
        <v>0</v>
      </c>
      <c r="E84" s="44">
        <f t="shared" si="12"/>
        <v>0</v>
      </c>
      <c r="F84" s="44">
        <f t="shared" si="13"/>
        <v>0</v>
      </c>
      <c r="G84" s="44">
        <f t="shared" si="14"/>
        <v>0</v>
      </c>
      <c r="H84" s="44">
        <f t="shared" si="15"/>
        <v>0</v>
      </c>
      <c r="I84" s="44">
        <f t="shared" si="16"/>
        <v>0</v>
      </c>
      <c r="J84" s="44">
        <f t="shared" si="17"/>
        <v>0</v>
      </c>
    </row>
    <row r="85" spans="1:11">
      <c r="A85" s="7" t="s">
        <v>130</v>
      </c>
      <c r="B85" s="176"/>
      <c r="C85" s="44">
        <f t="shared" si="10"/>
        <v>0</v>
      </c>
      <c r="D85" s="44">
        <f t="shared" si="11"/>
        <v>0</v>
      </c>
      <c r="E85" s="44">
        <f t="shared" si="12"/>
        <v>0</v>
      </c>
      <c r="F85" s="44">
        <f t="shared" si="13"/>
        <v>0</v>
      </c>
      <c r="G85" s="44">
        <f t="shared" si="14"/>
        <v>0</v>
      </c>
      <c r="H85" s="44">
        <f t="shared" si="15"/>
        <v>0</v>
      </c>
      <c r="I85" s="44">
        <f t="shared" si="16"/>
        <v>0</v>
      </c>
      <c r="J85" s="44">
        <f t="shared" si="17"/>
        <v>0</v>
      </c>
    </row>
    <row r="86" spans="1:11">
      <c r="A86" s="7" t="s">
        <v>131</v>
      </c>
      <c r="B86" s="176"/>
      <c r="C86" s="44">
        <f t="shared" si="10"/>
        <v>0</v>
      </c>
      <c r="D86" s="44">
        <f t="shared" si="11"/>
        <v>0</v>
      </c>
      <c r="E86" s="44">
        <f t="shared" si="12"/>
        <v>0</v>
      </c>
      <c r="F86" s="44">
        <f t="shared" si="13"/>
        <v>0</v>
      </c>
      <c r="G86" s="44">
        <f t="shared" si="14"/>
        <v>0</v>
      </c>
      <c r="H86" s="44">
        <f t="shared" si="15"/>
        <v>0</v>
      </c>
      <c r="I86" s="44">
        <f t="shared" si="16"/>
        <v>0</v>
      </c>
      <c r="J86" s="44">
        <f t="shared" si="17"/>
        <v>0</v>
      </c>
    </row>
    <row r="87" spans="1:11">
      <c r="A87" s="7" t="s">
        <v>132</v>
      </c>
      <c r="B87" s="176"/>
      <c r="C87" s="44">
        <f t="shared" si="10"/>
        <v>0</v>
      </c>
      <c r="D87" s="44">
        <f t="shared" si="11"/>
        <v>0</v>
      </c>
      <c r="E87" s="44">
        <f t="shared" si="12"/>
        <v>0</v>
      </c>
      <c r="F87" s="44">
        <f t="shared" si="13"/>
        <v>0</v>
      </c>
      <c r="G87" s="44">
        <f t="shared" si="14"/>
        <v>0</v>
      </c>
      <c r="H87" s="44">
        <f t="shared" si="15"/>
        <v>0</v>
      </c>
      <c r="I87" s="44">
        <f t="shared" si="16"/>
        <v>0</v>
      </c>
      <c r="J87" s="44">
        <f t="shared" si="17"/>
        <v>0</v>
      </c>
    </row>
    <row r="88" spans="1:11">
      <c r="A88" s="7" t="s">
        <v>133</v>
      </c>
      <c r="B88" s="176"/>
      <c r="C88" s="44">
        <f t="shared" si="10"/>
        <v>0</v>
      </c>
      <c r="D88" s="44">
        <f t="shared" si="11"/>
        <v>0</v>
      </c>
      <c r="E88" s="44">
        <f t="shared" si="12"/>
        <v>0</v>
      </c>
      <c r="F88" s="44">
        <f t="shared" si="13"/>
        <v>0</v>
      </c>
      <c r="G88" s="44">
        <f t="shared" si="14"/>
        <v>0</v>
      </c>
      <c r="H88" s="44">
        <f t="shared" si="15"/>
        <v>0</v>
      </c>
      <c r="I88" s="44">
        <f t="shared" si="16"/>
        <v>0</v>
      </c>
      <c r="J88" s="44">
        <f t="shared" si="17"/>
        <v>0</v>
      </c>
    </row>
    <row r="89" spans="1:11">
      <c r="A89" s="7" t="s">
        <v>134</v>
      </c>
      <c r="B89" s="176"/>
      <c r="C89" s="44">
        <f t="shared" si="10"/>
        <v>0</v>
      </c>
      <c r="D89" s="44">
        <f t="shared" si="11"/>
        <v>0</v>
      </c>
      <c r="E89" s="44">
        <f t="shared" si="12"/>
        <v>0</v>
      </c>
      <c r="F89" s="44">
        <f t="shared" si="13"/>
        <v>0</v>
      </c>
      <c r="G89" s="44">
        <f t="shared" si="14"/>
        <v>0</v>
      </c>
      <c r="H89" s="44">
        <f t="shared" si="15"/>
        <v>0</v>
      </c>
      <c r="I89" s="44">
        <f t="shared" si="16"/>
        <v>0</v>
      </c>
      <c r="J89" s="44">
        <f t="shared" si="17"/>
        <v>0</v>
      </c>
    </row>
    <row r="90" spans="1:11" ht="18.75">
      <c r="A90" s="7" t="s">
        <v>135</v>
      </c>
      <c r="B90" s="176"/>
      <c r="C90" s="44">
        <f t="shared" si="10"/>
        <v>0</v>
      </c>
      <c r="D90" s="44">
        <f t="shared" si="11"/>
        <v>0</v>
      </c>
      <c r="E90" s="44">
        <f t="shared" si="12"/>
        <v>0</v>
      </c>
      <c r="F90" s="44">
        <f t="shared" si="13"/>
        <v>0</v>
      </c>
      <c r="G90" s="44">
        <f t="shared" si="14"/>
        <v>0</v>
      </c>
      <c r="H90" s="44">
        <f t="shared" si="15"/>
        <v>0</v>
      </c>
      <c r="I90" s="44">
        <f t="shared" si="16"/>
        <v>0</v>
      </c>
      <c r="J90" s="44">
        <f t="shared" si="17"/>
        <v>0</v>
      </c>
      <c r="K90" s="216" t="s">
        <v>61</v>
      </c>
    </row>
    <row r="91" spans="1:11" ht="18.75">
      <c r="A91" s="7" t="s">
        <v>136</v>
      </c>
      <c r="B91" s="176"/>
      <c r="C91" s="44">
        <f t="shared" si="10"/>
        <v>0</v>
      </c>
      <c r="D91" s="44">
        <f t="shared" si="11"/>
        <v>0</v>
      </c>
      <c r="E91" s="44">
        <f t="shared" si="12"/>
        <v>0</v>
      </c>
      <c r="F91" s="44">
        <f t="shared" si="13"/>
        <v>0</v>
      </c>
      <c r="G91" s="44">
        <f t="shared" si="14"/>
        <v>0</v>
      </c>
      <c r="H91" s="44">
        <f t="shared" si="15"/>
        <v>0</v>
      </c>
      <c r="I91" s="44">
        <f t="shared" si="16"/>
        <v>0</v>
      </c>
      <c r="J91" s="44">
        <f t="shared" si="17"/>
        <v>0</v>
      </c>
      <c r="K91" s="215">
        <f>(SUM(I76:I97)+SUM(J76:J97))/20000</f>
        <v>0</v>
      </c>
    </row>
    <row r="92" spans="1:11">
      <c r="A92" s="7" t="s">
        <v>137</v>
      </c>
      <c r="B92" s="176"/>
      <c r="C92" s="44">
        <f t="shared" si="10"/>
        <v>0</v>
      </c>
      <c r="D92" s="44">
        <f t="shared" si="11"/>
        <v>0</v>
      </c>
      <c r="E92" s="44">
        <f t="shared" si="12"/>
        <v>0</v>
      </c>
      <c r="F92" s="44">
        <f t="shared" si="13"/>
        <v>0</v>
      </c>
      <c r="G92" s="44">
        <f t="shared" si="14"/>
        <v>0</v>
      </c>
      <c r="H92" s="44">
        <f t="shared" si="15"/>
        <v>0</v>
      </c>
      <c r="I92" s="44">
        <f t="shared" si="16"/>
        <v>0</v>
      </c>
      <c r="J92" s="44">
        <f t="shared" si="17"/>
        <v>0</v>
      </c>
    </row>
    <row r="93" spans="1:11">
      <c r="A93" s="7" t="s">
        <v>138</v>
      </c>
      <c r="B93" s="176"/>
      <c r="C93" s="44">
        <f t="shared" si="10"/>
        <v>0</v>
      </c>
      <c r="D93" s="44">
        <f t="shared" si="11"/>
        <v>0</v>
      </c>
      <c r="E93" s="44">
        <f t="shared" si="12"/>
        <v>0</v>
      </c>
      <c r="F93" s="44">
        <f t="shared" si="13"/>
        <v>0</v>
      </c>
      <c r="G93" s="44">
        <f t="shared" si="14"/>
        <v>0</v>
      </c>
      <c r="H93" s="44">
        <f t="shared" si="15"/>
        <v>0</v>
      </c>
      <c r="I93" s="44">
        <f t="shared" si="16"/>
        <v>0</v>
      </c>
      <c r="J93" s="44">
        <f t="shared" si="17"/>
        <v>0</v>
      </c>
    </row>
    <row r="94" spans="1:11">
      <c r="A94" s="7" t="s">
        <v>139</v>
      </c>
      <c r="B94" s="176"/>
      <c r="C94" s="44">
        <f t="shared" si="10"/>
        <v>0</v>
      </c>
      <c r="D94" s="44">
        <f t="shared" si="11"/>
        <v>0</v>
      </c>
      <c r="E94" s="44">
        <f t="shared" si="12"/>
        <v>0</v>
      </c>
      <c r="F94" s="44">
        <f t="shared" si="13"/>
        <v>0</v>
      </c>
      <c r="G94" s="44">
        <f t="shared" si="14"/>
        <v>0</v>
      </c>
      <c r="H94" s="44">
        <f t="shared" si="15"/>
        <v>0</v>
      </c>
      <c r="I94" s="44">
        <f t="shared" si="16"/>
        <v>0</v>
      </c>
      <c r="J94" s="44">
        <f t="shared" si="17"/>
        <v>0</v>
      </c>
    </row>
    <row r="95" spans="1:11">
      <c r="A95" s="7" t="s">
        <v>140</v>
      </c>
      <c r="B95" s="176"/>
      <c r="C95" s="44">
        <f t="shared" si="10"/>
        <v>0</v>
      </c>
      <c r="D95" s="44">
        <f t="shared" si="11"/>
        <v>0</v>
      </c>
      <c r="E95" s="44">
        <f t="shared" si="12"/>
        <v>0</v>
      </c>
      <c r="F95" s="44">
        <f t="shared" si="13"/>
        <v>0</v>
      </c>
      <c r="G95" s="44">
        <f t="shared" si="14"/>
        <v>0</v>
      </c>
      <c r="H95" s="44">
        <f t="shared" si="15"/>
        <v>0</v>
      </c>
      <c r="I95" s="44">
        <f t="shared" si="16"/>
        <v>0</v>
      </c>
      <c r="J95" s="44">
        <f t="shared" si="17"/>
        <v>0</v>
      </c>
    </row>
    <row r="96" spans="1:11">
      <c r="A96" s="7" t="s">
        <v>141</v>
      </c>
      <c r="B96" s="176"/>
      <c r="C96" s="44">
        <f t="shared" si="10"/>
        <v>0</v>
      </c>
      <c r="D96" s="44">
        <f t="shared" si="11"/>
        <v>0</v>
      </c>
      <c r="E96" s="44">
        <f t="shared" si="12"/>
        <v>0</v>
      </c>
      <c r="F96" s="44">
        <f t="shared" si="13"/>
        <v>0</v>
      </c>
      <c r="G96" s="44">
        <f t="shared" si="14"/>
        <v>0</v>
      </c>
      <c r="H96" s="44">
        <f t="shared" si="15"/>
        <v>0</v>
      </c>
      <c r="I96" s="44">
        <f t="shared" si="16"/>
        <v>0</v>
      </c>
      <c r="J96" s="44">
        <f t="shared" si="17"/>
        <v>0</v>
      </c>
    </row>
    <row r="97" spans="1:10">
      <c r="A97" s="7" t="s">
        <v>142</v>
      </c>
      <c r="B97" s="176"/>
      <c r="C97" s="44">
        <f t="shared" si="10"/>
        <v>0</v>
      </c>
      <c r="D97" s="44">
        <f t="shared" si="11"/>
        <v>0</v>
      </c>
      <c r="E97" s="44">
        <f t="shared" si="12"/>
        <v>0</v>
      </c>
      <c r="F97" s="44">
        <f t="shared" si="13"/>
        <v>0</v>
      </c>
      <c r="G97" s="44">
        <f t="shared" si="14"/>
        <v>0</v>
      </c>
      <c r="H97" s="44">
        <f t="shared" si="15"/>
        <v>0</v>
      </c>
      <c r="I97" s="44">
        <f t="shared" si="16"/>
        <v>0</v>
      </c>
      <c r="J97" s="44">
        <f t="shared" si="17"/>
        <v>0</v>
      </c>
    </row>
  </sheetData>
  <mergeCells count="5">
    <mergeCell ref="A71:A74"/>
    <mergeCell ref="E6:F6"/>
    <mergeCell ref="M15:M18"/>
    <mergeCell ref="A15:A17"/>
    <mergeCell ref="A42:A4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8"/>
  <sheetViews>
    <sheetView topLeftCell="A10" zoomScale="80" zoomScaleNormal="80" workbookViewId="0">
      <selection activeCell="G17" sqref="G17"/>
    </sheetView>
  </sheetViews>
  <sheetFormatPr baseColWidth="10" defaultRowHeight="15"/>
  <cols>
    <col min="1" max="1" width="15" customWidth="1"/>
    <col min="2" max="2" width="23.140625" customWidth="1"/>
    <col min="3" max="3" width="22.7109375" customWidth="1"/>
    <col min="4" max="4" width="23.42578125" customWidth="1"/>
    <col min="6" max="6" width="17" customWidth="1"/>
    <col min="7" max="7" width="24" customWidth="1"/>
    <col min="8" max="8" width="15" customWidth="1"/>
    <col min="9" max="9" width="13.85546875" customWidth="1"/>
    <col min="11" max="11" width="19.28515625" customWidth="1"/>
    <col min="12" max="12" width="23.42578125" customWidth="1"/>
    <col min="15" max="15" width="23.5703125" customWidth="1"/>
    <col min="16" max="16" width="16.85546875" customWidth="1"/>
    <col min="17" max="17" width="22.28515625" customWidth="1"/>
    <col min="18" max="18" width="21.85546875" customWidth="1"/>
    <col min="19" max="19" width="15.7109375" customWidth="1"/>
  </cols>
  <sheetData>
    <row r="1" spans="1:19">
      <c r="B1" s="303" t="s">
        <v>89</v>
      </c>
      <c r="C1" s="304"/>
      <c r="H1" s="307" t="s">
        <v>90</v>
      </c>
      <c r="I1" s="308"/>
    </row>
    <row r="2" spans="1:19" ht="15.75" thickBot="1">
      <c r="B2" s="305"/>
      <c r="C2" s="306"/>
      <c r="H2" s="309"/>
      <c r="I2" s="310"/>
    </row>
    <row r="3" spans="1:19" ht="18.75">
      <c r="A3" s="82" t="s">
        <v>0</v>
      </c>
      <c r="B3" s="10" t="s">
        <v>1</v>
      </c>
      <c r="C3" s="10" t="s">
        <v>2</v>
      </c>
      <c r="D3" s="7" t="s">
        <v>4</v>
      </c>
      <c r="G3" s="82" t="s">
        <v>0</v>
      </c>
      <c r="H3" s="10" t="s">
        <v>1</v>
      </c>
      <c r="I3" s="10" t="s">
        <v>2</v>
      </c>
      <c r="J3" s="7" t="s">
        <v>4</v>
      </c>
    </row>
    <row r="4" spans="1:19">
      <c r="A4" s="5" t="s">
        <v>3</v>
      </c>
      <c r="B4" s="5">
        <v>19</v>
      </c>
      <c r="C4" s="5">
        <v>20</v>
      </c>
      <c r="D4" s="5">
        <v>19</v>
      </c>
      <c r="G4" s="5" t="s">
        <v>3</v>
      </c>
      <c r="H4" s="5">
        <v>20</v>
      </c>
      <c r="I4" s="5">
        <v>19</v>
      </c>
      <c r="J4" s="5">
        <v>20</v>
      </c>
    </row>
    <row r="5" spans="1:19">
      <c r="A5" s="8" t="s">
        <v>5</v>
      </c>
      <c r="B5" s="8">
        <f>B4*10</f>
        <v>190</v>
      </c>
      <c r="C5" s="8">
        <f>C4*10</f>
        <v>200</v>
      </c>
      <c r="D5" s="8">
        <f>D4*10</f>
        <v>190</v>
      </c>
      <c r="G5" s="8" t="s">
        <v>5</v>
      </c>
      <c r="H5" s="8">
        <f>H4*10</f>
        <v>200</v>
      </c>
      <c r="I5" s="8">
        <f>I4*10</f>
        <v>190</v>
      </c>
      <c r="J5" s="8">
        <f>J4*10</f>
        <v>200</v>
      </c>
    </row>
    <row r="6" spans="1:19">
      <c r="A6" s="6" t="s">
        <v>6</v>
      </c>
      <c r="B6" s="6">
        <v>20</v>
      </c>
      <c r="C6" s="2"/>
      <c r="D6" s="3"/>
      <c r="G6" s="6" t="s">
        <v>6</v>
      </c>
      <c r="H6" s="6">
        <v>20</v>
      </c>
      <c r="I6" s="2"/>
      <c r="J6" s="3"/>
      <c r="M6" s="10" t="s">
        <v>1</v>
      </c>
      <c r="N6" s="7" t="s">
        <v>2</v>
      </c>
      <c r="O6" s="7" t="s">
        <v>19</v>
      </c>
      <c r="P6" s="7" t="s">
        <v>20</v>
      </c>
      <c r="Q6" s="13" t="s">
        <v>32</v>
      </c>
      <c r="R6" s="13" t="s">
        <v>33</v>
      </c>
      <c r="S6" s="13" t="s">
        <v>34</v>
      </c>
    </row>
    <row r="7" spans="1:19">
      <c r="A7" s="8" t="s">
        <v>7</v>
      </c>
      <c r="B7" s="9">
        <f>((B6/2)+B4)*10</f>
        <v>290</v>
      </c>
      <c r="C7" s="9">
        <f>((B6/2)+C4)*10</f>
        <v>300</v>
      </c>
      <c r="D7" s="9">
        <f>((B6/2)+D4)*10</f>
        <v>290</v>
      </c>
      <c r="G7" s="8" t="s">
        <v>7</v>
      </c>
      <c r="H7" s="9">
        <f>((H6/2)+H4)*10</f>
        <v>300</v>
      </c>
      <c r="I7" s="9">
        <f>((H6/2)+I4)*10</f>
        <v>290</v>
      </c>
      <c r="J7" s="9">
        <f>((H6/2)+J4)*10</f>
        <v>300</v>
      </c>
      <c r="L7" s="7" t="s">
        <v>16</v>
      </c>
      <c r="M7" s="87">
        <v>200000</v>
      </c>
      <c r="N7" s="87">
        <v>50000</v>
      </c>
      <c r="O7" s="87">
        <v>9000000</v>
      </c>
      <c r="P7" s="87">
        <v>1000000</v>
      </c>
      <c r="Q7" s="32">
        <v>5000000</v>
      </c>
      <c r="R7" s="32">
        <v>4000000</v>
      </c>
      <c r="S7" s="45">
        <v>1000000</v>
      </c>
    </row>
    <row r="13" spans="1:19" ht="15" customHeight="1">
      <c r="E13" s="158"/>
      <c r="F13" s="75"/>
      <c r="G13" s="159" t="s">
        <v>89</v>
      </c>
      <c r="H13" s="160" t="s">
        <v>1</v>
      </c>
      <c r="I13" s="160" t="s">
        <v>2</v>
      </c>
      <c r="J13" s="160" t="s">
        <v>19</v>
      </c>
    </row>
    <row r="14" spans="1:19">
      <c r="E14" s="158"/>
      <c r="F14" s="75"/>
      <c r="G14" s="75"/>
      <c r="H14" s="160">
        <f>B7</f>
        <v>290</v>
      </c>
      <c r="I14" s="160">
        <f>C7</f>
        <v>300</v>
      </c>
      <c r="J14" s="24">
        <f>D7</f>
        <v>290</v>
      </c>
    </row>
    <row r="15" spans="1:19">
      <c r="F15" s="24" t="s">
        <v>91</v>
      </c>
      <c r="G15" s="24" t="s">
        <v>16</v>
      </c>
      <c r="H15" s="23"/>
      <c r="I15" s="23"/>
      <c r="J15" s="23"/>
    </row>
    <row r="16" spans="1:19">
      <c r="F16" s="24" t="s">
        <v>92</v>
      </c>
      <c r="G16" s="27">
        <v>3000000</v>
      </c>
      <c r="H16" s="23"/>
      <c r="I16" s="23"/>
      <c r="J16" s="23"/>
    </row>
    <row r="17" spans="1:18">
      <c r="F17" s="24" t="s">
        <v>93</v>
      </c>
      <c r="G17" s="26">
        <f>(G16*M7)*(1+(H14/100))</f>
        <v>2340000000000</v>
      </c>
      <c r="H17" s="23"/>
      <c r="I17" s="23"/>
      <c r="J17" s="23"/>
    </row>
    <row r="18" spans="1:18">
      <c r="F18" s="24" t="s">
        <v>2</v>
      </c>
      <c r="G18" s="26">
        <f>(G16*N7)*(1+(I14/100))</f>
        <v>600000000000</v>
      </c>
      <c r="H18" s="23"/>
      <c r="I18" s="23"/>
      <c r="J18" s="23"/>
    </row>
    <row r="19" spans="1:18">
      <c r="F19" s="24" t="s">
        <v>19</v>
      </c>
      <c r="G19" s="26">
        <f>(G16*O7)*(1+(J14/100))/10</f>
        <v>10530000000000</v>
      </c>
      <c r="H19" s="23"/>
      <c r="I19" s="23"/>
      <c r="J19" s="23"/>
    </row>
    <row r="20" spans="1:18">
      <c r="F20" s="23"/>
      <c r="G20" s="23"/>
      <c r="H20" s="23"/>
      <c r="I20" s="23"/>
      <c r="J20" s="23"/>
    </row>
    <row r="21" spans="1:18">
      <c r="F21" s="23"/>
      <c r="G21" s="23"/>
      <c r="H21" s="23"/>
      <c r="I21" s="23"/>
      <c r="J21" s="23"/>
    </row>
    <row r="22" spans="1:18">
      <c r="F22" s="75"/>
      <c r="G22" s="161" t="s">
        <v>90</v>
      </c>
      <c r="H22" s="160" t="s">
        <v>1</v>
      </c>
      <c r="I22" s="160" t="s">
        <v>2</v>
      </c>
      <c r="J22" s="160" t="s">
        <v>19</v>
      </c>
    </row>
    <row r="23" spans="1:18">
      <c r="F23" s="75"/>
      <c r="G23" s="75"/>
      <c r="H23" s="160">
        <f>H7</f>
        <v>300</v>
      </c>
      <c r="I23" s="160">
        <f>I7</f>
        <v>290</v>
      </c>
      <c r="J23" s="24">
        <f>J7</f>
        <v>300</v>
      </c>
    </row>
    <row r="24" spans="1:18">
      <c r="F24" s="24" t="s">
        <v>91</v>
      </c>
      <c r="G24" s="24" t="s">
        <v>16</v>
      </c>
      <c r="H24" s="23"/>
      <c r="I24" s="23"/>
      <c r="J24" s="23"/>
    </row>
    <row r="25" spans="1:18">
      <c r="F25" s="24" t="s">
        <v>92</v>
      </c>
      <c r="G25" s="27">
        <v>1000000</v>
      </c>
      <c r="H25" s="23"/>
      <c r="I25" s="23"/>
      <c r="J25" s="23"/>
    </row>
    <row r="26" spans="1:18">
      <c r="F26" s="24" t="s">
        <v>93</v>
      </c>
      <c r="G26" s="26">
        <f>(G25*M7)*(1+(H23/100))</f>
        <v>800000000000</v>
      </c>
      <c r="H26" s="23"/>
      <c r="I26" s="23"/>
      <c r="J26" s="23"/>
    </row>
    <row r="27" spans="1:18">
      <c r="F27" s="24" t="s">
        <v>2</v>
      </c>
      <c r="G27" s="26">
        <f>(G25*N7)*(1+(I23/100))</f>
        <v>195000000000</v>
      </c>
      <c r="H27" s="23"/>
      <c r="I27" s="23"/>
      <c r="J27" s="23"/>
    </row>
    <row r="28" spans="1:18">
      <c r="A28" s="296" t="s">
        <v>112</v>
      </c>
      <c r="B28" s="296"/>
      <c r="F28" s="24" t="s">
        <v>19</v>
      </c>
      <c r="G28" s="26">
        <f>(G25*O7)*(1+(J23/100))/10</f>
        <v>3600000000000</v>
      </c>
      <c r="H28" s="23"/>
      <c r="I28" s="23"/>
      <c r="J28" s="23"/>
    </row>
    <row r="29" spans="1:18">
      <c r="A29" s="1"/>
      <c r="B29" s="1" t="s">
        <v>111</v>
      </c>
      <c r="C29" s="1" t="s">
        <v>81</v>
      </c>
      <c r="D29" s="1" t="s">
        <v>82</v>
      </c>
      <c r="F29" s="23"/>
      <c r="G29" s="23"/>
      <c r="H29" s="23"/>
      <c r="I29" s="23"/>
      <c r="J29" s="23"/>
    </row>
    <row r="30" spans="1:18">
      <c r="A30" s="1" t="s">
        <v>109</v>
      </c>
      <c r="B30" s="30">
        <f>(G16-R34)*Q7</f>
        <v>284900284900.28577</v>
      </c>
      <c r="C30" s="30">
        <f>(G16-R34)*R7</f>
        <v>227920227920.22861</v>
      </c>
      <c r="D30" s="30">
        <f>(G16-R34)*S7</f>
        <v>56980056980.057152</v>
      </c>
    </row>
    <row r="31" spans="1:18">
      <c r="A31" s="1"/>
      <c r="B31" s="44"/>
      <c r="C31" s="1"/>
      <c r="D31" s="1"/>
      <c r="F31" s="299" t="s">
        <v>94</v>
      </c>
      <c r="G31" s="127"/>
      <c r="H31" s="127"/>
      <c r="I31" s="127"/>
      <c r="J31" s="127"/>
      <c r="K31" s="127"/>
      <c r="L31" s="127"/>
      <c r="M31" s="127"/>
      <c r="N31" s="127"/>
      <c r="O31" s="1" t="s">
        <v>102</v>
      </c>
      <c r="P31" s="127"/>
      <c r="Q31" s="1" t="s">
        <v>103</v>
      </c>
      <c r="R31" s="24" t="s">
        <v>104</v>
      </c>
    </row>
    <row r="32" spans="1:18">
      <c r="A32" s="1"/>
      <c r="B32" s="1"/>
      <c r="C32" s="1"/>
      <c r="D32" s="1"/>
      <c r="F32" s="299"/>
      <c r="G32" s="165">
        <f>G17</f>
        <v>2340000000000</v>
      </c>
      <c r="H32" s="300" t="s">
        <v>95</v>
      </c>
      <c r="I32" s="300"/>
      <c r="J32" s="300"/>
      <c r="K32" s="300"/>
      <c r="L32" s="166">
        <f>G27</f>
        <v>195000000000</v>
      </c>
      <c r="M32" s="3" t="s">
        <v>96</v>
      </c>
      <c r="N32" s="3"/>
      <c r="O32" s="162">
        <f>IF(L32&gt;G32,0,G32-L32)</f>
        <v>2145000000000</v>
      </c>
      <c r="P32" s="3" t="s">
        <v>98</v>
      </c>
      <c r="Q32" s="30">
        <f>IF(G28&gt;O32,G28-O32,0)</f>
        <v>1455000000000</v>
      </c>
      <c r="R32" s="44">
        <f>Q32/(O7*(1+(J23/100)) /10)</f>
        <v>404166.66666666669</v>
      </c>
    </row>
    <row r="33" spans="1:18">
      <c r="A33" s="1" t="s">
        <v>110</v>
      </c>
      <c r="B33" s="30">
        <f>(G25-R32)*Q7</f>
        <v>2979166666666.6665</v>
      </c>
      <c r="C33" s="30">
        <f>(G25-R32)*R7</f>
        <v>2383333333333.333</v>
      </c>
      <c r="D33" s="30">
        <f>(G25-R32)*S7</f>
        <v>595833333333.33325</v>
      </c>
      <c r="F33" s="301" t="s">
        <v>97</v>
      </c>
      <c r="G33" s="3"/>
      <c r="H33" s="3"/>
      <c r="I33" s="3"/>
      <c r="J33" s="3"/>
      <c r="K33" s="3"/>
      <c r="L33" s="3"/>
      <c r="M33" s="3"/>
      <c r="N33" s="3"/>
      <c r="O33" s="1" t="s">
        <v>101</v>
      </c>
      <c r="P33" s="3"/>
      <c r="Q33" s="1" t="s">
        <v>105</v>
      </c>
      <c r="R33" s="1" t="s">
        <v>106</v>
      </c>
    </row>
    <row r="34" spans="1:18">
      <c r="F34" s="301"/>
      <c r="G34" s="167">
        <f>G26</f>
        <v>800000000000</v>
      </c>
      <c r="H34" s="302" t="s">
        <v>99</v>
      </c>
      <c r="I34" s="302"/>
      <c r="J34" s="302"/>
      <c r="K34" s="302"/>
      <c r="L34" s="168">
        <f>G18</f>
        <v>600000000000</v>
      </c>
      <c r="M34" s="128" t="s">
        <v>100</v>
      </c>
      <c r="N34" s="128"/>
      <c r="O34" s="30">
        <f>IF(L34&gt;G34,0,G34-L34)</f>
        <v>200000000000</v>
      </c>
      <c r="P34" s="128"/>
      <c r="Q34" s="30">
        <f>IF(G19&gt;O34,G19-O34,0)</f>
        <v>10330000000000</v>
      </c>
      <c r="R34" s="30">
        <f>Q34/(O7*(1+(J14/100))/10)</f>
        <v>2943019.9430199428</v>
      </c>
    </row>
    <row r="36" spans="1:18" ht="15.75" thickBot="1"/>
    <row r="37" spans="1:18" ht="15.75" thickBot="1">
      <c r="A37" s="296" t="s">
        <v>107</v>
      </c>
      <c r="B37" s="296"/>
      <c r="G37" s="297" t="s">
        <v>107</v>
      </c>
      <c r="H37" s="298"/>
    </row>
    <row r="38" spans="1:18">
      <c r="A38" s="1"/>
      <c r="B38" s="1" t="s">
        <v>111</v>
      </c>
      <c r="C38" s="1" t="s">
        <v>81</v>
      </c>
      <c r="D38" s="1" t="s">
        <v>82</v>
      </c>
    </row>
    <row r="39" spans="1:18">
      <c r="A39" s="1" t="s">
        <v>109</v>
      </c>
      <c r="B39" s="30">
        <f>(G42-R60)*Q7</f>
        <v>2.3283064365386963E-3</v>
      </c>
      <c r="C39" s="30">
        <f>(G42-R60)*R7</f>
        <v>1.862645149230957E-3</v>
      </c>
      <c r="D39" s="30">
        <f>(G42-R60)*S7</f>
        <v>4.6566128730773926E-4</v>
      </c>
      <c r="F39" s="75"/>
      <c r="G39" s="159" t="s">
        <v>89</v>
      </c>
      <c r="H39" s="160" t="s">
        <v>1</v>
      </c>
      <c r="I39" s="160" t="s">
        <v>2</v>
      </c>
      <c r="J39" s="160" t="s">
        <v>19</v>
      </c>
    </row>
    <row r="40" spans="1:18">
      <c r="A40" s="1"/>
      <c r="B40" s="44"/>
      <c r="C40" s="1"/>
      <c r="D40" s="1"/>
      <c r="F40" s="75"/>
      <c r="G40" s="75"/>
      <c r="H40" s="160">
        <f>H14</f>
        <v>290</v>
      </c>
      <c r="I40" s="160">
        <f>I14</f>
        <v>300</v>
      </c>
      <c r="J40" s="24">
        <f>J14</f>
        <v>290</v>
      </c>
    </row>
    <row r="41" spans="1:18">
      <c r="A41" s="1"/>
      <c r="B41" s="1"/>
      <c r="C41" s="1"/>
      <c r="D41" s="1"/>
      <c r="F41" s="24" t="s">
        <v>91</v>
      </c>
      <c r="G41" s="24" t="s">
        <v>16</v>
      </c>
      <c r="H41" s="152"/>
      <c r="I41" s="152"/>
      <c r="J41" s="152"/>
    </row>
    <row r="42" spans="1:18">
      <c r="A42" s="1" t="s">
        <v>110</v>
      </c>
      <c r="B42" s="30">
        <f>(G51-R58)*Q7</f>
        <v>2020833333333.3335</v>
      </c>
      <c r="C42" s="30">
        <f>(G51-R58)*R7</f>
        <v>1616666666666.6667</v>
      </c>
      <c r="D42" s="30">
        <f>(G51-R58)*S7</f>
        <v>404166666666.66669</v>
      </c>
      <c r="F42" s="24" t="s">
        <v>92</v>
      </c>
      <c r="G42" s="163">
        <f>R34</f>
        <v>2943019.9430199428</v>
      </c>
      <c r="H42" s="152"/>
      <c r="I42" s="152"/>
      <c r="J42" s="152"/>
    </row>
    <row r="43" spans="1:18">
      <c r="F43" s="24" t="s">
        <v>93</v>
      </c>
      <c r="G43" s="26">
        <f>(G42*M7)*(1+(H14/100))</f>
        <v>2295555555555.5552</v>
      </c>
      <c r="H43" s="152"/>
      <c r="I43" s="152"/>
      <c r="J43" s="152"/>
    </row>
    <row r="44" spans="1:18">
      <c r="F44" s="24" t="s">
        <v>2</v>
      </c>
      <c r="G44" s="26">
        <f>(G42*N7)*(1+(I14/100))</f>
        <v>588603988603.98853</v>
      </c>
      <c r="H44" s="152"/>
      <c r="I44" s="152"/>
      <c r="J44" s="152"/>
    </row>
    <row r="45" spans="1:18">
      <c r="F45" s="24" t="s">
        <v>19</v>
      </c>
      <c r="G45" s="26">
        <f>(G42*O7)*(1+(J14/100))/10</f>
        <v>10329999999999.998</v>
      </c>
      <c r="H45" s="152"/>
      <c r="I45" s="152"/>
      <c r="J45" s="152"/>
    </row>
    <row r="46" spans="1:18">
      <c r="A46" s="296" t="s">
        <v>108</v>
      </c>
      <c r="B46" s="296"/>
      <c r="F46" s="152"/>
      <c r="G46" s="152"/>
      <c r="H46" s="152"/>
      <c r="I46" s="152"/>
      <c r="J46" s="152"/>
    </row>
    <row r="47" spans="1:18">
      <c r="A47" s="1"/>
      <c r="B47" s="1" t="s">
        <v>111</v>
      </c>
      <c r="C47" s="1" t="s">
        <v>81</v>
      </c>
      <c r="D47" s="1" t="s">
        <v>82</v>
      </c>
      <c r="F47" s="152"/>
      <c r="G47" s="152"/>
      <c r="H47" s="152"/>
      <c r="I47" s="152"/>
      <c r="J47" s="152"/>
    </row>
    <row r="48" spans="1:18">
      <c r="A48" s="1" t="s">
        <v>109</v>
      </c>
      <c r="B48" s="30">
        <f>(G68-R86)*Q7</f>
        <v>2.3283064365386963E-3</v>
      </c>
      <c r="C48" s="30">
        <f>(G68-R86)*R7</f>
        <v>1.862645149230957E-3</v>
      </c>
      <c r="D48" s="30">
        <f>(G68-R86)*S7</f>
        <v>4.6566128730773926E-4</v>
      </c>
      <c r="F48" s="75"/>
      <c r="G48" s="161" t="s">
        <v>90</v>
      </c>
      <c r="H48" s="160" t="s">
        <v>1</v>
      </c>
      <c r="I48" s="160" t="s">
        <v>2</v>
      </c>
      <c r="J48" s="160" t="s">
        <v>19</v>
      </c>
    </row>
    <row r="49" spans="1:18">
      <c r="A49" s="1"/>
      <c r="B49" s="44"/>
      <c r="C49" s="1"/>
      <c r="D49" s="1"/>
      <c r="F49" s="75"/>
      <c r="G49" s="75"/>
      <c r="H49" s="160">
        <f>H23</f>
        <v>300</v>
      </c>
      <c r="I49" s="160">
        <f>I23</f>
        <v>290</v>
      </c>
      <c r="J49" s="24">
        <f>J23</f>
        <v>300</v>
      </c>
    </row>
    <row r="50" spans="1:18">
      <c r="A50" s="1"/>
      <c r="B50" s="1"/>
      <c r="C50" s="1"/>
      <c r="D50" s="1"/>
      <c r="F50" s="24" t="s">
        <v>91</v>
      </c>
      <c r="G50" s="24" t="s">
        <v>16</v>
      </c>
      <c r="H50" s="152"/>
      <c r="I50" s="152"/>
      <c r="J50" s="152"/>
    </row>
    <row r="51" spans="1:18">
      <c r="A51" s="1" t="s">
        <v>110</v>
      </c>
      <c r="B51" s="30">
        <f>(G77-R84)*Q7</f>
        <v>0</v>
      </c>
      <c r="C51" s="30">
        <f>(G77-R84)*R7</f>
        <v>0</v>
      </c>
      <c r="D51" s="30">
        <f>(G77-R84)*S7</f>
        <v>0</v>
      </c>
      <c r="F51" s="24" t="s">
        <v>92</v>
      </c>
      <c r="G51" s="163">
        <f>R32</f>
        <v>404166.66666666669</v>
      </c>
      <c r="H51" s="152"/>
      <c r="I51" s="152"/>
      <c r="J51" s="152"/>
    </row>
    <row r="52" spans="1:18">
      <c r="F52" s="24" t="s">
        <v>93</v>
      </c>
      <c r="G52" s="26">
        <f>(G51*M7)*(1+(H23/100))</f>
        <v>323333333333.33337</v>
      </c>
      <c r="H52" s="152"/>
      <c r="I52" s="152"/>
      <c r="J52" s="152"/>
    </row>
    <row r="53" spans="1:18">
      <c r="F53" s="24" t="s">
        <v>2</v>
      </c>
      <c r="G53" s="26">
        <f>(G51*N7)*(1+(I23/100))</f>
        <v>78812500000.000015</v>
      </c>
      <c r="H53" s="152"/>
      <c r="I53" s="152"/>
      <c r="J53" s="152"/>
    </row>
    <row r="54" spans="1:18">
      <c r="F54" s="24" t="s">
        <v>19</v>
      </c>
      <c r="G54" s="26">
        <f>(G51*O7)*(1+(J14/100))/10</f>
        <v>1418625000000</v>
      </c>
      <c r="H54" s="152"/>
      <c r="I54" s="152"/>
      <c r="J54" s="152"/>
    </row>
    <row r="55" spans="1:18">
      <c r="F55" s="152"/>
      <c r="G55" s="152"/>
      <c r="H55" s="152"/>
      <c r="I55" s="152"/>
      <c r="J55" s="152"/>
    </row>
    <row r="57" spans="1:18">
      <c r="F57" s="299" t="s">
        <v>94</v>
      </c>
      <c r="G57" s="127"/>
      <c r="H57" s="127"/>
      <c r="I57" s="127"/>
      <c r="J57" s="127"/>
      <c r="K57" s="127"/>
      <c r="L57" s="127"/>
      <c r="M57" s="127"/>
      <c r="N57" s="127"/>
      <c r="O57" s="1" t="s">
        <v>102</v>
      </c>
      <c r="P57" s="127"/>
      <c r="Q57" s="1" t="s">
        <v>103</v>
      </c>
      <c r="R57" s="24" t="s">
        <v>104</v>
      </c>
    </row>
    <row r="58" spans="1:18">
      <c r="F58" s="299"/>
      <c r="G58" s="165">
        <f>G43</f>
        <v>2295555555555.5552</v>
      </c>
      <c r="H58" s="300" t="s">
        <v>95</v>
      </c>
      <c r="I58" s="300"/>
      <c r="J58" s="300"/>
      <c r="K58" s="300"/>
      <c r="L58" s="166">
        <f>G53</f>
        <v>78812500000.000015</v>
      </c>
      <c r="M58" s="3" t="s">
        <v>96</v>
      </c>
      <c r="N58" s="3"/>
      <c r="O58" s="170">
        <f>IF(L58&gt;G58,0,G58-L58)</f>
        <v>2216743055555.5552</v>
      </c>
      <c r="P58" s="3" t="s">
        <v>98</v>
      </c>
      <c r="Q58" s="44">
        <f>IF(G54&gt;O58,G54-O58,0)</f>
        <v>0</v>
      </c>
      <c r="R58" s="44">
        <f>Q58/(O7*(1+(J23/100)) /10)</f>
        <v>0</v>
      </c>
    </row>
    <row r="59" spans="1:18">
      <c r="F59" s="301" t="s">
        <v>97</v>
      </c>
      <c r="G59" s="3"/>
      <c r="H59" s="3"/>
      <c r="I59" s="3"/>
      <c r="J59" s="3"/>
      <c r="K59" s="3"/>
      <c r="L59" s="3"/>
      <c r="M59" s="3"/>
      <c r="N59" s="3"/>
      <c r="O59" s="1" t="s">
        <v>101</v>
      </c>
      <c r="P59" s="3"/>
      <c r="Q59" s="1" t="s">
        <v>105</v>
      </c>
      <c r="R59" s="1" t="s">
        <v>106</v>
      </c>
    </row>
    <row r="60" spans="1:18">
      <c r="F60" s="301"/>
      <c r="G60" s="167">
        <f>G52</f>
        <v>323333333333.33337</v>
      </c>
      <c r="H60" s="302" t="s">
        <v>99</v>
      </c>
      <c r="I60" s="302"/>
      <c r="J60" s="302"/>
      <c r="K60" s="302"/>
      <c r="L60" s="168">
        <f>G44</f>
        <v>588603988603.98853</v>
      </c>
      <c r="M60" s="128" t="s">
        <v>100</v>
      </c>
      <c r="N60" s="128"/>
      <c r="O60" s="44">
        <f>IF(L60&lt;G60,G60-L60,0)</f>
        <v>0</v>
      </c>
      <c r="P60" s="128"/>
      <c r="Q60" s="44">
        <f>IF(G45&gt;O60,G45-O60,0)</f>
        <v>10329999999999.998</v>
      </c>
      <c r="R60" s="44">
        <f>Q60/(O7*(1+(J14/100))/10)</f>
        <v>2943019.9430199424</v>
      </c>
    </row>
    <row r="61" spans="1:18">
      <c r="L61">
        <f>IF(G60&lt;L60,1,0)</f>
        <v>1</v>
      </c>
    </row>
    <row r="62" spans="1:18" ht="15.75" thickBot="1"/>
    <row r="63" spans="1:18" ht="15.75" thickBot="1">
      <c r="G63" s="297" t="s">
        <v>108</v>
      </c>
      <c r="H63" s="298"/>
    </row>
    <row r="65" spans="1:10">
      <c r="F65" s="75"/>
      <c r="G65" s="159" t="s">
        <v>89</v>
      </c>
      <c r="H65" s="160" t="s">
        <v>1</v>
      </c>
      <c r="I65" s="160" t="s">
        <v>2</v>
      </c>
      <c r="J65" s="160" t="s">
        <v>19</v>
      </c>
    </row>
    <row r="66" spans="1:10">
      <c r="F66" s="75"/>
      <c r="G66" s="75"/>
      <c r="H66" s="160">
        <f>H40</f>
        <v>290</v>
      </c>
      <c r="I66" s="160">
        <f>I40</f>
        <v>300</v>
      </c>
      <c r="J66" s="24">
        <f>J40</f>
        <v>290</v>
      </c>
    </row>
    <row r="67" spans="1:10">
      <c r="F67" s="24" t="s">
        <v>91</v>
      </c>
      <c r="G67" s="24" t="s">
        <v>16</v>
      </c>
      <c r="H67" s="152"/>
      <c r="I67" s="152"/>
      <c r="J67" s="152"/>
    </row>
    <row r="68" spans="1:10">
      <c r="F68" s="24" t="s">
        <v>92</v>
      </c>
      <c r="G68" s="163">
        <f>R60</f>
        <v>2943019.9430199424</v>
      </c>
      <c r="H68" s="152"/>
      <c r="I68" s="152"/>
      <c r="J68" s="152"/>
    </row>
    <row r="69" spans="1:10">
      <c r="F69" s="24" t="s">
        <v>93</v>
      </c>
      <c r="G69" s="26">
        <f>(G68*M7)*(1+(H14/100))</f>
        <v>2295555555555.5552</v>
      </c>
      <c r="H69" s="152"/>
      <c r="I69" s="152"/>
      <c r="J69" s="152"/>
    </row>
    <row r="70" spans="1:10">
      <c r="F70" s="24" t="s">
        <v>2</v>
      </c>
      <c r="G70" s="26">
        <f>(G68*N7)*(1+(I14/100))</f>
        <v>588603988603.98853</v>
      </c>
      <c r="H70" s="152"/>
      <c r="I70" s="152"/>
      <c r="J70" s="152"/>
    </row>
    <row r="71" spans="1:10">
      <c r="F71" s="24" t="s">
        <v>19</v>
      </c>
      <c r="G71" s="26">
        <f>(G68*O7)*(1+(J14/100))/10</f>
        <v>10329999999999.996</v>
      </c>
      <c r="H71" s="152"/>
      <c r="I71" s="152"/>
      <c r="J71" s="152"/>
    </row>
    <row r="72" spans="1:10">
      <c r="F72" s="152"/>
      <c r="G72" s="152"/>
      <c r="H72" s="152"/>
      <c r="I72" s="152"/>
      <c r="J72" s="152"/>
    </row>
    <row r="73" spans="1:10">
      <c r="F73" s="152"/>
      <c r="G73" s="152"/>
      <c r="H73" s="152"/>
      <c r="I73" s="152"/>
      <c r="J73" s="152"/>
    </row>
    <row r="74" spans="1:10">
      <c r="F74" s="75"/>
      <c r="G74" s="164" t="s">
        <v>90</v>
      </c>
      <c r="H74" s="160" t="s">
        <v>1</v>
      </c>
      <c r="I74" s="160" t="s">
        <v>2</v>
      </c>
      <c r="J74" s="160" t="s">
        <v>19</v>
      </c>
    </row>
    <row r="75" spans="1:10">
      <c r="F75" s="75"/>
      <c r="G75" s="75"/>
      <c r="H75" s="160">
        <f>H49</f>
        <v>300</v>
      </c>
      <c r="I75" s="160">
        <f>I49</f>
        <v>290</v>
      </c>
      <c r="J75" s="24">
        <f>J49</f>
        <v>300</v>
      </c>
    </row>
    <row r="76" spans="1:10">
      <c r="A76" s="296" t="s">
        <v>113</v>
      </c>
      <c r="B76" s="296"/>
      <c r="C76" s="294">
        <f>(B30+B39+B48)*0.25+(C30+C39+C48)*0.5+D30+D39+D48</f>
        <v>242165242165.24686</v>
      </c>
      <c r="D76" s="295"/>
      <c r="F76" s="24" t="s">
        <v>91</v>
      </c>
      <c r="G76" s="24" t="s">
        <v>16</v>
      </c>
      <c r="H76" s="152"/>
      <c r="I76" s="152"/>
      <c r="J76" s="152"/>
    </row>
    <row r="77" spans="1:10">
      <c r="A77" s="296" t="s">
        <v>114</v>
      </c>
      <c r="B77" s="296"/>
      <c r="C77" s="294">
        <f>(B33+B42+B51)*0.25+(C33+C42+C330)*0.5+D33+D42+D51</f>
        <v>4249999999999.9995</v>
      </c>
      <c r="D77" s="296"/>
      <c r="F77" s="24" t="s">
        <v>92</v>
      </c>
      <c r="G77" s="163">
        <f>R58</f>
        <v>0</v>
      </c>
      <c r="H77" s="152"/>
      <c r="I77" s="152"/>
      <c r="J77" s="152"/>
    </row>
    <row r="78" spans="1:10">
      <c r="F78" s="24" t="s">
        <v>93</v>
      </c>
      <c r="G78" s="26">
        <f>(G77*M7)*(1+(H23/100))</f>
        <v>0</v>
      </c>
      <c r="H78" s="152"/>
      <c r="I78" s="152"/>
      <c r="J78" s="152"/>
    </row>
    <row r="79" spans="1:10">
      <c r="A79" s="296" t="s">
        <v>115</v>
      </c>
      <c r="B79" s="296"/>
      <c r="C79" s="294">
        <f>(B86*0.25)+C86*0.5</f>
        <v>1030555555555.5565</v>
      </c>
      <c r="D79" s="296"/>
      <c r="F79" s="24" t="s">
        <v>2</v>
      </c>
      <c r="G79" s="26">
        <f>(G77*N7)*(1+(I23/100))</f>
        <v>0</v>
      </c>
      <c r="H79" s="152"/>
      <c r="I79" s="152"/>
      <c r="J79" s="152"/>
    </row>
    <row r="80" spans="1:10">
      <c r="F80" s="24" t="s">
        <v>19</v>
      </c>
      <c r="G80" s="26">
        <f>(G77*O7)*(1+(J14/100))/10</f>
        <v>0</v>
      </c>
      <c r="H80" s="152"/>
      <c r="I80" s="152"/>
      <c r="J80" s="152"/>
    </row>
    <row r="81" spans="1:18">
      <c r="A81" s="296" t="s">
        <v>117</v>
      </c>
      <c r="B81" s="296"/>
      <c r="C81" s="294">
        <f>C79-C76</f>
        <v>788390313390.30969</v>
      </c>
      <c r="D81" s="296"/>
      <c r="F81" s="152"/>
      <c r="G81" s="152"/>
      <c r="H81" s="152"/>
      <c r="I81" s="152"/>
      <c r="J81" s="152"/>
    </row>
    <row r="83" spans="1:18" ht="15" customHeight="1">
      <c r="F83" s="299" t="s">
        <v>94</v>
      </c>
      <c r="G83" s="127"/>
      <c r="H83" s="127"/>
      <c r="I83" s="127"/>
      <c r="J83" s="127"/>
      <c r="K83" s="127"/>
      <c r="L83" s="127"/>
      <c r="M83" s="127"/>
      <c r="N83" s="127"/>
      <c r="O83" s="1" t="s">
        <v>102</v>
      </c>
      <c r="P83" s="127"/>
      <c r="Q83" s="1" t="s">
        <v>103</v>
      </c>
      <c r="R83" s="24" t="s">
        <v>104</v>
      </c>
    </row>
    <row r="84" spans="1:18">
      <c r="F84" s="299"/>
      <c r="G84" s="165">
        <f>G69</f>
        <v>2295555555555.5552</v>
      </c>
      <c r="H84" s="300" t="s">
        <v>95</v>
      </c>
      <c r="I84" s="300"/>
      <c r="J84" s="300"/>
      <c r="K84" s="300"/>
      <c r="L84" s="166">
        <f>G79</f>
        <v>0</v>
      </c>
      <c r="M84" s="3" t="s">
        <v>96</v>
      </c>
      <c r="N84" s="3"/>
      <c r="O84" s="170">
        <f>IF(L84&gt;G84,0,G84-L84)</f>
        <v>2295555555555.5552</v>
      </c>
      <c r="P84" s="3" t="s">
        <v>98</v>
      </c>
      <c r="Q84" s="169">
        <f>IF(G80&gt;O84,G80-O84,0)</f>
        <v>0</v>
      </c>
      <c r="R84" s="44">
        <f>Q84/(O7*(1+(J49/100)) /10)</f>
        <v>0</v>
      </c>
    </row>
    <row r="85" spans="1:18" ht="15" customHeight="1">
      <c r="A85" s="1"/>
      <c r="B85" s="1" t="s">
        <v>111</v>
      </c>
      <c r="C85" s="1" t="s">
        <v>81</v>
      </c>
      <c r="D85" s="3"/>
      <c r="F85" s="301" t="s">
        <v>97</v>
      </c>
      <c r="G85" s="3"/>
      <c r="H85" s="3"/>
      <c r="I85" s="3"/>
      <c r="J85" s="3"/>
      <c r="K85" s="3"/>
      <c r="L85" s="3"/>
      <c r="M85" s="3"/>
      <c r="N85" s="3"/>
      <c r="O85" s="1" t="s">
        <v>101</v>
      </c>
      <c r="P85" s="3"/>
      <c r="Q85" s="1" t="s">
        <v>105</v>
      </c>
      <c r="R85" s="1" t="s">
        <v>106</v>
      </c>
    </row>
    <row r="86" spans="1:18">
      <c r="A86" s="1" t="s">
        <v>116</v>
      </c>
      <c r="B86" s="44">
        <f>(((G16-R86)+(G25-R84))*Q7)*0.3</f>
        <v>1585470085470.0869</v>
      </c>
      <c r="C86" s="44">
        <f>((((G16-R86)+(G25-R84))*R7))*0.3</f>
        <v>1268376068376.0696</v>
      </c>
      <c r="D86" s="3"/>
      <c r="F86" s="301"/>
      <c r="G86" s="167">
        <f>G78</f>
        <v>0</v>
      </c>
      <c r="H86" s="302" t="s">
        <v>99</v>
      </c>
      <c r="I86" s="302"/>
      <c r="J86" s="302"/>
      <c r="K86" s="302"/>
      <c r="L86" s="168">
        <f>G70</f>
        <v>588603988603.98853</v>
      </c>
      <c r="M86" s="128" t="s">
        <v>100</v>
      </c>
      <c r="N86" s="128"/>
      <c r="O86" s="44">
        <f>IF(L86&lt;G86,G86-L86,0)</f>
        <v>0</v>
      </c>
      <c r="P86" s="128"/>
      <c r="Q86" s="44">
        <f>IF(G71&gt;O86,G71-O86,0)</f>
        <v>10329999999999.996</v>
      </c>
      <c r="R86" s="44">
        <f>Q86/(O7*(1+(J40/100))/10)</f>
        <v>2943019.9430199419</v>
      </c>
    </row>
    <row r="87" spans="1:18">
      <c r="D87" s="3"/>
    </row>
    <row r="88" spans="1:18">
      <c r="A88" s="1" t="s">
        <v>118</v>
      </c>
      <c r="B88" s="44">
        <f>(B86+C86)/20000</f>
        <v>142692307.6923078</v>
      </c>
    </row>
  </sheetData>
  <mergeCells count="27">
    <mergeCell ref="F57:F58"/>
    <mergeCell ref="H58:K58"/>
    <mergeCell ref="F59:F60"/>
    <mergeCell ref="H60:K60"/>
    <mergeCell ref="G37:H37"/>
    <mergeCell ref="F33:F34"/>
    <mergeCell ref="H34:K34"/>
    <mergeCell ref="B1:C2"/>
    <mergeCell ref="H1:I2"/>
    <mergeCell ref="F31:F32"/>
    <mergeCell ref="H32:K32"/>
    <mergeCell ref="A28:B28"/>
    <mergeCell ref="G63:H63"/>
    <mergeCell ref="F83:F84"/>
    <mergeCell ref="H84:K84"/>
    <mergeCell ref="F85:F86"/>
    <mergeCell ref="H86:K86"/>
    <mergeCell ref="A37:B37"/>
    <mergeCell ref="A46:B46"/>
    <mergeCell ref="A76:B76"/>
    <mergeCell ref="A77:B77"/>
    <mergeCell ref="A79:B79"/>
    <mergeCell ref="C76:D76"/>
    <mergeCell ref="C77:D77"/>
    <mergeCell ref="C79:D79"/>
    <mergeCell ref="A81:B81"/>
    <mergeCell ref="C81:D8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7"/>
  <sheetViews>
    <sheetView topLeftCell="A22" workbookViewId="0">
      <selection activeCell="I34" sqref="I34"/>
    </sheetView>
  </sheetViews>
  <sheetFormatPr baseColWidth="10" defaultRowHeight="15"/>
  <cols>
    <col min="1" max="1" width="20.140625" customWidth="1"/>
    <col min="2" max="2" width="18.7109375" customWidth="1"/>
    <col min="3" max="4" width="21" customWidth="1"/>
    <col min="5" max="5" width="20.85546875" customWidth="1"/>
    <col min="6" max="6" width="23.7109375" customWidth="1"/>
    <col min="7" max="7" width="27.7109375" customWidth="1"/>
    <col min="8" max="8" width="19.140625" customWidth="1"/>
    <col min="9" max="9" width="18" customWidth="1"/>
    <col min="10" max="10" width="19.28515625" customWidth="1"/>
    <col min="11" max="11" width="17.140625" customWidth="1"/>
    <col min="12" max="12" width="16.42578125" customWidth="1"/>
    <col min="13" max="13" width="16.140625" customWidth="1"/>
    <col min="14" max="14" width="15.7109375" customWidth="1"/>
    <col min="15" max="15" width="17.28515625" bestFit="1" customWidth="1"/>
    <col min="16" max="16" width="20" customWidth="1"/>
    <col min="24" max="24" width="17" customWidth="1"/>
  </cols>
  <sheetData>
    <row r="1" spans="1:24" ht="15" customHeight="1">
      <c r="E1" s="313" t="s">
        <v>59</v>
      </c>
      <c r="F1" s="179"/>
      <c r="G1" s="311" t="s">
        <v>84</v>
      </c>
    </row>
    <row r="2" spans="1:24" ht="15" customHeight="1">
      <c r="A2" s="311" t="s">
        <v>151</v>
      </c>
      <c r="E2" s="313"/>
      <c r="F2" s="179"/>
      <c r="G2" s="311"/>
    </row>
    <row r="3" spans="1:24" ht="15" customHeight="1">
      <c r="A3" s="311"/>
      <c r="E3" s="313"/>
      <c r="F3" s="240" t="s">
        <v>20</v>
      </c>
      <c r="G3" s="312"/>
    </row>
    <row r="4" spans="1:24" ht="15" customHeight="1">
      <c r="A4" s="312"/>
      <c r="B4" s="180" t="s">
        <v>32</v>
      </c>
      <c r="C4" s="180" t="s">
        <v>33</v>
      </c>
      <c r="D4" s="180" t="s">
        <v>34</v>
      </c>
      <c r="E4" s="314"/>
      <c r="F4" s="1"/>
      <c r="G4" s="238" t="s">
        <v>120</v>
      </c>
      <c r="H4" s="173" t="s">
        <v>32</v>
      </c>
      <c r="I4" s="173" t="s">
        <v>33</v>
      </c>
      <c r="J4" s="174" t="s">
        <v>34</v>
      </c>
      <c r="K4" s="173" t="s">
        <v>143</v>
      </c>
      <c r="L4" s="173" t="s">
        <v>144</v>
      </c>
      <c r="M4" s="191" t="s">
        <v>165</v>
      </c>
      <c r="N4" s="191" t="s">
        <v>164</v>
      </c>
      <c r="P4" s="311" t="s">
        <v>167</v>
      </c>
      <c r="X4" s="326" t="s">
        <v>59</v>
      </c>
    </row>
    <row r="5" spans="1:24" ht="15" customHeight="1">
      <c r="A5" s="19" t="s">
        <v>9</v>
      </c>
      <c r="B5" s="102">
        <v>3000</v>
      </c>
      <c r="C5" s="102">
        <v>1000</v>
      </c>
      <c r="D5" s="45"/>
      <c r="E5" s="231">
        <f>(0.25*B5)+(0.5*C5)+D5</f>
        <v>1250</v>
      </c>
      <c r="F5" s="1"/>
      <c r="G5" s="239" t="s">
        <v>121</v>
      </c>
      <c r="H5" s="32">
        <v>100</v>
      </c>
      <c r="I5" s="32"/>
      <c r="J5" s="32"/>
      <c r="K5" s="172">
        <v>1</v>
      </c>
      <c r="L5" s="172"/>
      <c r="M5" s="44">
        <f>(H5/4)+(I5/2)+J5</f>
        <v>25</v>
      </c>
      <c r="N5" s="30">
        <f>K5+L5</f>
        <v>1</v>
      </c>
      <c r="P5" s="311"/>
      <c r="X5" s="326"/>
    </row>
    <row r="6" spans="1:24" ht="15.75" customHeight="1">
      <c r="A6" s="19" t="s">
        <v>11</v>
      </c>
      <c r="B6" s="103">
        <v>6000</v>
      </c>
      <c r="C6" s="103">
        <v>4000</v>
      </c>
      <c r="D6" s="45"/>
      <c r="E6" s="232">
        <f t="shared" ref="E6:E20" si="0">(0.25*B6)+(0.5*C6)+D6</f>
        <v>3500</v>
      </c>
      <c r="F6" s="1"/>
      <c r="G6" s="239" t="s">
        <v>122</v>
      </c>
      <c r="H6" s="32">
        <v>500</v>
      </c>
      <c r="I6" s="32"/>
      <c r="J6" s="32"/>
      <c r="K6" s="172">
        <v>5</v>
      </c>
      <c r="L6" s="172"/>
      <c r="M6" s="44">
        <f t="shared" ref="M6:M19" si="1">(H6/4)+(I6/2)+J6</f>
        <v>125</v>
      </c>
      <c r="N6" s="30">
        <f t="shared" ref="N6:N26" si="2">K6+L6</f>
        <v>5</v>
      </c>
      <c r="P6" s="312"/>
      <c r="X6" s="326"/>
    </row>
    <row r="7" spans="1:24">
      <c r="A7" s="19" t="s">
        <v>12</v>
      </c>
      <c r="B7" s="104">
        <v>20000</v>
      </c>
      <c r="C7" s="104">
        <v>7000</v>
      </c>
      <c r="D7" s="105">
        <v>2000</v>
      </c>
      <c r="E7" s="233">
        <f t="shared" si="0"/>
        <v>10500</v>
      </c>
      <c r="F7" s="1"/>
      <c r="G7" s="239" t="s">
        <v>123</v>
      </c>
      <c r="H7" s="32">
        <v>200</v>
      </c>
      <c r="I7" s="32">
        <v>10</v>
      </c>
      <c r="J7" s="32">
        <v>10</v>
      </c>
      <c r="K7" s="172">
        <v>2</v>
      </c>
      <c r="L7" s="172">
        <v>5</v>
      </c>
      <c r="M7" s="44">
        <f t="shared" si="1"/>
        <v>65</v>
      </c>
      <c r="N7" s="30">
        <f t="shared" si="2"/>
        <v>7</v>
      </c>
      <c r="P7" s="7" t="s">
        <v>25</v>
      </c>
      <c r="Q7" s="7" t="s">
        <v>1</v>
      </c>
      <c r="R7" s="7" t="s">
        <v>2</v>
      </c>
      <c r="S7" s="7" t="s">
        <v>19</v>
      </c>
      <c r="T7" s="7"/>
      <c r="U7" s="7" t="s">
        <v>32</v>
      </c>
      <c r="V7" s="7" t="s">
        <v>33</v>
      </c>
      <c r="W7" s="19" t="s">
        <v>34</v>
      </c>
      <c r="X7" s="326"/>
    </row>
    <row r="8" spans="1:24">
      <c r="A8" s="19" t="s">
        <v>13</v>
      </c>
      <c r="B8" s="32">
        <v>45000</v>
      </c>
      <c r="C8" s="32">
        <v>15000</v>
      </c>
      <c r="D8" s="45"/>
      <c r="E8" s="234">
        <f t="shared" si="0"/>
        <v>18750</v>
      </c>
      <c r="F8" s="1"/>
      <c r="G8" s="239" t="s">
        <v>124</v>
      </c>
      <c r="H8" s="32">
        <v>1000</v>
      </c>
      <c r="I8" s="32">
        <v>50</v>
      </c>
      <c r="J8" s="32">
        <v>50</v>
      </c>
      <c r="K8" s="172">
        <v>10</v>
      </c>
      <c r="L8" s="172">
        <v>25</v>
      </c>
      <c r="M8" s="44">
        <f t="shared" si="1"/>
        <v>325</v>
      </c>
      <c r="N8" s="30">
        <f t="shared" si="2"/>
        <v>35</v>
      </c>
      <c r="P8" s="7" t="s">
        <v>24</v>
      </c>
      <c r="Q8" s="32">
        <v>80</v>
      </c>
      <c r="R8" s="32">
        <v>20</v>
      </c>
      <c r="S8" s="32">
        <v>2000</v>
      </c>
      <c r="T8" s="18"/>
      <c r="U8" s="32">
        <v>2000</v>
      </c>
      <c r="V8" s="32"/>
      <c r="W8" s="32"/>
      <c r="X8" s="192">
        <f t="shared" ref="X8:X14" si="3">(U8/4)+(V8/2)+W8</f>
        <v>500</v>
      </c>
    </row>
    <row r="9" spans="1:24">
      <c r="A9" s="19" t="s">
        <v>14</v>
      </c>
      <c r="B9" s="32">
        <v>50000</v>
      </c>
      <c r="C9" s="32">
        <v>25000</v>
      </c>
      <c r="D9" s="106">
        <v>15000</v>
      </c>
      <c r="E9" s="234">
        <f t="shared" si="0"/>
        <v>40000</v>
      </c>
      <c r="F9" s="1"/>
      <c r="G9" s="239" t="s">
        <v>125</v>
      </c>
      <c r="H9" s="32">
        <v>750</v>
      </c>
      <c r="I9" s="32">
        <v>20</v>
      </c>
      <c r="J9" s="32">
        <v>100</v>
      </c>
      <c r="K9" s="172">
        <v>10</v>
      </c>
      <c r="L9" s="172">
        <v>10</v>
      </c>
      <c r="M9" s="44">
        <f t="shared" si="1"/>
        <v>297.5</v>
      </c>
      <c r="N9" s="30">
        <f t="shared" si="2"/>
        <v>20</v>
      </c>
      <c r="P9" s="7" t="s">
        <v>26</v>
      </c>
      <c r="Q9" s="32">
        <v>100</v>
      </c>
      <c r="R9" s="32">
        <v>25</v>
      </c>
      <c r="S9" s="32">
        <v>2000</v>
      </c>
      <c r="T9" s="18"/>
      <c r="U9" s="32">
        <v>1500</v>
      </c>
      <c r="V9" s="32">
        <v>500</v>
      </c>
      <c r="W9" s="32"/>
      <c r="X9" s="44">
        <f t="shared" si="3"/>
        <v>625</v>
      </c>
    </row>
    <row r="10" spans="1:24">
      <c r="A10" s="19" t="s">
        <v>15</v>
      </c>
      <c r="B10" s="32">
        <v>60000</v>
      </c>
      <c r="C10" s="32">
        <v>50000</v>
      </c>
      <c r="D10" s="106">
        <v>15000</v>
      </c>
      <c r="E10" s="234">
        <f t="shared" si="0"/>
        <v>55000</v>
      </c>
      <c r="F10" s="1"/>
      <c r="G10" s="239" t="s">
        <v>126</v>
      </c>
      <c r="H10" s="32">
        <v>1000</v>
      </c>
      <c r="I10" s="32">
        <v>30</v>
      </c>
      <c r="J10" s="32">
        <v>200</v>
      </c>
      <c r="K10" s="172">
        <v>20</v>
      </c>
      <c r="L10" s="172">
        <v>20</v>
      </c>
      <c r="M10" s="44">
        <f t="shared" si="1"/>
        <v>465</v>
      </c>
      <c r="N10" s="30">
        <f t="shared" si="2"/>
        <v>40</v>
      </c>
      <c r="P10" s="7" t="s">
        <v>27</v>
      </c>
      <c r="Q10" s="32">
        <v>250</v>
      </c>
      <c r="R10" s="32">
        <v>100</v>
      </c>
      <c r="S10" s="32">
        <v>8000</v>
      </c>
      <c r="T10" s="18"/>
      <c r="U10" s="32">
        <v>6000</v>
      </c>
      <c r="V10" s="32">
        <v>2000</v>
      </c>
      <c r="W10" s="32"/>
      <c r="X10" s="44">
        <f t="shared" si="3"/>
        <v>2500</v>
      </c>
    </row>
    <row r="11" spans="1:24">
      <c r="A11" s="19" t="s">
        <v>16</v>
      </c>
      <c r="B11" s="32">
        <v>2500000</v>
      </c>
      <c r="C11" s="32">
        <v>2000000</v>
      </c>
      <c r="D11" s="45">
        <v>500000</v>
      </c>
      <c r="E11" s="234">
        <f>(2*((0.25*B11)+(0.5*C11)+D11))</f>
        <v>4250000</v>
      </c>
      <c r="F11" s="1"/>
      <c r="G11" s="239" t="s">
        <v>127</v>
      </c>
      <c r="H11" s="32">
        <v>1250</v>
      </c>
      <c r="I11" s="32">
        <v>40</v>
      </c>
      <c r="J11" s="32">
        <v>500</v>
      </c>
      <c r="K11" s="172">
        <v>25</v>
      </c>
      <c r="L11" s="172">
        <v>50</v>
      </c>
      <c r="M11" s="44">
        <f t="shared" si="1"/>
        <v>832.5</v>
      </c>
      <c r="N11" s="30">
        <f t="shared" si="2"/>
        <v>75</v>
      </c>
      <c r="P11" s="7" t="s">
        <v>28</v>
      </c>
      <c r="Q11" s="32">
        <v>1100</v>
      </c>
      <c r="R11" s="32">
        <v>200</v>
      </c>
      <c r="S11" s="32">
        <v>35000</v>
      </c>
      <c r="T11" s="18"/>
      <c r="U11" s="32">
        <v>20000</v>
      </c>
      <c r="V11" s="32">
        <v>15000</v>
      </c>
      <c r="W11" s="32">
        <v>2000</v>
      </c>
      <c r="X11" s="44">
        <f t="shared" si="3"/>
        <v>14500</v>
      </c>
    </row>
    <row r="12" spans="1:24">
      <c r="A12" s="19" t="s">
        <v>17</v>
      </c>
      <c r="B12" s="32">
        <v>30000</v>
      </c>
      <c r="C12" s="32">
        <v>40000</v>
      </c>
      <c r="D12" s="106">
        <v>15000</v>
      </c>
      <c r="E12" s="234">
        <f t="shared" si="0"/>
        <v>42500</v>
      </c>
      <c r="F12" s="1"/>
      <c r="G12" s="239" t="s">
        <v>128</v>
      </c>
      <c r="H12" s="172">
        <v>1500</v>
      </c>
      <c r="I12" s="172">
        <v>50</v>
      </c>
      <c r="J12" s="172">
        <v>1000</v>
      </c>
      <c r="K12" s="172">
        <v>50</v>
      </c>
      <c r="L12" s="172">
        <v>100</v>
      </c>
      <c r="M12" s="44">
        <f t="shared" si="1"/>
        <v>1400</v>
      </c>
      <c r="N12" s="30">
        <f t="shared" si="2"/>
        <v>150</v>
      </c>
      <c r="P12" s="7" t="s">
        <v>29</v>
      </c>
      <c r="Q12" s="32">
        <v>150</v>
      </c>
      <c r="R12" s="32">
        <v>500</v>
      </c>
      <c r="S12" s="32">
        <v>8000</v>
      </c>
      <c r="T12" s="18"/>
      <c r="U12" s="32">
        <v>2000</v>
      </c>
      <c r="V12" s="32">
        <v>6000</v>
      </c>
      <c r="W12" s="32"/>
      <c r="X12" s="44">
        <f t="shared" si="3"/>
        <v>3500</v>
      </c>
    </row>
    <row r="13" spans="1:24">
      <c r="A13" s="19" t="s">
        <v>18</v>
      </c>
      <c r="B13" s="32">
        <v>500000</v>
      </c>
      <c r="C13" s="32">
        <v>250000</v>
      </c>
      <c r="D13" s="107">
        <v>30000</v>
      </c>
      <c r="E13" s="234">
        <f t="shared" si="0"/>
        <v>280000</v>
      </c>
      <c r="F13" s="1"/>
      <c r="G13" s="239" t="s">
        <v>129</v>
      </c>
      <c r="H13" s="172">
        <v>1750</v>
      </c>
      <c r="I13" s="172">
        <v>60</v>
      </c>
      <c r="J13" s="172">
        <v>2000</v>
      </c>
      <c r="K13" s="172">
        <v>75</v>
      </c>
      <c r="L13" s="172">
        <v>200</v>
      </c>
      <c r="M13" s="44">
        <f t="shared" si="1"/>
        <v>2467.5</v>
      </c>
      <c r="N13" s="30">
        <f t="shared" si="2"/>
        <v>275</v>
      </c>
      <c r="P13" s="7" t="s">
        <v>30</v>
      </c>
      <c r="Q13" s="32">
        <v>3000</v>
      </c>
      <c r="R13" s="32">
        <v>300</v>
      </c>
      <c r="S13" s="32">
        <v>100000</v>
      </c>
      <c r="T13" s="18"/>
      <c r="U13" s="32">
        <v>50000</v>
      </c>
      <c r="V13" s="32">
        <v>50000</v>
      </c>
      <c r="W13" s="32">
        <v>30000</v>
      </c>
      <c r="X13" s="44">
        <f t="shared" si="3"/>
        <v>67500</v>
      </c>
    </row>
    <row r="14" spans="1:24">
      <c r="A14" s="19" t="s">
        <v>67</v>
      </c>
      <c r="B14" s="32">
        <v>750000</v>
      </c>
      <c r="C14" s="32">
        <v>1000000</v>
      </c>
      <c r="D14" s="32">
        <v>50000</v>
      </c>
      <c r="E14" s="235">
        <f t="shared" si="0"/>
        <v>737500</v>
      </c>
      <c r="F14" s="1"/>
      <c r="G14" s="239" t="s">
        <v>130</v>
      </c>
      <c r="H14" s="172">
        <v>2000</v>
      </c>
      <c r="I14" s="172">
        <v>70</v>
      </c>
      <c r="J14" s="172">
        <v>5000</v>
      </c>
      <c r="K14" s="172">
        <v>100</v>
      </c>
      <c r="L14" s="172">
        <v>300</v>
      </c>
      <c r="M14" s="44">
        <f t="shared" si="1"/>
        <v>5535</v>
      </c>
      <c r="N14" s="30">
        <f t="shared" si="2"/>
        <v>400</v>
      </c>
      <c r="P14" s="7" t="s">
        <v>31</v>
      </c>
      <c r="Q14" s="32">
        <v>5000</v>
      </c>
      <c r="R14" s="32">
        <v>10000</v>
      </c>
      <c r="S14" s="32">
        <v>200000</v>
      </c>
      <c r="T14" s="18"/>
      <c r="U14" s="32">
        <v>100000</v>
      </c>
      <c r="V14" s="32">
        <v>100000</v>
      </c>
      <c r="W14" s="32">
        <v>50000</v>
      </c>
      <c r="X14" s="44">
        <f t="shared" si="3"/>
        <v>125000</v>
      </c>
    </row>
    <row r="15" spans="1:24">
      <c r="A15" s="19" t="s">
        <v>68</v>
      </c>
      <c r="B15" s="101">
        <v>7500000</v>
      </c>
      <c r="C15" s="101">
        <v>6000000</v>
      </c>
      <c r="D15" s="108">
        <v>1500000</v>
      </c>
      <c r="E15" s="236">
        <f t="shared" si="0"/>
        <v>6375000</v>
      </c>
      <c r="F15" s="1"/>
      <c r="G15" s="239" t="s">
        <v>131</v>
      </c>
      <c r="H15" s="172"/>
      <c r="I15" s="172">
        <v>50</v>
      </c>
      <c r="J15" s="172">
        <v>100</v>
      </c>
      <c r="K15" s="172">
        <v>10</v>
      </c>
      <c r="L15" s="172">
        <v>500</v>
      </c>
      <c r="M15" s="44">
        <f t="shared" si="1"/>
        <v>125</v>
      </c>
      <c r="N15" s="30">
        <f t="shared" si="2"/>
        <v>510</v>
      </c>
    </row>
    <row r="16" spans="1:24">
      <c r="A16" s="19" t="s">
        <v>75</v>
      </c>
      <c r="B16" s="141">
        <v>25000</v>
      </c>
      <c r="C16" s="141">
        <v>25000</v>
      </c>
      <c r="D16" s="142">
        <v>25000</v>
      </c>
      <c r="E16" s="237">
        <f t="shared" si="0"/>
        <v>43750</v>
      </c>
      <c r="F16" s="1"/>
      <c r="G16" s="239" t="s">
        <v>132</v>
      </c>
      <c r="H16" s="172"/>
      <c r="I16" s="172">
        <v>1000</v>
      </c>
      <c r="J16" s="172">
        <v>1000</v>
      </c>
      <c r="K16" s="172">
        <v>1000</v>
      </c>
      <c r="L16" s="172"/>
      <c r="M16" s="44">
        <f t="shared" si="1"/>
        <v>1500</v>
      </c>
      <c r="N16" s="30">
        <f t="shared" si="2"/>
        <v>1000</v>
      </c>
    </row>
    <row r="17" spans="1:14">
      <c r="A17" s="13" t="s">
        <v>87</v>
      </c>
      <c r="B17" s="141">
        <v>20000</v>
      </c>
      <c r="C17" s="141">
        <v>20000</v>
      </c>
      <c r="D17" s="241"/>
      <c r="E17" s="242">
        <f t="shared" si="0"/>
        <v>15000</v>
      </c>
      <c r="F17" s="221">
        <v>400000</v>
      </c>
      <c r="G17" s="239" t="s">
        <v>133</v>
      </c>
      <c r="H17" s="172">
        <v>10000</v>
      </c>
      <c r="I17" s="172">
        <v>10000</v>
      </c>
      <c r="J17" s="172">
        <v>10000</v>
      </c>
      <c r="K17" s="172"/>
      <c r="L17" s="172">
        <v>10000</v>
      </c>
      <c r="M17" s="44">
        <f t="shared" si="1"/>
        <v>17500</v>
      </c>
      <c r="N17" s="30">
        <f t="shared" si="2"/>
        <v>10000</v>
      </c>
    </row>
    <row r="18" spans="1:14">
      <c r="A18" s="19" t="s">
        <v>61</v>
      </c>
      <c r="B18" s="32">
        <v>10000</v>
      </c>
      <c r="C18" s="32">
        <v>6000</v>
      </c>
      <c r="D18" s="243">
        <v>2000</v>
      </c>
      <c r="E18" s="244">
        <f t="shared" si="0"/>
        <v>7500</v>
      </c>
      <c r="F18" s="221">
        <v>20000</v>
      </c>
      <c r="G18" s="239" t="s">
        <v>134</v>
      </c>
      <c r="H18" s="172">
        <v>2000</v>
      </c>
      <c r="I18" s="172">
        <v>2000</v>
      </c>
      <c r="J18" s="172"/>
      <c r="K18" s="172"/>
      <c r="L18" s="172"/>
      <c r="M18" s="44">
        <f t="shared" si="1"/>
        <v>1500</v>
      </c>
      <c r="N18" s="30">
        <f t="shared" si="2"/>
        <v>0</v>
      </c>
    </row>
    <row r="19" spans="1:14">
      <c r="A19" s="7" t="s">
        <v>177</v>
      </c>
      <c r="B19" s="32">
        <v>10000</v>
      </c>
      <c r="C19" s="32">
        <v>10000</v>
      </c>
      <c r="D19" s="221"/>
      <c r="E19" s="245">
        <f t="shared" si="0"/>
        <v>7500</v>
      </c>
      <c r="F19" s="221">
        <v>100000</v>
      </c>
      <c r="G19" s="239" t="s">
        <v>135</v>
      </c>
      <c r="H19" s="172">
        <v>4000</v>
      </c>
      <c r="I19" s="172">
        <v>2000</v>
      </c>
      <c r="J19" s="172"/>
      <c r="K19" s="172"/>
      <c r="L19" s="172"/>
      <c r="M19" s="44">
        <f t="shared" si="1"/>
        <v>2000</v>
      </c>
      <c r="N19" s="30">
        <f t="shared" si="2"/>
        <v>0</v>
      </c>
    </row>
    <row r="20" spans="1:14">
      <c r="A20" s="7" t="s">
        <v>174</v>
      </c>
      <c r="B20" s="221">
        <v>6000</v>
      </c>
      <c r="C20" s="221">
        <v>6000</v>
      </c>
      <c r="D20" s="221"/>
      <c r="E20" s="221">
        <f t="shared" si="0"/>
        <v>4500</v>
      </c>
      <c r="F20" s="221">
        <v>25000</v>
      </c>
      <c r="G20" s="7" t="s">
        <v>136</v>
      </c>
      <c r="H20" s="172">
        <v>6000</v>
      </c>
      <c r="I20" s="172">
        <v>2000</v>
      </c>
      <c r="J20" s="172"/>
      <c r="K20" s="172"/>
      <c r="L20" s="172"/>
      <c r="M20" s="44">
        <f t="shared" ref="M20:M26" si="4">(H20/4)+(I20/2)+J20</f>
        <v>2500</v>
      </c>
      <c r="N20" s="30">
        <f t="shared" si="2"/>
        <v>0</v>
      </c>
    </row>
    <row r="21" spans="1:14">
      <c r="G21" s="7" t="s">
        <v>137</v>
      </c>
      <c r="H21" s="172">
        <v>8000</v>
      </c>
      <c r="I21" s="172">
        <v>2000</v>
      </c>
      <c r="J21" s="172"/>
      <c r="K21" s="172"/>
      <c r="L21" s="172"/>
      <c r="M21" s="44">
        <f t="shared" si="4"/>
        <v>3000</v>
      </c>
      <c r="N21" s="30">
        <f t="shared" si="2"/>
        <v>0</v>
      </c>
    </row>
    <row r="22" spans="1:14">
      <c r="G22" s="7" t="s">
        <v>138</v>
      </c>
      <c r="H22" s="172">
        <v>10000</v>
      </c>
      <c r="I22" s="172">
        <v>2000</v>
      </c>
      <c r="J22" s="172"/>
      <c r="K22" s="172"/>
      <c r="L22" s="172">
        <v>1000</v>
      </c>
      <c r="M22" s="44">
        <f t="shared" si="4"/>
        <v>3500</v>
      </c>
      <c r="N22" s="30">
        <f t="shared" si="2"/>
        <v>1000</v>
      </c>
    </row>
    <row r="23" spans="1:14">
      <c r="G23" s="7" t="s">
        <v>139</v>
      </c>
      <c r="H23" s="172">
        <v>10000</v>
      </c>
      <c r="I23" s="172">
        <v>10000</v>
      </c>
      <c r="J23" s="172"/>
      <c r="K23" s="172"/>
      <c r="L23" s="172">
        <v>10000</v>
      </c>
      <c r="M23" s="44">
        <f t="shared" si="4"/>
        <v>7500</v>
      </c>
      <c r="N23" s="30">
        <f t="shared" si="2"/>
        <v>10000</v>
      </c>
    </row>
    <row r="24" spans="1:14">
      <c r="G24" s="7" t="s">
        <v>140</v>
      </c>
      <c r="H24" s="172">
        <v>20000</v>
      </c>
      <c r="I24" s="172">
        <v>20000</v>
      </c>
      <c r="J24" s="172"/>
      <c r="K24" s="172"/>
      <c r="L24" s="172">
        <v>200000</v>
      </c>
      <c r="M24" s="44">
        <f t="shared" si="4"/>
        <v>15000</v>
      </c>
      <c r="N24" s="30">
        <f t="shared" si="2"/>
        <v>200000</v>
      </c>
    </row>
    <row r="25" spans="1:14" ht="18.75" customHeight="1">
      <c r="A25" s="315" t="s">
        <v>152</v>
      </c>
      <c r="G25" s="7" t="s">
        <v>141</v>
      </c>
      <c r="H25" s="172">
        <v>20000</v>
      </c>
      <c r="I25" s="172">
        <v>20000</v>
      </c>
      <c r="J25" s="172"/>
      <c r="K25" s="172"/>
      <c r="L25" s="172">
        <v>20000</v>
      </c>
      <c r="M25" s="44">
        <f t="shared" si="4"/>
        <v>15000</v>
      </c>
      <c r="N25" s="30">
        <f t="shared" si="2"/>
        <v>20000</v>
      </c>
    </row>
    <row r="26" spans="1:14" ht="18.75" customHeight="1">
      <c r="A26" s="315"/>
      <c r="G26" s="7" t="s">
        <v>142</v>
      </c>
      <c r="H26" s="172">
        <v>2250</v>
      </c>
      <c r="I26" s="172">
        <v>80</v>
      </c>
      <c r="J26" s="172">
        <v>6000</v>
      </c>
      <c r="K26" s="172">
        <v>150</v>
      </c>
      <c r="L26" s="172">
        <v>400</v>
      </c>
      <c r="M26" s="44">
        <f t="shared" si="4"/>
        <v>6602.5</v>
      </c>
      <c r="N26" s="30">
        <f t="shared" si="2"/>
        <v>550</v>
      </c>
    </row>
    <row r="27" spans="1:14" ht="18.75" customHeight="1">
      <c r="A27" s="315"/>
    </row>
    <row r="28" spans="1:14" ht="18.75" customHeight="1">
      <c r="A28" s="316"/>
      <c r="B28" s="182" t="s">
        <v>150</v>
      </c>
      <c r="C28" s="181" t="s">
        <v>32</v>
      </c>
      <c r="D28" s="181" t="s">
        <v>33</v>
      </c>
      <c r="E28" s="181" t="s">
        <v>34</v>
      </c>
      <c r="F28" s="181" t="s">
        <v>162</v>
      </c>
    </row>
    <row r="29" spans="1:14" ht="15" customHeight="1">
      <c r="A29" s="19" t="s">
        <v>9</v>
      </c>
      <c r="B29" s="183">
        <v>545390187</v>
      </c>
      <c r="C29" s="184">
        <f t="shared" ref="C29:C43" si="5">B29*B5</f>
        <v>1636170561000</v>
      </c>
      <c r="D29" s="184">
        <f t="shared" ref="D29:D34" si="6">B29*C5</f>
        <v>545390187000</v>
      </c>
      <c r="E29" s="184">
        <f t="shared" ref="E29:E34" si="7">B29*D5</f>
        <v>0</v>
      </c>
      <c r="F29" s="44">
        <f t="shared" ref="F29:F43" si="8">E5*B29</f>
        <v>681737733750</v>
      </c>
      <c r="H29" s="253"/>
      <c r="I29" s="25" t="s">
        <v>191</v>
      </c>
      <c r="J29" s="253" t="s">
        <v>192</v>
      </c>
      <c r="K29" s="253" t="s">
        <v>193</v>
      </c>
    </row>
    <row r="30" spans="1:14" ht="15" customHeight="1">
      <c r="A30" s="19" t="s">
        <v>11</v>
      </c>
      <c r="B30" s="183"/>
      <c r="C30" s="184">
        <f t="shared" si="5"/>
        <v>0</v>
      </c>
      <c r="D30" s="184">
        <f t="shared" si="6"/>
        <v>0</v>
      </c>
      <c r="E30" s="184">
        <f t="shared" si="7"/>
        <v>0</v>
      </c>
      <c r="F30" s="44">
        <f t="shared" si="8"/>
        <v>0</v>
      </c>
      <c r="H30" s="253" t="s">
        <v>190</v>
      </c>
      <c r="I30" s="27">
        <v>10000</v>
      </c>
      <c r="J30" s="26">
        <f>I30*2000</f>
        <v>20000000</v>
      </c>
      <c r="K30" s="26">
        <f>I30*2000</f>
        <v>20000000</v>
      </c>
    </row>
    <row r="31" spans="1:14" ht="15" customHeight="1">
      <c r="A31" s="19" t="s">
        <v>12</v>
      </c>
      <c r="B31" s="183"/>
      <c r="C31" s="184">
        <f t="shared" si="5"/>
        <v>0</v>
      </c>
      <c r="D31" s="184">
        <f t="shared" si="6"/>
        <v>0</v>
      </c>
      <c r="E31" s="184">
        <f t="shared" si="7"/>
        <v>0</v>
      </c>
      <c r="F31" s="44">
        <f t="shared" si="8"/>
        <v>0</v>
      </c>
    </row>
    <row r="32" spans="1:14" ht="15.75" customHeight="1">
      <c r="A32" s="19" t="s">
        <v>13</v>
      </c>
      <c r="B32" s="183">
        <v>10000</v>
      </c>
      <c r="C32" s="184">
        <f t="shared" si="5"/>
        <v>450000000</v>
      </c>
      <c r="D32" s="184">
        <f t="shared" si="6"/>
        <v>150000000</v>
      </c>
      <c r="E32" s="184">
        <f t="shared" si="7"/>
        <v>0</v>
      </c>
      <c r="F32" s="44">
        <f t="shared" si="8"/>
        <v>187500000</v>
      </c>
    </row>
    <row r="33" spans="1:6" ht="15.75">
      <c r="A33" s="19" t="s">
        <v>14</v>
      </c>
      <c r="B33" s="183">
        <v>75000000</v>
      </c>
      <c r="C33" s="184">
        <f t="shared" si="5"/>
        <v>3750000000000</v>
      </c>
      <c r="D33" s="184">
        <f t="shared" si="6"/>
        <v>1875000000000</v>
      </c>
      <c r="E33" s="184">
        <f t="shared" si="7"/>
        <v>1125000000000</v>
      </c>
      <c r="F33" s="44">
        <f t="shared" si="8"/>
        <v>3000000000000</v>
      </c>
    </row>
    <row r="34" spans="1:6" ht="15.75">
      <c r="A34" s="19" t="s">
        <v>15</v>
      </c>
      <c r="B34" s="183"/>
      <c r="C34" s="184">
        <f t="shared" si="5"/>
        <v>0</v>
      </c>
      <c r="D34" s="184">
        <f t="shared" si="6"/>
        <v>0</v>
      </c>
      <c r="E34" s="184">
        <f t="shared" si="7"/>
        <v>0</v>
      </c>
      <c r="F34" s="44">
        <f t="shared" si="8"/>
        <v>0</v>
      </c>
    </row>
    <row r="35" spans="1:6" ht="15.75">
      <c r="A35" s="19" t="s">
        <v>16</v>
      </c>
      <c r="B35" s="183">
        <v>500</v>
      </c>
      <c r="C35" s="184">
        <f t="shared" si="5"/>
        <v>1250000000</v>
      </c>
      <c r="D35" s="184">
        <f>(B35*C11)</f>
        <v>1000000000</v>
      </c>
      <c r="E35" s="184">
        <f>(B35*D11)</f>
        <v>250000000</v>
      </c>
      <c r="F35" s="44">
        <f t="shared" si="8"/>
        <v>2125000000</v>
      </c>
    </row>
    <row r="36" spans="1:6" ht="15.75">
      <c r="A36" s="19" t="s">
        <v>17</v>
      </c>
      <c r="B36" s="183"/>
      <c r="C36" s="184">
        <f t="shared" si="5"/>
        <v>0</v>
      </c>
      <c r="D36" s="184">
        <f t="shared" ref="D36:D43" si="9">B36*C12</f>
        <v>0</v>
      </c>
      <c r="E36" s="184">
        <f t="shared" ref="E36:E43" si="10">B36*D12</f>
        <v>0</v>
      </c>
      <c r="F36" s="44">
        <f t="shared" si="8"/>
        <v>0</v>
      </c>
    </row>
    <row r="37" spans="1:6" ht="15.75">
      <c r="A37" s="19" t="s">
        <v>18</v>
      </c>
      <c r="B37" s="183"/>
      <c r="C37" s="184">
        <f t="shared" si="5"/>
        <v>0</v>
      </c>
      <c r="D37" s="184">
        <f t="shared" si="9"/>
        <v>0</v>
      </c>
      <c r="E37" s="184">
        <f t="shared" si="10"/>
        <v>0</v>
      </c>
      <c r="F37" s="44">
        <f t="shared" si="8"/>
        <v>0</v>
      </c>
    </row>
    <row r="38" spans="1:6" ht="15.75">
      <c r="A38" s="19" t="s">
        <v>67</v>
      </c>
      <c r="B38" s="183"/>
      <c r="C38" s="184">
        <f t="shared" si="5"/>
        <v>0</v>
      </c>
      <c r="D38" s="184">
        <f t="shared" si="9"/>
        <v>0</v>
      </c>
      <c r="E38" s="184">
        <f t="shared" si="10"/>
        <v>0</v>
      </c>
      <c r="F38" s="44">
        <f t="shared" si="8"/>
        <v>0</v>
      </c>
    </row>
    <row r="39" spans="1:6" ht="15.75">
      <c r="A39" s="19" t="s">
        <v>68</v>
      </c>
      <c r="B39" s="183"/>
      <c r="C39" s="184">
        <f t="shared" si="5"/>
        <v>0</v>
      </c>
      <c r="D39" s="184">
        <f t="shared" si="9"/>
        <v>0</v>
      </c>
      <c r="E39" s="184">
        <f t="shared" si="10"/>
        <v>0</v>
      </c>
      <c r="F39" s="44">
        <f t="shared" si="8"/>
        <v>0</v>
      </c>
    </row>
    <row r="40" spans="1:6" ht="15.75">
      <c r="A40" s="19" t="s">
        <v>75</v>
      </c>
      <c r="B40" s="183"/>
      <c r="C40" s="184">
        <f t="shared" si="5"/>
        <v>0</v>
      </c>
      <c r="D40" s="184">
        <f t="shared" si="9"/>
        <v>0</v>
      </c>
      <c r="E40" s="184">
        <f t="shared" si="10"/>
        <v>0</v>
      </c>
      <c r="F40" s="44">
        <f t="shared" si="8"/>
        <v>0</v>
      </c>
    </row>
    <row r="41" spans="1:6" ht="15.75">
      <c r="A41" s="13" t="s">
        <v>87</v>
      </c>
      <c r="B41" s="183"/>
      <c r="C41" s="184">
        <f t="shared" si="5"/>
        <v>0</v>
      </c>
      <c r="D41" s="184">
        <f t="shared" si="9"/>
        <v>0</v>
      </c>
      <c r="E41" s="184">
        <f t="shared" si="10"/>
        <v>0</v>
      </c>
      <c r="F41" s="44">
        <f t="shared" si="8"/>
        <v>0</v>
      </c>
    </row>
    <row r="42" spans="1:6" ht="15.75">
      <c r="A42" s="19" t="s">
        <v>61</v>
      </c>
      <c r="B42" s="183">
        <v>200000</v>
      </c>
      <c r="C42" s="184">
        <f t="shared" si="5"/>
        <v>2000000000</v>
      </c>
      <c r="D42" s="184">
        <f t="shared" si="9"/>
        <v>1200000000</v>
      </c>
      <c r="E42" s="184">
        <f t="shared" si="10"/>
        <v>400000000</v>
      </c>
      <c r="F42" s="44">
        <f t="shared" si="8"/>
        <v>1500000000</v>
      </c>
    </row>
    <row r="43" spans="1:6" ht="15.75">
      <c r="A43" s="7" t="s">
        <v>177</v>
      </c>
      <c r="B43" s="1"/>
      <c r="C43" s="184">
        <f t="shared" si="5"/>
        <v>0</v>
      </c>
      <c r="D43" s="184">
        <f t="shared" si="9"/>
        <v>0</v>
      </c>
      <c r="E43" s="184">
        <f t="shared" si="10"/>
        <v>0</v>
      </c>
      <c r="F43" s="44">
        <f t="shared" si="8"/>
        <v>0</v>
      </c>
    </row>
    <row r="44" spans="1:6" ht="15.75">
      <c r="C44" s="193" t="s">
        <v>153</v>
      </c>
      <c r="D44" s="193" t="s">
        <v>154</v>
      </c>
      <c r="E44" s="193" t="s">
        <v>155</v>
      </c>
      <c r="F44" s="193" t="s">
        <v>163</v>
      </c>
    </row>
    <row r="45" spans="1:6">
      <c r="C45" s="30">
        <f>SUM(C29:C42)</f>
        <v>5389870561000</v>
      </c>
      <c r="D45" s="30">
        <f>SUM(D29:D42)</f>
        <v>2422740187000</v>
      </c>
      <c r="E45" s="30">
        <f>SUM(E29:E42)</f>
        <v>1125650000000</v>
      </c>
      <c r="F45" s="30">
        <f>SUM(F29:F42)/1000</f>
        <v>3685550233.75</v>
      </c>
    </row>
    <row r="48" spans="1:6" ht="18.75" customHeight="1">
      <c r="A48" s="315" t="s">
        <v>156</v>
      </c>
    </row>
    <row r="49" spans="1:9" ht="18.75" customHeight="1">
      <c r="A49" s="315"/>
    </row>
    <row r="50" spans="1:9" ht="18.75" customHeight="1">
      <c r="A50" s="315"/>
    </row>
    <row r="51" spans="1:9" ht="18.75" customHeight="1">
      <c r="A51" s="316"/>
      <c r="B51" s="188" t="s">
        <v>150</v>
      </c>
      <c r="C51" s="187" t="s">
        <v>32</v>
      </c>
      <c r="D51" s="181" t="s">
        <v>33</v>
      </c>
      <c r="E51" s="181" t="s">
        <v>34</v>
      </c>
      <c r="F51" s="189" t="s">
        <v>157</v>
      </c>
      <c r="G51" s="189" t="s">
        <v>158</v>
      </c>
      <c r="H51" s="191" t="s">
        <v>165</v>
      </c>
      <c r="I51" s="191" t="s">
        <v>164</v>
      </c>
    </row>
    <row r="52" spans="1:9">
      <c r="A52" s="7" t="s">
        <v>121</v>
      </c>
      <c r="B52" s="190"/>
      <c r="C52" s="44">
        <f t="shared" ref="C52:C73" si="11">B52*H5</f>
        <v>0</v>
      </c>
      <c r="D52" s="44">
        <f t="shared" ref="D52:D73" si="12">B52*I5</f>
        <v>0</v>
      </c>
      <c r="E52" s="44">
        <f t="shared" ref="E52:E73" si="13">B52*J5</f>
        <v>0</v>
      </c>
      <c r="F52" s="44">
        <f t="shared" ref="F52:F73" si="14">B52*K5</f>
        <v>0</v>
      </c>
      <c r="G52" s="44">
        <f t="shared" ref="G52:G73" si="15">B52*L5</f>
        <v>0</v>
      </c>
      <c r="H52" s="44">
        <f t="shared" ref="H52:H73" si="16">B52*M5</f>
        <v>0</v>
      </c>
      <c r="I52" s="30">
        <f t="shared" ref="I52:I73" si="17">B52*N5</f>
        <v>0</v>
      </c>
    </row>
    <row r="53" spans="1:9">
      <c r="A53" s="7" t="s">
        <v>122</v>
      </c>
      <c r="B53" s="190"/>
      <c r="C53" s="44">
        <f t="shared" si="11"/>
        <v>0</v>
      </c>
      <c r="D53" s="44">
        <f t="shared" si="12"/>
        <v>0</v>
      </c>
      <c r="E53" s="44">
        <f t="shared" si="13"/>
        <v>0</v>
      </c>
      <c r="F53" s="44">
        <f t="shared" si="14"/>
        <v>0</v>
      </c>
      <c r="G53" s="44">
        <f t="shared" si="15"/>
        <v>0</v>
      </c>
      <c r="H53" s="44">
        <f t="shared" si="16"/>
        <v>0</v>
      </c>
      <c r="I53" s="30">
        <f t="shared" si="17"/>
        <v>0</v>
      </c>
    </row>
    <row r="54" spans="1:9" ht="15" customHeight="1">
      <c r="A54" s="7" t="s">
        <v>123</v>
      </c>
      <c r="B54" s="190">
        <v>30000000</v>
      </c>
      <c r="C54" s="44">
        <f t="shared" si="11"/>
        <v>6000000000</v>
      </c>
      <c r="D54" s="44">
        <f t="shared" si="12"/>
        <v>300000000</v>
      </c>
      <c r="E54" s="44">
        <f t="shared" si="13"/>
        <v>300000000</v>
      </c>
      <c r="F54" s="44">
        <f t="shared" si="14"/>
        <v>60000000</v>
      </c>
      <c r="G54" s="44">
        <f t="shared" si="15"/>
        <v>150000000</v>
      </c>
      <c r="H54" s="44">
        <f t="shared" si="16"/>
        <v>1950000000</v>
      </c>
      <c r="I54" s="30">
        <f t="shared" si="17"/>
        <v>210000000</v>
      </c>
    </row>
    <row r="55" spans="1:9" ht="15" customHeight="1">
      <c r="A55" s="7" t="s">
        <v>124</v>
      </c>
      <c r="B55" s="190"/>
      <c r="C55" s="44">
        <f t="shared" si="11"/>
        <v>0</v>
      </c>
      <c r="D55" s="44">
        <f t="shared" si="12"/>
        <v>0</v>
      </c>
      <c r="E55" s="44">
        <f t="shared" si="13"/>
        <v>0</v>
      </c>
      <c r="F55" s="44">
        <f t="shared" si="14"/>
        <v>0</v>
      </c>
      <c r="G55" s="44">
        <f t="shared" si="15"/>
        <v>0</v>
      </c>
      <c r="H55" s="44">
        <f t="shared" si="16"/>
        <v>0</v>
      </c>
      <c r="I55" s="30">
        <f t="shared" si="17"/>
        <v>0</v>
      </c>
    </row>
    <row r="56" spans="1:9" ht="15" customHeight="1">
      <c r="A56" s="7" t="s">
        <v>125</v>
      </c>
      <c r="B56" s="190"/>
      <c r="C56" s="44">
        <f t="shared" si="11"/>
        <v>0</v>
      </c>
      <c r="D56" s="44">
        <f t="shared" si="12"/>
        <v>0</v>
      </c>
      <c r="E56" s="44">
        <f t="shared" si="13"/>
        <v>0</v>
      </c>
      <c r="F56" s="44">
        <f t="shared" si="14"/>
        <v>0</v>
      </c>
      <c r="G56" s="44">
        <f t="shared" si="15"/>
        <v>0</v>
      </c>
      <c r="H56" s="44">
        <f t="shared" si="16"/>
        <v>0</v>
      </c>
      <c r="I56" s="30">
        <f t="shared" si="17"/>
        <v>0</v>
      </c>
    </row>
    <row r="57" spans="1:9" ht="15.75" customHeight="1">
      <c r="A57" s="7" t="s">
        <v>126</v>
      </c>
      <c r="B57" s="190"/>
      <c r="C57" s="44">
        <f t="shared" si="11"/>
        <v>0</v>
      </c>
      <c r="D57" s="44">
        <f t="shared" si="12"/>
        <v>0</v>
      </c>
      <c r="E57" s="44">
        <f t="shared" si="13"/>
        <v>0</v>
      </c>
      <c r="F57" s="44">
        <f t="shared" si="14"/>
        <v>0</v>
      </c>
      <c r="G57" s="44">
        <f t="shared" si="15"/>
        <v>0</v>
      </c>
      <c r="H57" s="44">
        <f t="shared" si="16"/>
        <v>0</v>
      </c>
      <c r="I57" s="30">
        <f t="shared" si="17"/>
        <v>0</v>
      </c>
    </row>
    <row r="58" spans="1:9">
      <c r="A58" s="7" t="s">
        <v>127</v>
      </c>
      <c r="B58" s="190"/>
      <c r="C58" s="44">
        <f t="shared" si="11"/>
        <v>0</v>
      </c>
      <c r="D58" s="44">
        <f t="shared" si="12"/>
        <v>0</v>
      </c>
      <c r="E58" s="44">
        <f t="shared" si="13"/>
        <v>0</v>
      </c>
      <c r="F58" s="44">
        <f t="shared" si="14"/>
        <v>0</v>
      </c>
      <c r="G58" s="44">
        <f t="shared" si="15"/>
        <v>0</v>
      </c>
      <c r="H58" s="44">
        <f t="shared" si="16"/>
        <v>0</v>
      </c>
      <c r="I58" s="30">
        <f t="shared" si="17"/>
        <v>0</v>
      </c>
    </row>
    <row r="59" spans="1:9">
      <c r="A59" s="7" t="s">
        <v>128</v>
      </c>
      <c r="B59" s="190"/>
      <c r="C59" s="44">
        <f t="shared" si="11"/>
        <v>0</v>
      </c>
      <c r="D59" s="44">
        <f t="shared" si="12"/>
        <v>0</v>
      </c>
      <c r="E59" s="44">
        <f t="shared" si="13"/>
        <v>0</v>
      </c>
      <c r="F59" s="44">
        <f t="shared" si="14"/>
        <v>0</v>
      </c>
      <c r="G59" s="44">
        <f t="shared" si="15"/>
        <v>0</v>
      </c>
      <c r="H59" s="44">
        <f t="shared" si="16"/>
        <v>0</v>
      </c>
      <c r="I59" s="30">
        <f t="shared" si="17"/>
        <v>0</v>
      </c>
    </row>
    <row r="60" spans="1:9">
      <c r="A60" s="7" t="s">
        <v>129</v>
      </c>
      <c r="B60" s="190"/>
      <c r="C60" s="44">
        <f t="shared" si="11"/>
        <v>0</v>
      </c>
      <c r="D60" s="44">
        <f t="shared" si="12"/>
        <v>0</v>
      </c>
      <c r="E60" s="44">
        <f t="shared" si="13"/>
        <v>0</v>
      </c>
      <c r="F60" s="44">
        <f t="shared" si="14"/>
        <v>0</v>
      </c>
      <c r="G60" s="44">
        <f t="shared" si="15"/>
        <v>0</v>
      </c>
      <c r="H60" s="44">
        <f t="shared" si="16"/>
        <v>0</v>
      </c>
      <c r="I60" s="30">
        <f t="shared" si="17"/>
        <v>0</v>
      </c>
    </row>
    <row r="61" spans="1:9">
      <c r="A61" s="7" t="s">
        <v>130</v>
      </c>
      <c r="B61" s="190"/>
      <c r="C61" s="44">
        <f t="shared" si="11"/>
        <v>0</v>
      </c>
      <c r="D61" s="44">
        <f t="shared" si="12"/>
        <v>0</v>
      </c>
      <c r="E61" s="44">
        <f t="shared" si="13"/>
        <v>0</v>
      </c>
      <c r="F61" s="44">
        <f t="shared" si="14"/>
        <v>0</v>
      </c>
      <c r="G61" s="44">
        <f t="shared" si="15"/>
        <v>0</v>
      </c>
      <c r="H61" s="44">
        <f t="shared" si="16"/>
        <v>0</v>
      </c>
      <c r="I61" s="30">
        <f t="shared" si="17"/>
        <v>0</v>
      </c>
    </row>
    <row r="62" spans="1:9">
      <c r="A62" s="7" t="s">
        <v>131</v>
      </c>
      <c r="B62" s="190"/>
      <c r="C62" s="44">
        <f t="shared" si="11"/>
        <v>0</v>
      </c>
      <c r="D62" s="44">
        <f t="shared" si="12"/>
        <v>0</v>
      </c>
      <c r="E62" s="44">
        <f t="shared" si="13"/>
        <v>0</v>
      </c>
      <c r="F62" s="44">
        <f t="shared" si="14"/>
        <v>0</v>
      </c>
      <c r="G62" s="44">
        <f t="shared" si="15"/>
        <v>0</v>
      </c>
      <c r="H62" s="44">
        <f t="shared" si="16"/>
        <v>0</v>
      </c>
      <c r="I62" s="30">
        <f t="shared" si="17"/>
        <v>0</v>
      </c>
    </row>
    <row r="63" spans="1:9">
      <c r="A63" s="7" t="s">
        <v>132</v>
      </c>
      <c r="B63" s="190"/>
      <c r="C63" s="44">
        <f t="shared" si="11"/>
        <v>0</v>
      </c>
      <c r="D63" s="44">
        <f t="shared" si="12"/>
        <v>0</v>
      </c>
      <c r="E63" s="44">
        <f t="shared" si="13"/>
        <v>0</v>
      </c>
      <c r="F63" s="44">
        <f t="shared" si="14"/>
        <v>0</v>
      </c>
      <c r="G63" s="44">
        <f t="shared" si="15"/>
        <v>0</v>
      </c>
      <c r="H63" s="44">
        <f t="shared" si="16"/>
        <v>0</v>
      </c>
      <c r="I63" s="30">
        <f t="shared" si="17"/>
        <v>0</v>
      </c>
    </row>
    <row r="64" spans="1:9">
      <c r="A64" s="7" t="s">
        <v>133</v>
      </c>
      <c r="B64" s="190"/>
      <c r="C64" s="44">
        <f t="shared" si="11"/>
        <v>0</v>
      </c>
      <c r="D64" s="44">
        <f t="shared" si="12"/>
        <v>0</v>
      </c>
      <c r="E64" s="44">
        <f t="shared" si="13"/>
        <v>0</v>
      </c>
      <c r="F64" s="44">
        <f t="shared" si="14"/>
        <v>0</v>
      </c>
      <c r="G64" s="44">
        <f t="shared" si="15"/>
        <v>0</v>
      </c>
      <c r="H64" s="44">
        <f t="shared" si="16"/>
        <v>0</v>
      </c>
      <c r="I64" s="30">
        <f t="shared" si="17"/>
        <v>0</v>
      </c>
    </row>
    <row r="65" spans="1:15">
      <c r="A65" s="7" t="s">
        <v>134</v>
      </c>
      <c r="B65" s="190">
        <v>50000000</v>
      </c>
      <c r="C65" s="44">
        <f t="shared" si="11"/>
        <v>100000000000</v>
      </c>
      <c r="D65" s="44">
        <f t="shared" si="12"/>
        <v>100000000000</v>
      </c>
      <c r="E65" s="44">
        <f t="shared" si="13"/>
        <v>0</v>
      </c>
      <c r="F65" s="44">
        <f t="shared" si="14"/>
        <v>0</v>
      </c>
      <c r="G65" s="44">
        <f t="shared" si="15"/>
        <v>0</v>
      </c>
      <c r="H65" s="44">
        <f t="shared" si="16"/>
        <v>75000000000</v>
      </c>
      <c r="I65" s="30">
        <f t="shared" si="17"/>
        <v>0</v>
      </c>
    </row>
    <row r="66" spans="1:15">
      <c r="A66" s="7" t="s">
        <v>135</v>
      </c>
      <c r="B66" s="190">
        <v>50000000</v>
      </c>
      <c r="C66" s="44">
        <f t="shared" si="11"/>
        <v>200000000000</v>
      </c>
      <c r="D66" s="44">
        <f t="shared" si="12"/>
        <v>100000000000</v>
      </c>
      <c r="E66" s="44">
        <f t="shared" si="13"/>
        <v>0</v>
      </c>
      <c r="F66" s="44">
        <f t="shared" si="14"/>
        <v>0</v>
      </c>
      <c r="G66" s="44">
        <f t="shared" si="15"/>
        <v>0</v>
      </c>
      <c r="H66" s="44">
        <f t="shared" si="16"/>
        <v>100000000000</v>
      </c>
      <c r="I66" s="30">
        <f t="shared" si="17"/>
        <v>0</v>
      </c>
    </row>
    <row r="67" spans="1:15">
      <c r="A67" s="7" t="s">
        <v>136</v>
      </c>
      <c r="B67" s="190"/>
      <c r="C67" s="44">
        <f t="shared" si="11"/>
        <v>0</v>
      </c>
      <c r="D67" s="44">
        <f t="shared" si="12"/>
        <v>0</v>
      </c>
      <c r="E67" s="44">
        <f t="shared" si="13"/>
        <v>0</v>
      </c>
      <c r="F67" s="44">
        <f t="shared" si="14"/>
        <v>0</v>
      </c>
      <c r="G67" s="44">
        <f t="shared" si="15"/>
        <v>0</v>
      </c>
      <c r="H67" s="44">
        <f t="shared" si="16"/>
        <v>0</v>
      </c>
      <c r="I67" s="30">
        <f t="shared" si="17"/>
        <v>0</v>
      </c>
    </row>
    <row r="68" spans="1:15">
      <c r="A68" s="7" t="s">
        <v>137</v>
      </c>
      <c r="B68" s="190">
        <v>210000000</v>
      </c>
      <c r="C68" s="44">
        <f t="shared" si="11"/>
        <v>1680000000000</v>
      </c>
      <c r="D68" s="44">
        <f t="shared" si="12"/>
        <v>420000000000</v>
      </c>
      <c r="E68" s="44">
        <f t="shared" si="13"/>
        <v>0</v>
      </c>
      <c r="F68" s="44">
        <f t="shared" si="14"/>
        <v>0</v>
      </c>
      <c r="G68" s="44">
        <f t="shared" si="15"/>
        <v>0</v>
      </c>
      <c r="H68" s="44">
        <f t="shared" si="16"/>
        <v>630000000000</v>
      </c>
      <c r="I68" s="30">
        <f t="shared" si="17"/>
        <v>0</v>
      </c>
    </row>
    <row r="69" spans="1:15">
      <c r="A69" s="7" t="s">
        <v>138</v>
      </c>
      <c r="B69" s="190"/>
      <c r="C69" s="44">
        <f t="shared" si="11"/>
        <v>0</v>
      </c>
      <c r="D69" s="44">
        <f t="shared" si="12"/>
        <v>0</v>
      </c>
      <c r="E69" s="44">
        <f t="shared" si="13"/>
        <v>0</v>
      </c>
      <c r="F69" s="44">
        <f t="shared" si="14"/>
        <v>0</v>
      </c>
      <c r="G69" s="44">
        <f t="shared" si="15"/>
        <v>0</v>
      </c>
      <c r="H69" s="44">
        <f t="shared" si="16"/>
        <v>0</v>
      </c>
      <c r="I69" s="30">
        <f t="shared" si="17"/>
        <v>0</v>
      </c>
    </row>
    <row r="70" spans="1:15">
      <c r="A70" s="7" t="s">
        <v>139</v>
      </c>
      <c r="B70" s="190"/>
      <c r="C70" s="44">
        <f t="shared" si="11"/>
        <v>0</v>
      </c>
      <c r="D70" s="44">
        <f t="shared" si="12"/>
        <v>0</v>
      </c>
      <c r="E70" s="44">
        <f t="shared" si="13"/>
        <v>0</v>
      </c>
      <c r="F70" s="44">
        <f t="shared" si="14"/>
        <v>0</v>
      </c>
      <c r="G70" s="44">
        <f t="shared" si="15"/>
        <v>0</v>
      </c>
      <c r="H70" s="44">
        <f t="shared" si="16"/>
        <v>0</v>
      </c>
      <c r="I70" s="30">
        <f t="shared" si="17"/>
        <v>0</v>
      </c>
    </row>
    <row r="71" spans="1:15">
      <c r="A71" s="7" t="s">
        <v>140</v>
      </c>
      <c r="B71" s="190"/>
      <c r="C71" s="44">
        <f t="shared" si="11"/>
        <v>0</v>
      </c>
      <c r="D71" s="44">
        <f t="shared" si="12"/>
        <v>0</v>
      </c>
      <c r="E71" s="44">
        <f t="shared" si="13"/>
        <v>0</v>
      </c>
      <c r="F71" s="44">
        <f t="shared" si="14"/>
        <v>0</v>
      </c>
      <c r="G71" s="44">
        <f t="shared" si="15"/>
        <v>0</v>
      </c>
      <c r="H71" s="44">
        <f t="shared" si="16"/>
        <v>0</v>
      </c>
      <c r="I71" s="30">
        <f t="shared" si="17"/>
        <v>0</v>
      </c>
    </row>
    <row r="72" spans="1:15">
      <c r="A72" s="7" t="s">
        <v>141</v>
      </c>
      <c r="B72" s="190"/>
      <c r="C72" s="44">
        <f t="shared" si="11"/>
        <v>0</v>
      </c>
      <c r="D72" s="44">
        <f t="shared" si="12"/>
        <v>0</v>
      </c>
      <c r="E72" s="44">
        <f t="shared" si="13"/>
        <v>0</v>
      </c>
      <c r="F72" s="44">
        <f t="shared" si="14"/>
        <v>0</v>
      </c>
      <c r="G72" s="44">
        <f t="shared" si="15"/>
        <v>0</v>
      </c>
      <c r="H72" s="44">
        <f t="shared" si="16"/>
        <v>0</v>
      </c>
      <c r="I72" s="30">
        <f t="shared" si="17"/>
        <v>0</v>
      </c>
    </row>
    <row r="73" spans="1:15">
      <c r="A73" s="7" t="s">
        <v>142</v>
      </c>
      <c r="B73" s="190">
        <v>500000</v>
      </c>
      <c r="C73" s="44">
        <f t="shared" si="11"/>
        <v>1125000000</v>
      </c>
      <c r="D73" s="44">
        <f t="shared" si="12"/>
        <v>40000000</v>
      </c>
      <c r="E73" s="44">
        <f t="shared" si="13"/>
        <v>3000000000</v>
      </c>
      <c r="F73" s="44">
        <f t="shared" si="14"/>
        <v>75000000</v>
      </c>
      <c r="G73" s="44">
        <f t="shared" si="15"/>
        <v>200000000</v>
      </c>
      <c r="H73" s="44">
        <f t="shared" si="16"/>
        <v>3301250000</v>
      </c>
      <c r="I73" s="30">
        <f t="shared" si="17"/>
        <v>275000000</v>
      </c>
    </row>
    <row r="75" spans="1:15" ht="15.75">
      <c r="C75" s="186" t="s">
        <v>153</v>
      </c>
      <c r="D75" s="186" t="s">
        <v>154</v>
      </c>
      <c r="E75" s="186" t="s">
        <v>155</v>
      </c>
      <c r="F75" s="186" t="s">
        <v>159</v>
      </c>
      <c r="G75" s="186" t="s">
        <v>160</v>
      </c>
      <c r="H75" s="186" t="s">
        <v>163</v>
      </c>
      <c r="I75" s="186" t="s">
        <v>164</v>
      </c>
    </row>
    <row r="76" spans="1:15">
      <c r="C76" s="30">
        <f>SUM(C52:C73)</f>
        <v>1987125000000</v>
      </c>
      <c r="D76" s="30">
        <f>SUM(D52:D73)</f>
        <v>620340000000</v>
      </c>
      <c r="E76" s="30">
        <f>SUM(E52:F73)</f>
        <v>3435000000</v>
      </c>
      <c r="F76" s="30">
        <f>SUM(F52:F73)</f>
        <v>135000000</v>
      </c>
      <c r="G76" s="30">
        <f>SUM(G52:G73)</f>
        <v>350000000</v>
      </c>
      <c r="H76" s="30">
        <f>SUM(H52:H73)/1000</f>
        <v>810251250</v>
      </c>
      <c r="I76" s="30">
        <f>SUM(I52:I73)</f>
        <v>485000000</v>
      </c>
    </row>
    <row r="79" spans="1:15" ht="15.75" thickBot="1">
      <c r="O79" s="112"/>
    </row>
    <row r="80" spans="1:15" ht="18.75" customHeight="1">
      <c r="C80" s="327" t="s">
        <v>161</v>
      </c>
      <c r="D80" s="328"/>
      <c r="E80" s="328"/>
      <c r="F80" s="328"/>
      <c r="G80" s="328"/>
      <c r="H80" s="329"/>
      <c r="O80" s="171"/>
    </row>
    <row r="81" spans="1:8">
      <c r="C81" s="330"/>
      <c r="D81" s="331"/>
      <c r="E81" s="331"/>
      <c r="F81" s="331"/>
      <c r="G81" s="331"/>
      <c r="H81" s="332"/>
    </row>
    <row r="82" spans="1:8" ht="15.75" thickBot="1">
      <c r="C82" s="333"/>
      <c r="D82" s="334"/>
      <c r="E82" s="334"/>
      <c r="F82" s="334"/>
      <c r="G82" s="334"/>
      <c r="H82" s="335"/>
    </row>
    <row r="83" spans="1:8" ht="15" customHeight="1">
      <c r="C83" s="194" t="s">
        <v>153</v>
      </c>
      <c r="D83" s="193" t="s">
        <v>154</v>
      </c>
      <c r="E83" s="193" t="s">
        <v>155</v>
      </c>
      <c r="F83" s="193" t="s">
        <v>159</v>
      </c>
      <c r="G83" s="193" t="s">
        <v>160</v>
      </c>
      <c r="H83" s="195" t="s">
        <v>166</v>
      </c>
    </row>
    <row r="84" spans="1:8" ht="15" customHeight="1" thickBot="1">
      <c r="C84" s="196">
        <f>C76+C45</f>
        <v>7376995561000</v>
      </c>
      <c r="D84" s="197">
        <f>D45+D76</f>
        <v>3043080187000</v>
      </c>
      <c r="E84" s="197">
        <f>E45+E76</f>
        <v>1129085000000</v>
      </c>
      <c r="F84" s="197">
        <f>F76</f>
        <v>135000000</v>
      </c>
      <c r="G84" s="197">
        <f>G76</f>
        <v>350000000</v>
      </c>
      <c r="H84" s="198">
        <f>F45+H76</f>
        <v>4495801483.75</v>
      </c>
    </row>
    <row r="85" spans="1:8" ht="15" customHeight="1"/>
    <row r="88" spans="1:8" ht="18.75" customHeight="1">
      <c r="A88" s="315" t="s">
        <v>168</v>
      </c>
    </row>
    <row r="89" spans="1:8" ht="18.75" customHeight="1">
      <c r="A89" s="315"/>
    </row>
    <row r="90" spans="1:8" ht="15" customHeight="1">
      <c r="A90" s="315"/>
    </row>
    <row r="91" spans="1:8" ht="15" customHeight="1">
      <c r="A91" s="316"/>
      <c r="B91" s="182" t="s">
        <v>150</v>
      </c>
      <c r="C91" s="181" t="s">
        <v>32</v>
      </c>
      <c r="D91" s="181" t="s">
        <v>33</v>
      </c>
      <c r="E91" s="181" t="s">
        <v>34</v>
      </c>
      <c r="F91" s="181" t="s">
        <v>162</v>
      </c>
    </row>
    <row r="92" spans="1:8" ht="15" customHeight="1">
      <c r="A92" s="7" t="s">
        <v>24</v>
      </c>
      <c r="B92" s="183"/>
      <c r="C92" s="184">
        <f>B92*U8</f>
        <v>0</v>
      </c>
      <c r="D92" s="184">
        <f>B92*V8</f>
        <v>0</v>
      </c>
      <c r="E92" s="184">
        <f>B92*W8</f>
        <v>0</v>
      </c>
      <c r="F92" s="44">
        <f>B92*X8</f>
        <v>0</v>
      </c>
    </row>
    <row r="93" spans="1:8" ht="15.75">
      <c r="A93" s="7" t="s">
        <v>26</v>
      </c>
      <c r="B93" s="183"/>
      <c r="C93" s="184">
        <f t="shared" ref="C93:C98" si="18">B93*U9</f>
        <v>0</v>
      </c>
      <c r="D93" s="184">
        <f t="shared" ref="D93:D98" si="19">B93*V9</f>
        <v>0</v>
      </c>
      <c r="E93" s="184">
        <f t="shared" ref="E93:E98" si="20">B93*W9</f>
        <v>0</v>
      </c>
      <c r="F93" s="44">
        <f t="shared" ref="F93:F98" si="21">B93*X9</f>
        <v>0</v>
      </c>
    </row>
    <row r="94" spans="1:8" ht="15.75">
      <c r="A94" s="7" t="s">
        <v>27</v>
      </c>
      <c r="B94" s="183"/>
      <c r="C94" s="184">
        <f t="shared" si="18"/>
        <v>0</v>
      </c>
      <c r="D94" s="184">
        <f t="shared" si="19"/>
        <v>0</v>
      </c>
      <c r="E94" s="184">
        <f t="shared" si="20"/>
        <v>0</v>
      </c>
      <c r="F94" s="44">
        <f t="shared" si="21"/>
        <v>0</v>
      </c>
    </row>
    <row r="95" spans="1:8" ht="15.75">
      <c r="A95" s="7" t="s">
        <v>28</v>
      </c>
      <c r="B95" s="183"/>
      <c r="C95" s="184">
        <f t="shared" si="18"/>
        <v>0</v>
      </c>
      <c r="D95" s="184">
        <f t="shared" si="19"/>
        <v>0</v>
      </c>
      <c r="E95" s="184">
        <f t="shared" si="20"/>
        <v>0</v>
      </c>
      <c r="F95" s="44">
        <f t="shared" si="21"/>
        <v>0</v>
      </c>
    </row>
    <row r="96" spans="1:8" ht="15.75">
      <c r="A96" s="7" t="s">
        <v>29</v>
      </c>
      <c r="B96" s="183"/>
      <c r="C96" s="184">
        <f t="shared" si="18"/>
        <v>0</v>
      </c>
      <c r="D96" s="184">
        <f t="shared" si="19"/>
        <v>0</v>
      </c>
      <c r="E96" s="184">
        <f t="shared" si="20"/>
        <v>0</v>
      </c>
      <c r="F96" s="44">
        <f t="shared" si="21"/>
        <v>0</v>
      </c>
    </row>
    <row r="97" spans="1:8" ht="15.75">
      <c r="A97" s="7" t="s">
        <v>30</v>
      </c>
      <c r="B97" s="183">
        <v>10000000</v>
      </c>
      <c r="C97" s="184">
        <f t="shared" si="18"/>
        <v>500000000000</v>
      </c>
      <c r="D97" s="184">
        <f t="shared" si="19"/>
        <v>500000000000</v>
      </c>
      <c r="E97" s="184">
        <f t="shared" si="20"/>
        <v>300000000000</v>
      </c>
      <c r="F97" s="44">
        <f t="shared" si="21"/>
        <v>675000000000</v>
      </c>
    </row>
    <row r="98" spans="1:8" ht="15.75">
      <c r="A98" s="7" t="s">
        <v>31</v>
      </c>
      <c r="B98" s="183"/>
      <c r="C98" s="184">
        <f t="shared" si="18"/>
        <v>0</v>
      </c>
      <c r="D98" s="184">
        <f t="shared" si="19"/>
        <v>0</v>
      </c>
      <c r="E98" s="184">
        <f t="shared" si="20"/>
        <v>0</v>
      </c>
      <c r="F98" s="44">
        <f t="shared" si="21"/>
        <v>0</v>
      </c>
    </row>
    <row r="99" spans="1:8" ht="15.75">
      <c r="A99" s="217"/>
      <c r="B99" s="218"/>
      <c r="C99" s="218"/>
      <c r="D99" s="218"/>
      <c r="E99" s="218"/>
      <c r="F99" s="219"/>
    </row>
    <row r="100" spans="1:8" ht="15.75">
      <c r="A100" s="217"/>
      <c r="B100" s="218"/>
      <c r="C100" s="185" t="s">
        <v>153</v>
      </c>
      <c r="D100" s="185" t="s">
        <v>154</v>
      </c>
      <c r="E100" s="185" t="s">
        <v>155</v>
      </c>
      <c r="F100" s="185" t="s">
        <v>163</v>
      </c>
      <c r="G100" s="185" t="s">
        <v>176</v>
      </c>
    </row>
    <row r="101" spans="1:8" ht="15.75">
      <c r="A101" s="217"/>
      <c r="B101" s="218"/>
      <c r="C101" s="30">
        <f>SUM(C92:C98)</f>
        <v>500000000000</v>
      </c>
      <c r="D101" s="30">
        <f>SUM(D92:D98)</f>
        <v>500000000000</v>
      </c>
      <c r="E101" s="30">
        <f>SUM(E92:E98)</f>
        <v>300000000000</v>
      </c>
      <c r="F101" s="30">
        <f>SUM(F92:F98)/1000</f>
        <v>675000000</v>
      </c>
      <c r="G101" s="30">
        <f>F101*1000</f>
        <v>675000000000</v>
      </c>
    </row>
    <row r="102" spans="1:8" ht="15.75">
      <c r="A102" s="217"/>
      <c r="B102" s="218"/>
      <c r="C102" s="218"/>
      <c r="D102" s="218"/>
      <c r="E102" s="218"/>
      <c r="F102" s="219"/>
    </row>
    <row r="103" spans="1:8" ht="15.75">
      <c r="A103" s="217"/>
      <c r="B103" s="218"/>
      <c r="C103" s="218"/>
      <c r="D103" s="218"/>
      <c r="E103" s="218"/>
      <c r="F103" s="219"/>
    </row>
    <row r="104" spans="1:8" ht="15.75">
      <c r="A104" s="217"/>
      <c r="B104" s="218"/>
      <c r="C104" s="218"/>
      <c r="D104" s="218"/>
      <c r="E104" s="218"/>
      <c r="F104" s="219"/>
    </row>
    <row r="105" spans="1:8" ht="15.75">
      <c r="A105" s="217"/>
      <c r="B105" s="218"/>
      <c r="C105" s="218"/>
      <c r="D105" s="218"/>
      <c r="E105" s="218"/>
      <c r="F105" s="219"/>
    </row>
    <row r="110" spans="1:8" ht="15.75" thickBot="1"/>
    <row r="111" spans="1:8">
      <c r="C111" s="317" t="s">
        <v>169</v>
      </c>
      <c r="D111" s="318"/>
      <c r="E111" s="318"/>
      <c r="F111" s="318"/>
      <c r="G111" s="318"/>
      <c r="H111" s="319"/>
    </row>
    <row r="112" spans="1:8">
      <c r="C112" s="320"/>
      <c r="D112" s="321"/>
      <c r="E112" s="321"/>
      <c r="F112" s="321"/>
      <c r="G112" s="321"/>
      <c r="H112" s="322"/>
    </row>
    <row r="113" spans="3:8">
      <c r="C113" s="320"/>
      <c r="D113" s="321"/>
      <c r="E113" s="321"/>
      <c r="F113" s="321"/>
      <c r="G113" s="321"/>
      <c r="H113" s="322"/>
    </row>
    <row r="114" spans="3:8" ht="15.75" thickBot="1">
      <c r="C114" s="323"/>
      <c r="D114" s="324"/>
      <c r="E114" s="324"/>
      <c r="F114" s="324"/>
      <c r="G114" s="324"/>
      <c r="H114" s="325"/>
    </row>
    <row r="115" spans="3:8" ht="15.75">
      <c r="C115" s="194" t="s">
        <v>153</v>
      </c>
      <c r="D115" s="193" t="s">
        <v>154</v>
      </c>
      <c r="E115" s="193" t="s">
        <v>155</v>
      </c>
      <c r="F115" s="193" t="s">
        <v>159</v>
      </c>
      <c r="G115" s="193" t="s">
        <v>160</v>
      </c>
      <c r="H115" s="195" t="s">
        <v>166</v>
      </c>
    </row>
    <row r="116" spans="3:8" ht="15.75" thickBot="1">
      <c r="C116" s="196">
        <f>C84+C101</f>
        <v>7876995561000</v>
      </c>
      <c r="D116" s="197">
        <f>D84+D101</f>
        <v>3543080187000</v>
      </c>
      <c r="E116" s="197">
        <f>D84+D101</f>
        <v>3543080187000</v>
      </c>
      <c r="F116" s="197">
        <f>F84</f>
        <v>135000000</v>
      </c>
      <c r="G116" s="197">
        <f>G76</f>
        <v>350000000</v>
      </c>
      <c r="H116" s="198">
        <f>H84+F101</f>
        <v>5170801483.75</v>
      </c>
    </row>
    <row r="120" spans="3:8">
      <c r="E120" s="221"/>
      <c r="F120" s="25" t="s">
        <v>92</v>
      </c>
      <c r="G120" s="35" t="s">
        <v>20</v>
      </c>
    </row>
    <row r="121" spans="3:8">
      <c r="E121" s="35" t="s">
        <v>174</v>
      </c>
      <c r="F121" s="27"/>
      <c r="G121" s="26">
        <f>F121*F20</f>
        <v>0</v>
      </c>
    </row>
    <row r="122" spans="3:8">
      <c r="E122" s="35" t="s">
        <v>177</v>
      </c>
      <c r="F122" s="27">
        <v>1500000</v>
      </c>
      <c r="G122" s="26">
        <f>F122*F19</f>
        <v>150000000000</v>
      </c>
    </row>
    <row r="123" spans="3:8">
      <c r="E123" s="35" t="s">
        <v>87</v>
      </c>
      <c r="F123" s="27">
        <v>400000</v>
      </c>
      <c r="G123" s="26">
        <f>F123*F17</f>
        <v>160000000000</v>
      </c>
    </row>
    <row r="124" spans="3:8">
      <c r="E124" s="35" t="s">
        <v>61</v>
      </c>
      <c r="F124" s="27"/>
      <c r="G124" s="26">
        <f>F124*F18</f>
        <v>0</v>
      </c>
    </row>
    <row r="126" spans="3:8" ht="18.75">
      <c r="G126" s="220" t="s">
        <v>175</v>
      </c>
    </row>
    <row r="127" spans="3:8" ht="18.75">
      <c r="G127" s="246">
        <f>G121+G122+G123+G124</f>
        <v>310000000000</v>
      </c>
    </row>
  </sheetData>
  <mergeCells count="10">
    <mergeCell ref="P4:P6"/>
    <mergeCell ref="X4:X7"/>
    <mergeCell ref="A25:A28"/>
    <mergeCell ref="C80:H82"/>
    <mergeCell ref="A88:A91"/>
    <mergeCell ref="G1:G3"/>
    <mergeCell ref="A2:A4"/>
    <mergeCell ref="E1:E4"/>
    <mergeCell ref="A48:A51"/>
    <mergeCell ref="C111:H114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topLeftCell="A7" workbookViewId="0">
      <selection activeCell="H26" sqref="H26"/>
    </sheetView>
  </sheetViews>
  <sheetFormatPr baseColWidth="10" defaultRowHeight="15"/>
  <cols>
    <col min="1" max="1" width="18.85546875" customWidth="1"/>
    <col min="2" max="2" width="11.42578125" customWidth="1"/>
    <col min="3" max="3" width="20.28515625" customWidth="1"/>
    <col min="4" max="4" width="23.7109375" customWidth="1"/>
    <col min="5" max="5" width="20.42578125" customWidth="1"/>
    <col min="6" max="6" width="21.140625" customWidth="1"/>
    <col min="7" max="7" width="18.7109375" customWidth="1"/>
    <col min="9" max="9" width="19.140625" customWidth="1"/>
  </cols>
  <sheetData>
    <row r="1" spans="1:13" ht="15.75" thickBot="1"/>
    <row r="2" spans="1:13" ht="18.75">
      <c r="E2" s="336" t="s">
        <v>170</v>
      </c>
      <c r="F2" s="337"/>
      <c r="G2" s="338"/>
    </row>
    <row r="3" spans="1:13">
      <c r="E3" s="230" t="s">
        <v>171</v>
      </c>
      <c r="F3" s="230" t="s">
        <v>172</v>
      </c>
      <c r="G3" s="230" t="s">
        <v>173</v>
      </c>
    </row>
    <row r="6" spans="1:13" ht="21.75" customHeight="1">
      <c r="M6" s="313" t="s">
        <v>59</v>
      </c>
    </row>
    <row r="7" spans="1:13" ht="19.5" customHeight="1">
      <c r="A7" s="222"/>
      <c r="B7" s="226" t="s">
        <v>92</v>
      </c>
      <c r="C7" s="225" t="s">
        <v>111</v>
      </c>
      <c r="D7" s="225" t="s">
        <v>81</v>
      </c>
      <c r="E7" s="225" t="s">
        <v>82</v>
      </c>
      <c r="I7" s="311" t="s">
        <v>151</v>
      </c>
      <c r="M7" s="313"/>
    </row>
    <row r="8" spans="1:13" ht="15.75" customHeight="1">
      <c r="A8" s="19" t="s">
        <v>9</v>
      </c>
      <c r="B8" s="227">
        <v>5085298</v>
      </c>
      <c r="C8" s="26">
        <f>(B8*J10)*0.75</f>
        <v>11441920500</v>
      </c>
      <c r="D8" s="26">
        <f>(B8*K10)*0.75</f>
        <v>3813973500</v>
      </c>
      <c r="E8" s="26">
        <f>(B8*L10)*0.5</f>
        <v>0</v>
      </c>
      <c r="I8" s="311"/>
      <c r="M8" s="313"/>
    </row>
    <row r="9" spans="1:13" ht="15.75">
      <c r="A9" s="19" t="s">
        <v>11</v>
      </c>
      <c r="B9" s="227">
        <v>5042533</v>
      </c>
      <c r="C9" s="26">
        <f t="shared" ref="C9:C22" si="0">(B9*J11)*0.75</f>
        <v>22691398500</v>
      </c>
      <c r="D9" s="26">
        <f t="shared" ref="D9:D22" si="1">(B9*K11)*0.75</f>
        <v>15127599000</v>
      </c>
      <c r="E9" s="26">
        <f t="shared" ref="E9:E22" si="2">(B9*L11)*0.5</f>
        <v>0</v>
      </c>
      <c r="I9" s="312"/>
      <c r="J9" s="180" t="s">
        <v>32</v>
      </c>
      <c r="K9" s="180" t="s">
        <v>33</v>
      </c>
      <c r="L9" s="180" t="s">
        <v>34</v>
      </c>
      <c r="M9" s="314"/>
    </row>
    <row r="10" spans="1:13">
      <c r="A10" s="19" t="s">
        <v>12</v>
      </c>
      <c r="B10" s="227">
        <v>5031259</v>
      </c>
      <c r="C10" s="26">
        <f t="shared" si="0"/>
        <v>75468885000</v>
      </c>
      <c r="D10" s="26">
        <f t="shared" si="1"/>
        <v>26414109750</v>
      </c>
      <c r="E10" s="26">
        <f t="shared" si="2"/>
        <v>5031259000</v>
      </c>
      <c r="I10" s="19" t="s">
        <v>9</v>
      </c>
      <c r="J10" s="102">
        <v>3000</v>
      </c>
      <c r="K10" s="102">
        <v>1000</v>
      </c>
      <c r="L10" s="45"/>
      <c r="M10" s="110">
        <f>(0.25*J10)+(0.5*K10)+L10</f>
        <v>1250</v>
      </c>
    </row>
    <row r="11" spans="1:13">
      <c r="A11" s="19" t="s">
        <v>13</v>
      </c>
      <c r="B11" s="227">
        <v>5008523</v>
      </c>
      <c r="C11" s="26">
        <f t="shared" si="0"/>
        <v>169037651250</v>
      </c>
      <c r="D11" s="26">
        <f t="shared" si="1"/>
        <v>56345883750</v>
      </c>
      <c r="E11" s="26">
        <f t="shared" si="2"/>
        <v>0</v>
      </c>
      <c r="I11" s="19" t="s">
        <v>11</v>
      </c>
      <c r="J11" s="103">
        <v>6000</v>
      </c>
      <c r="K11" s="103">
        <v>4000</v>
      </c>
      <c r="L11" s="45"/>
      <c r="M11" s="111">
        <f t="shared" ref="M11:M25" si="3">(0.25*J11)+(0.5*K11)+L11</f>
        <v>3500</v>
      </c>
    </row>
    <row r="12" spans="1:13">
      <c r="A12" s="19" t="s">
        <v>14</v>
      </c>
      <c r="B12" s="227">
        <v>5041090</v>
      </c>
      <c r="C12" s="26">
        <f t="shared" si="0"/>
        <v>189040875000</v>
      </c>
      <c r="D12" s="26">
        <f t="shared" si="1"/>
        <v>94520437500</v>
      </c>
      <c r="E12" s="26">
        <f t="shared" si="2"/>
        <v>37808175000</v>
      </c>
      <c r="I12" s="19" t="s">
        <v>12</v>
      </c>
      <c r="J12" s="104">
        <v>20000</v>
      </c>
      <c r="K12" s="104">
        <v>7000</v>
      </c>
      <c r="L12" s="105">
        <v>2000</v>
      </c>
      <c r="M12" s="109">
        <f t="shared" si="3"/>
        <v>10500</v>
      </c>
    </row>
    <row r="13" spans="1:13">
      <c r="A13" s="19" t="s">
        <v>15</v>
      </c>
      <c r="B13" s="227"/>
      <c r="C13" s="26">
        <f t="shared" si="0"/>
        <v>0</v>
      </c>
      <c r="D13" s="26">
        <f t="shared" si="1"/>
        <v>0</v>
      </c>
      <c r="E13" s="26">
        <f t="shared" si="2"/>
        <v>0</v>
      </c>
      <c r="I13" s="19" t="s">
        <v>13</v>
      </c>
      <c r="J13" s="32">
        <v>45000</v>
      </c>
      <c r="K13" s="32">
        <v>15000</v>
      </c>
      <c r="L13" s="45"/>
      <c r="M13" s="30">
        <f t="shared" si="3"/>
        <v>18750</v>
      </c>
    </row>
    <row r="14" spans="1:13">
      <c r="A14" s="228" t="s">
        <v>16</v>
      </c>
      <c r="B14" s="229"/>
      <c r="C14" s="229">
        <f t="shared" si="0"/>
        <v>0</v>
      </c>
      <c r="D14" s="229">
        <f t="shared" si="1"/>
        <v>0</v>
      </c>
      <c r="E14" s="229">
        <f t="shared" si="2"/>
        <v>0</v>
      </c>
      <c r="I14" s="19" t="s">
        <v>14</v>
      </c>
      <c r="J14" s="32">
        <v>50000</v>
      </c>
      <c r="K14" s="32">
        <v>25000</v>
      </c>
      <c r="L14" s="106">
        <v>15000</v>
      </c>
      <c r="M14" s="30">
        <f t="shared" si="3"/>
        <v>40000</v>
      </c>
    </row>
    <row r="15" spans="1:13">
      <c r="A15" s="19" t="s">
        <v>17</v>
      </c>
      <c r="B15" s="227"/>
      <c r="C15" s="26">
        <f t="shared" si="0"/>
        <v>0</v>
      </c>
      <c r="D15" s="26">
        <f t="shared" si="1"/>
        <v>0</v>
      </c>
      <c r="E15" s="26">
        <f t="shared" si="2"/>
        <v>0</v>
      </c>
      <c r="I15" s="19" t="s">
        <v>15</v>
      </c>
      <c r="J15" s="32">
        <v>60000</v>
      </c>
      <c r="K15" s="32">
        <v>50000</v>
      </c>
      <c r="L15" s="106">
        <v>15000</v>
      </c>
      <c r="M15" s="30">
        <f t="shared" si="3"/>
        <v>55000</v>
      </c>
    </row>
    <row r="16" spans="1:13">
      <c r="A16" s="19" t="s">
        <v>18</v>
      </c>
      <c r="B16" s="227"/>
      <c r="C16" s="26">
        <f t="shared" si="0"/>
        <v>0</v>
      </c>
      <c r="D16" s="26">
        <f t="shared" si="1"/>
        <v>0</v>
      </c>
      <c r="E16" s="26">
        <f t="shared" si="2"/>
        <v>0</v>
      </c>
      <c r="I16" s="19" t="s">
        <v>16</v>
      </c>
      <c r="J16" s="32">
        <v>2500000</v>
      </c>
      <c r="K16" s="32">
        <v>2000000</v>
      </c>
      <c r="L16" s="45">
        <v>500000</v>
      </c>
      <c r="M16" s="30">
        <f>(2*((0.25*J16)+(0.5*K16)+L16))</f>
        <v>4250000</v>
      </c>
    </row>
    <row r="17" spans="1:13">
      <c r="A17" s="19" t="s">
        <v>67</v>
      </c>
      <c r="B17" s="227"/>
      <c r="C17" s="26">
        <f t="shared" si="0"/>
        <v>0</v>
      </c>
      <c r="D17" s="26">
        <f t="shared" si="1"/>
        <v>0</v>
      </c>
      <c r="E17" s="26">
        <f t="shared" si="2"/>
        <v>0</v>
      </c>
      <c r="I17" s="19" t="s">
        <v>17</v>
      </c>
      <c r="J17" s="32">
        <v>30000</v>
      </c>
      <c r="K17" s="32">
        <v>40000</v>
      </c>
      <c r="L17" s="106">
        <v>15000</v>
      </c>
      <c r="M17" s="30">
        <f t="shared" si="3"/>
        <v>42500</v>
      </c>
    </row>
    <row r="18" spans="1:13">
      <c r="A18" s="19" t="s">
        <v>68</v>
      </c>
      <c r="B18" s="227"/>
      <c r="C18" s="26">
        <f t="shared" si="0"/>
        <v>0</v>
      </c>
      <c r="D18" s="26">
        <f t="shared" si="1"/>
        <v>0</v>
      </c>
      <c r="E18" s="26">
        <f t="shared" si="2"/>
        <v>0</v>
      </c>
      <c r="I18" s="19" t="s">
        <v>18</v>
      </c>
      <c r="J18" s="32">
        <v>500000</v>
      </c>
      <c r="K18" s="32">
        <v>250000</v>
      </c>
      <c r="L18" s="107">
        <v>30000</v>
      </c>
      <c r="M18" s="30">
        <f t="shared" si="3"/>
        <v>280000</v>
      </c>
    </row>
    <row r="19" spans="1:13">
      <c r="A19" s="223" t="s">
        <v>75</v>
      </c>
      <c r="B19" s="227"/>
      <c r="C19" s="26">
        <f t="shared" si="0"/>
        <v>0</v>
      </c>
      <c r="D19" s="26">
        <f t="shared" si="1"/>
        <v>0</v>
      </c>
      <c r="E19" s="26">
        <f t="shared" si="2"/>
        <v>0</v>
      </c>
      <c r="I19" s="19" t="s">
        <v>67</v>
      </c>
      <c r="J19" s="32">
        <v>750000</v>
      </c>
      <c r="K19" s="32">
        <v>1000000</v>
      </c>
      <c r="L19" s="32">
        <v>50000</v>
      </c>
      <c r="M19" s="86">
        <f t="shared" si="3"/>
        <v>737500</v>
      </c>
    </row>
    <row r="20" spans="1:13">
      <c r="A20" s="224" t="s">
        <v>87</v>
      </c>
      <c r="B20" s="227"/>
      <c r="C20" s="26">
        <f t="shared" si="0"/>
        <v>0</v>
      </c>
      <c r="D20" s="26">
        <f t="shared" si="1"/>
        <v>0</v>
      </c>
      <c r="E20" s="26">
        <f t="shared" si="2"/>
        <v>0</v>
      </c>
      <c r="I20" s="19" t="s">
        <v>68</v>
      </c>
      <c r="J20" s="101">
        <v>7500000</v>
      </c>
      <c r="K20" s="101">
        <v>6000000</v>
      </c>
      <c r="L20" s="108">
        <v>1500000</v>
      </c>
      <c r="M20" s="143">
        <f t="shared" si="3"/>
        <v>6375000</v>
      </c>
    </row>
    <row r="21" spans="1:13">
      <c r="A21" s="19" t="s">
        <v>61</v>
      </c>
      <c r="B21" s="227"/>
      <c r="C21" s="26">
        <f t="shared" si="0"/>
        <v>0</v>
      </c>
      <c r="D21" s="26">
        <f t="shared" si="1"/>
        <v>0</v>
      </c>
      <c r="E21" s="26">
        <f t="shared" si="2"/>
        <v>0</v>
      </c>
      <c r="I21" s="19" t="s">
        <v>75</v>
      </c>
      <c r="J21" s="141">
        <v>25000</v>
      </c>
      <c r="K21" s="141">
        <v>25000</v>
      </c>
      <c r="L21" s="142">
        <v>25000</v>
      </c>
      <c r="M21" s="144">
        <f t="shared" si="3"/>
        <v>43750</v>
      </c>
    </row>
    <row r="22" spans="1:13">
      <c r="A22" s="13" t="s">
        <v>174</v>
      </c>
      <c r="B22" s="227">
        <v>5047888</v>
      </c>
      <c r="C22" s="26">
        <f t="shared" si="0"/>
        <v>22715496000</v>
      </c>
      <c r="D22" s="26">
        <f t="shared" si="1"/>
        <v>22715496000</v>
      </c>
      <c r="E22" s="26">
        <f t="shared" si="2"/>
        <v>0</v>
      </c>
      <c r="I22" s="13" t="s">
        <v>87</v>
      </c>
      <c r="J22" s="141">
        <v>20000</v>
      </c>
      <c r="K22" s="141">
        <v>20000</v>
      </c>
      <c r="L22" s="138"/>
      <c r="M22" s="144">
        <f t="shared" si="3"/>
        <v>15000</v>
      </c>
    </row>
    <row r="23" spans="1:13" ht="15.75" thickBot="1">
      <c r="I23" s="19" t="s">
        <v>61</v>
      </c>
      <c r="J23" s="32">
        <v>10000</v>
      </c>
      <c r="K23" s="32">
        <v>6000</v>
      </c>
      <c r="L23" s="155">
        <v>2000</v>
      </c>
      <c r="M23" s="157">
        <f t="shared" si="3"/>
        <v>7500</v>
      </c>
    </row>
    <row r="24" spans="1:13" ht="18.75">
      <c r="C24" s="336" t="s">
        <v>175</v>
      </c>
      <c r="D24" s="337"/>
      <c r="E24" s="338"/>
      <c r="I24" s="7" t="s">
        <v>174</v>
      </c>
      <c r="J24" s="32">
        <v>6000</v>
      </c>
      <c r="K24" s="32">
        <v>6000</v>
      </c>
      <c r="L24" s="155"/>
      <c r="M24" s="157">
        <f t="shared" si="3"/>
        <v>4500</v>
      </c>
    </row>
    <row r="25" spans="1:13">
      <c r="C25" s="199" t="s">
        <v>80</v>
      </c>
      <c r="D25" s="199" t="s">
        <v>81</v>
      </c>
      <c r="E25" s="199" t="s">
        <v>82</v>
      </c>
      <c r="F25" s="199" t="s">
        <v>176</v>
      </c>
      <c r="I25" s="7" t="s">
        <v>190</v>
      </c>
      <c r="J25" s="32">
        <v>2000</v>
      </c>
      <c r="K25" s="32">
        <v>2000</v>
      </c>
      <c r="L25" s="1"/>
      <c r="M25" s="157">
        <f t="shared" si="3"/>
        <v>1500</v>
      </c>
    </row>
    <row r="26" spans="1:13">
      <c r="C26" s="200">
        <f>SUM(C8:C22)</f>
        <v>490396226250</v>
      </c>
      <c r="D26" s="200">
        <f>SUM(D8:D22)</f>
        <v>218937499500</v>
      </c>
      <c r="E26" s="200">
        <f>SUM(E8:E22)</f>
        <v>42839434000</v>
      </c>
      <c r="F26" s="30">
        <f>(C26/4)+(D26/2)+E26</f>
        <v>274907240312.5</v>
      </c>
    </row>
    <row r="30" spans="1:13">
      <c r="C30" s="315" t="s">
        <v>178</v>
      </c>
    </row>
    <row r="31" spans="1:13">
      <c r="C31" s="315"/>
      <c r="D31" s="152"/>
      <c r="E31" s="152"/>
      <c r="F31" s="152"/>
      <c r="G31" s="152"/>
    </row>
    <row r="32" spans="1:13" ht="17.25">
      <c r="C32" s="152"/>
      <c r="D32" s="248" t="s">
        <v>183</v>
      </c>
      <c r="E32" s="248" t="s">
        <v>185</v>
      </c>
      <c r="F32" s="248" t="s">
        <v>186</v>
      </c>
      <c r="G32" s="248" t="s">
        <v>182</v>
      </c>
    </row>
    <row r="33" spans="3:7">
      <c r="C33" s="2" t="s">
        <v>179</v>
      </c>
      <c r="D33" s="27">
        <v>2500000000000</v>
      </c>
      <c r="E33" s="247">
        <f>D33</f>
        <v>2500000000000</v>
      </c>
      <c r="F33" s="163">
        <f>D33/2</f>
        <v>1250000000000</v>
      </c>
      <c r="G33" s="26">
        <f>D33/4</f>
        <v>625000000000</v>
      </c>
    </row>
    <row r="34" spans="3:7">
      <c r="C34" s="2" t="s">
        <v>180</v>
      </c>
      <c r="D34" s="27">
        <v>2000000000000</v>
      </c>
      <c r="E34" s="26">
        <f>D34*2</f>
        <v>4000000000000</v>
      </c>
      <c r="F34" s="247">
        <f>D34</f>
        <v>2000000000000</v>
      </c>
      <c r="G34" s="26">
        <f>D34/2</f>
        <v>1000000000000</v>
      </c>
    </row>
    <row r="35" spans="3:7">
      <c r="C35" s="2" t="s">
        <v>181</v>
      </c>
      <c r="D35" s="27"/>
      <c r="E35" s="26">
        <f>G35*4</f>
        <v>0</v>
      </c>
      <c r="F35" s="26">
        <f>D35*2</f>
        <v>0</v>
      </c>
      <c r="G35" s="247">
        <f>D35</f>
        <v>0</v>
      </c>
    </row>
    <row r="39" spans="3:7" ht="17.25">
      <c r="C39" s="250" t="s">
        <v>187</v>
      </c>
      <c r="D39" s="251">
        <f>E33+E34+E35</f>
        <v>6500000000000</v>
      </c>
    </row>
    <row r="40" spans="3:7" ht="17.25">
      <c r="C40" s="250" t="s">
        <v>188</v>
      </c>
      <c r="D40" s="249">
        <f>F33+F34+F35</f>
        <v>3250000000000</v>
      </c>
    </row>
    <row r="41" spans="3:7" ht="17.25">
      <c r="C41" s="250" t="s">
        <v>184</v>
      </c>
      <c r="D41" s="249">
        <f>G33+G34+G35</f>
        <v>1625000000000</v>
      </c>
    </row>
  </sheetData>
  <mergeCells count="5">
    <mergeCell ref="E2:G2"/>
    <mergeCell ref="I7:I9"/>
    <mergeCell ref="M6:M9"/>
    <mergeCell ref="C24:E24"/>
    <mergeCell ref="C30:C31"/>
  </mergeCells>
  <pageMargins left="0.7" right="0.7" top="0.75" bottom="0.75" header="0.3" footer="0.3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"/>
  <sheetViews>
    <sheetView workbookViewId="0">
      <selection activeCell="A7" sqref="A7"/>
    </sheetView>
  </sheetViews>
  <sheetFormatPr baseColWidth="10" defaultRowHeight="15"/>
  <sheetData>
    <row r="6" spans="1:1">
      <c r="A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Attaque</vt:lpstr>
      <vt:lpstr>Defence</vt:lpstr>
      <vt:lpstr>Caserne</vt:lpstr>
      <vt:lpstr>Rapport de combat (RIP)</vt:lpstr>
      <vt:lpstr>Prix Flotte_Caserne_Def</vt:lpstr>
      <vt:lpstr>Ferailleur+Convertisseur</vt:lpstr>
      <vt:lpstr>Batiement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Rémi</dc:creator>
  <cp:lastModifiedBy>Rémi</cp:lastModifiedBy>
  <dcterms:created xsi:type="dcterms:W3CDTF">2013-11-29T13:17:18Z</dcterms:created>
  <dcterms:modified xsi:type="dcterms:W3CDTF">2014-01-22T18:50:27Z</dcterms:modified>
</cp:coreProperties>
</file>