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2" activeTab="0"/>
  </bookViews>
  <sheets>
    <sheet name="Feuil1" sheetId="1" r:id="rId1"/>
  </sheets>
  <definedNames>
    <definedName name="stade">'Feuil1'!$AX$10:$AY$16</definedName>
  </definedNames>
  <calcPr fullCalcOnLoad="1"/>
</workbook>
</file>

<file path=xl/sharedStrings.xml><?xml version="1.0" encoding="utf-8"?>
<sst xmlns="http://schemas.openxmlformats.org/spreadsheetml/2006/main" count="199" uniqueCount="94">
  <si>
    <t>Simulateur de ceinture</t>
  </si>
  <si>
    <t>Pour chacun des slots, sélectionner le pet, son lv (pour l'activation des ceintures), son stade et le bonus correspondant est affiché</t>
  </si>
  <si>
    <t>Attaque</t>
  </si>
  <si>
    <t>Défense</t>
  </si>
  <si>
    <t>Précision</t>
  </si>
  <si>
    <t>Esquive</t>
  </si>
  <si>
    <t>Attaque / Défense</t>
  </si>
  <si>
    <t>Précision / Précision M</t>
  </si>
  <si>
    <t>Rap. D'attaque</t>
  </si>
  <si>
    <t>Attaque M</t>
  </si>
  <si>
    <t>Attaque / Attaque M</t>
  </si>
  <si>
    <t>Attaque M / Défense</t>
  </si>
  <si>
    <t>Blocage</t>
  </si>
  <si>
    <t>Attaque / Précision</t>
  </si>
  <si>
    <t>Regen HP</t>
  </si>
  <si>
    <t>Regen MP</t>
  </si>
  <si>
    <t>Taux critique</t>
  </si>
  <si>
    <t>Attaque / Rap. D'attaque</t>
  </si>
  <si>
    <t>Défense M / défense</t>
  </si>
  <si>
    <t>Rap. Incantation</t>
  </si>
  <si>
    <t>Slot 1</t>
  </si>
  <si>
    <t>Slot 4</t>
  </si>
  <si>
    <t>pet</t>
  </si>
  <si>
    <t>lv</t>
  </si>
  <si>
    <t>stade</t>
  </si>
  <si>
    <t>bonus [%]</t>
  </si>
  <si>
    <t>Force</t>
  </si>
  <si>
    <t>Vitalité</t>
  </si>
  <si>
    <t>Dextérité</t>
  </si>
  <si>
    <t>Agilité</t>
  </si>
  <si>
    <t>Force / Vitalité</t>
  </si>
  <si>
    <t>Sagesse / Dextérité</t>
  </si>
  <si>
    <t>Intelligence</t>
  </si>
  <si>
    <t>Force / Intelligence</t>
  </si>
  <si>
    <t>Intelligence / Vitalité</t>
  </si>
  <si>
    <t>Force / Dextérité</t>
  </si>
  <si>
    <t>Chance</t>
  </si>
  <si>
    <t>Sagesse / Vitalité</t>
  </si>
  <si>
    <t>(vide)</t>
  </si>
  <si>
    <t>Panthère</t>
  </si>
  <si>
    <t>Tortue</t>
  </si>
  <si>
    <t>Volatile</t>
  </si>
  <si>
    <t>Loup</t>
  </si>
  <si>
    <t>Orc</t>
  </si>
  <si>
    <t>Sirène</t>
  </si>
  <si>
    <t>Yéti</t>
  </si>
  <si>
    <t>Squelette</t>
  </si>
  <si>
    <t>BP, RP, Cracken</t>
  </si>
  <si>
    <t>Lydian</t>
  </si>
  <si>
    <t>HF</t>
  </si>
  <si>
    <t>Salamandre</t>
  </si>
  <si>
    <t>Harpie</t>
  </si>
  <si>
    <t>Licorne Blanche</t>
  </si>
  <si>
    <t>Licorne Noire</t>
  </si>
  <si>
    <t>Ange</t>
  </si>
  <si>
    <t>Centaure</t>
  </si>
  <si>
    <t>Eimus</t>
  </si>
  <si>
    <t>Tafarie / Kainen</t>
  </si>
  <si>
    <t>Cerbère</t>
  </si>
  <si>
    <t>Génie</t>
  </si>
  <si>
    <t>Génie Myst</t>
  </si>
  <si>
    <t>Cube</t>
  </si>
  <si>
    <t>DB</t>
  </si>
  <si>
    <t>Carbuncle</t>
  </si>
  <si>
    <t>Tyran</t>
  </si>
  <si>
    <t>Boucher</t>
  </si>
  <si>
    <t>Minotaure</t>
  </si>
  <si>
    <t>Pick</t>
  </si>
  <si>
    <t xml:space="preserve">Ondine </t>
  </si>
  <si>
    <t>Baphomet</t>
  </si>
  <si>
    <t>Slot 2</t>
  </si>
  <si>
    <t>Slot 5</t>
  </si>
  <si>
    <t>Tafarie</t>
  </si>
  <si>
    <t>Slot 3</t>
  </si>
  <si>
    <t>Slot 6</t>
  </si>
  <si>
    <t>Enlevez tous vos pets ceinture, gardez tout le reste de votre sutf sur vous, entrez vos stats dans la colonne prévue à cet effet, les bonus sont calculé en fonction des pets choisi. Si il y a 2 colonnes "Total" c'est que la formule pour calculer l'attaque pour les classes cac et à distance n'est pas la même. La dernière colonne indique le bonus gagné.</t>
  </si>
  <si>
    <t>Vos stats</t>
  </si>
  <si>
    <t>Slot 1 [%]</t>
  </si>
  <si>
    <t>Slot 2 [%]</t>
  </si>
  <si>
    <t>Slot 3 [%]</t>
  </si>
  <si>
    <t>Slot 4 [%]</t>
  </si>
  <si>
    <t>Slot 5 [%]</t>
  </si>
  <si>
    <t>Slot 6 [%]</t>
  </si>
  <si>
    <t>Gain [%]</t>
  </si>
  <si>
    <t>Bonus pet identique [%]</t>
  </si>
  <si>
    <t>Total (armes cac et mago)</t>
  </si>
  <si>
    <t>Total (armes à distance)</t>
  </si>
  <si>
    <t>Gain sur les stats de base</t>
  </si>
  <si>
    <t>HP</t>
  </si>
  <si>
    <t>MP</t>
  </si>
  <si>
    <t>Sagesse</t>
  </si>
  <si>
    <t>Défense M</t>
  </si>
  <si>
    <t>Attaque M.</t>
  </si>
  <si>
    <t>Précision M.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</si>
</sst>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25"/>
      <color indexed="8"/>
      <name val="Times New Roman"/>
      <family val="1"/>
    </font>
    <font>
      <sz val="25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1" fillId="0" borderId="0" xfId="20" applyProtection="1">
      <alignment/>
      <protection locked="0"/>
    </xf>
    <xf numFmtId="164" fontId="1" fillId="0" borderId="0" xfId="20" applyFont="1" applyProtection="1">
      <alignment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/>
      <protection locked="0"/>
    </xf>
    <xf numFmtId="164" fontId="4" fillId="0" borderId="0" xfId="20" applyFont="1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4" fontId="4" fillId="0" borderId="0" xfId="20" applyFont="1" applyAlignment="1" applyProtection="1">
      <alignment/>
      <protection locked="0"/>
    </xf>
    <xf numFmtId="164" fontId="1" fillId="0" borderId="0" xfId="20" applyAlignment="1" applyProtection="1">
      <alignment horizontal="center" vertical="top"/>
      <protection locked="0"/>
    </xf>
    <xf numFmtId="164" fontId="1" fillId="2" borderId="0" xfId="20" applyFill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4" fillId="3" borderId="1" xfId="20" applyFont="1" applyFill="1" applyBorder="1" applyAlignment="1" applyProtection="1">
      <alignment horizontal="center"/>
      <protection locked="0"/>
    </xf>
    <xf numFmtId="164" fontId="4" fillId="4" borderId="1" xfId="20" applyFont="1" applyFill="1" applyBorder="1" applyAlignment="1" applyProtection="1">
      <alignment horizontal="center"/>
      <protection locked="0"/>
    </xf>
    <xf numFmtId="164" fontId="1" fillId="0" borderId="0" xfId="20" applyBorder="1" applyAlignment="1" applyProtection="1">
      <alignment horizontal="center"/>
      <protection locked="0"/>
    </xf>
    <xf numFmtId="164" fontId="4" fillId="0" borderId="1" xfId="20" applyFont="1" applyBorder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0" applyFont="1" applyAlignment="1">
      <alignment/>
    </xf>
    <xf numFmtId="164" fontId="4" fillId="0" borderId="1" xfId="20" applyFont="1" applyBorder="1" applyAlignment="1" applyProtection="1">
      <alignment horizontal="center"/>
      <protection hidden="1"/>
    </xf>
    <xf numFmtId="164" fontId="4" fillId="0" borderId="1" xfId="20" applyFont="1" applyBorder="1" applyAlignment="1" applyProtection="1">
      <alignment horizontal="center" vertical="center"/>
      <protection hidden="1"/>
    </xf>
    <xf numFmtId="164" fontId="4" fillId="0" borderId="0" xfId="2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hidden="1"/>
    </xf>
    <xf numFmtId="164" fontId="1" fillId="0" borderId="0" xfId="0" applyFont="1" applyAlignment="1">
      <alignment horizontal="center"/>
    </xf>
    <xf numFmtId="164" fontId="4" fillId="0" borderId="0" xfId="20" applyFont="1" applyBorder="1" applyProtection="1">
      <alignment/>
      <protection locked="0"/>
    </xf>
    <xf numFmtId="164" fontId="4" fillId="5" borderId="1" xfId="20" applyFont="1" applyFill="1" applyBorder="1" applyAlignment="1" applyProtection="1">
      <alignment horizontal="center"/>
      <protection locked="0"/>
    </xf>
    <xf numFmtId="164" fontId="4" fillId="6" borderId="1" xfId="20" applyFont="1" applyFill="1" applyBorder="1" applyAlignment="1" applyProtection="1">
      <alignment horizontal="center"/>
      <protection locked="0"/>
    </xf>
    <xf numFmtId="164" fontId="4" fillId="0" borderId="0" xfId="20" applyFont="1" applyFill="1" applyBorder="1" applyProtection="1">
      <alignment/>
      <protection locked="0"/>
    </xf>
    <xf numFmtId="164" fontId="4" fillId="0" borderId="1" xfId="20" applyFont="1" applyFill="1" applyBorder="1" applyAlignment="1" applyProtection="1">
      <alignment horizontal="center"/>
      <protection locked="0"/>
    </xf>
    <xf numFmtId="164" fontId="5" fillId="0" borderId="0" xfId="20" applyFont="1" applyFill="1" applyProtection="1">
      <alignment/>
      <protection locked="0"/>
    </xf>
    <xf numFmtId="164" fontId="6" fillId="0" borderId="0" xfId="0" applyFont="1" applyFill="1" applyAlignment="1">
      <alignment/>
    </xf>
    <xf numFmtId="164" fontId="4" fillId="0" borderId="1" xfId="20" applyFont="1" applyFill="1" applyBorder="1" applyAlignment="1" applyProtection="1">
      <alignment horizontal="center"/>
      <protection hidden="1"/>
    </xf>
    <xf numFmtId="164" fontId="4" fillId="0" borderId="1" xfId="20" applyFont="1" applyFill="1" applyBorder="1" applyAlignment="1" applyProtection="1">
      <alignment horizontal="center" vertical="center"/>
      <protection hidden="1"/>
    </xf>
    <xf numFmtId="164" fontId="4" fillId="0" borderId="0" xfId="20" applyFont="1" applyFill="1" applyAlignment="1" applyProtection="1">
      <alignment horizontal="center"/>
      <protection locked="0"/>
    </xf>
    <xf numFmtId="164" fontId="4" fillId="0" borderId="0" xfId="20" applyFont="1" applyFill="1" applyBorder="1" applyAlignment="1" applyProtection="1">
      <alignment horizontal="center"/>
      <protection locked="0"/>
    </xf>
    <xf numFmtId="164" fontId="1" fillId="0" borderId="0" xfId="20" applyNumberFormat="1" applyAlignment="1" applyProtection="1">
      <alignment horizontal="center"/>
      <protection locked="0"/>
    </xf>
    <xf numFmtId="164" fontId="4" fillId="7" borderId="1" xfId="20" applyFont="1" applyFill="1" applyBorder="1" applyAlignment="1" applyProtection="1">
      <alignment horizontal="center"/>
      <protection locked="0"/>
    </xf>
    <xf numFmtId="164" fontId="4" fillId="8" borderId="1" xfId="20" applyFont="1" applyFill="1" applyBorder="1" applyAlignment="1" applyProtection="1">
      <alignment horizontal="center"/>
      <protection locked="0"/>
    </xf>
    <xf numFmtId="164" fontId="7" fillId="0" borderId="0" xfId="20" applyFont="1" applyProtection="1">
      <alignment/>
      <protection locked="0"/>
    </xf>
    <xf numFmtId="164" fontId="7" fillId="0" borderId="0" xfId="20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 vertical="center" wrapText="1"/>
      <protection locked="0"/>
    </xf>
    <xf numFmtId="164" fontId="1" fillId="0" borderId="2" xfId="20" applyBorder="1" applyProtection="1">
      <alignment/>
      <protection locked="0"/>
    </xf>
    <xf numFmtId="164" fontId="1" fillId="0" borderId="3" xfId="20" applyFont="1" applyBorder="1" applyAlignment="1" applyProtection="1">
      <alignment horizontal="center"/>
      <protection locked="0"/>
    </xf>
    <xf numFmtId="164" fontId="1" fillId="3" borderId="4" xfId="20" applyFont="1" applyFill="1" applyBorder="1" applyAlignment="1" applyProtection="1">
      <alignment horizontal="center"/>
      <protection locked="0"/>
    </xf>
    <xf numFmtId="164" fontId="1" fillId="5" borderId="4" xfId="20" applyFont="1" applyFill="1" applyBorder="1" applyAlignment="1" applyProtection="1">
      <alignment horizontal="center"/>
      <protection locked="0"/>
    </xf>
    <xf numFmtId="164" fontId="1" fillId="7" borderId="4" xfId="20" applyFont="1" applyFill="1" applyBorder="1" applyAlignment="1" applyProtection="1">
      <alignment horizontal="center"/>
      <protection locked="0"/>
    </xf>
    <xf numFmtId="164" fontId="1" fillId="4" borderId="4" xfId="20" applyFont="1" applyFill="1" applyBorder="1" applyAlignment="1" applyProtection="1">
      <alignment horizontal="center"/>
      <protection locked="0"/>
    </xf>
    <xf numFmtId="164" fontId="1" fillId="6" borderId="4" xfId="20" applyFont="1" applyFill="1" applyBorder="1" applyAlignment="1" applyProtection="1">
      <alignment horizontal="center"/>
      <protection locked="0"/>
    </xf>
    <xf numFmtId="164" fontId="1" fillId="8" borderId="4" xfId="20" applyFont="1" applyFill="1" applyBorder="1" applyAlignment="1" applyProtection="1">
      <alignment horizontal="center"/>
      <protection locked="0"/>
    </xf>
    <xf numFmtId="164" fontId="1" fillId="0" borderId="4" xfId="20" applyFont="1" applyFill="1" applyBorder="1" applyAlignment="1" applyProtection="1">
      <alignment horizontal="center"/>
      <protection locked="0"/>
    </xf>
    <xf numFmtId="164" fontId="1" fillId="0" borderId="3" xfId="20" applyFont="1" applyFill="1" applyBorder="1" applyAlignment="1" applyProtection="1">
      <alignment horizontal="center"/>
      <protection locked="0"/>
    </xf>
    <xf numFmtId="164" fontId="1" fillId="0" borderId="5" xfId="20" applyFont="1" applyBorder="1" applyProtection="1">
      <alignment/>
      <protection locked="0"/>
    </xf>
    <xf numFmtId="164" fontId="8" fillId="9" borderId="6" xfId="20" applyFont="1" applyFill="1" applyBorder="1" applyAlignment="1" applyProtection="1">
      <alignment horizontal="center"/>
      <protection locked="0"/>
    </xf>
    <xf numFmtId="164" fontId="1" fillId="0" borderId="7" xfId="20" applyBorder="1" applyAlignment="1" applyProtection="1">
      <alignment horizontal="center"/>
      <protection hidden="1"/>
    </xf>
    <xf numFmtId="164" fontId="1" fillId="0" borderId="8" xfId="20" applyBorder="1" applyAlignment="1" applyProtection="1">
      <alignment horizontal="center"/>
      <protection hidden="1"/>
    </xf>
    <xf numFmtId="164" fontId="1" fillId="0" borderId="9" xfId="20" applyBorder="1" applyAlignment="1" applyProtection="1">
      <alignment horizontal="center"/>
      <protection hidden="1"/>
    </xf>
    <xf numFmtId="165" fontId="1" fillId="10" borderId="6" xfId="20" applyNumberFormat="1" applyFill="1" applyBorder="1" applyAlignment="1" applyProtection="1">
      <alignment horizontal="center" vertical="center"/>
      <protection hidden="1"/>
    </xf>
    <xf numFmtId="165" fontId="1" fillId="10" borderId="6" xfId="20" applyNumberFormat="1" applyFill="1" applyBorder="1" applyAlignment="1" applyProtection="1">
      <alignment horizontal="center"/>
      <protection hidden="1"/>
    </xf>
    <xf numFmtId="165" fontId="1" fillId="0" borderId="10" xfId="20" applyNumberFormat="1" applyBorder="1" applyAlignment="1" applyProtection="1">
      <alignment horizontal="center"/>
      <protection hidden="1"/>
    </xf>
    <xf numFmtId="164" fontId="1" fillId="0" borderId="5" xfId="20" applyFont="1" applyFill="1" applyBorder="1" applyAlignment="1" applyProtection="1">
      <alignment horizontal="left"/>
      <protection locked="0"/>
    </xf>
    <xf numFmtId="164" fontId="8" fillId="9" borderId="11" xfId="20" applyFont="1" applyFill="1" applyBorder="1" applyAlignment="1" applyProtection="1">
      <alignment horizontal="center"/>
      <protection locked="0"/>
    </xf>
    <xf numFmtId="164" fontId="1" fillId="0" borderId="12" xfId="20" applyBorder="1" applyAlignment="1" applyProtection="1">
      <alignment horizontal="center"/>
      <protection hidden="1"/>
    </xf>
    <xf numFmtId="164" fontId="1" fillId="0" borderId="13" xfId="20" applyBorder="1" applyAlignment="1" applyProtection="1">
      <alignment horizontal="center"/>
      <protection hidden="1"/>
    </xf>
    <xf numFmtId="164" fontId="1" fillId="0" borderId="14" xfId="20" applyBorder="1" applyAlignment="1" applyProtection="1">
      <alignment horizontal="center"/>
      <protection hidden="1"/>
    </xf>
    <xf numFmtId="165" fontId="1" fillId="10" borderId="11" xfId="20" applyNumberFormat="1" applyFill="1" applyBorder="1" applyAlignment="1" applyProtection="1">
      <alignment horizontal="center" vertical="center"/>
      <protection hidden="1"/>
    </xf>
    <xf numFmtId="165" fontId="1" fillId="10" borderId="11" xfId="20" applyNumberFormat="1" applyFill="1" applyBorder="1" applyAlignment="1" applyProtection="1">
      <alignment horizontal="center"/>
      <protection hidden="1"/>
    </xf>
    <xf numFmtId="164" fontId="1" fillId="2" borderId="15" xfId="20" applyFont="1" applyFill="1" applyBorder="1" applyAlignment="1" applyProtection="1">
      <alignment horizontal="left"/>
      <protection locked="0"/>
    </xf>
    <xf numFmtId="164" fontId="8" fillId="9" borderId="16" xfId="20" applyFont="1" applyFill="1" applyBorder="1" applyAlignment="1" applyProtection="1">
      <alignment horizontal="center"/>
      <protection locked="0"/>
    </xf>
    <xf numFmtId="164" fontId="1" fillId="11" borderId="17" xfId="20" applyFill="1" applyBorder="1" applyAlignment="1" applyProtection="1">
      <alignment horizontal="center" vertical="center"/>
      <protection hidden="1"/>
    </xf>
    <xf numFmtId="164" fontId="1" fillId="11" borderId="18" xfId="20" applyFill="1" applyBorder="1" applyAlignment="1" applyProtection="1">
      <alignment horizontal="center"/>
      <protection hidden="1"/>
    </xf>
    <xf numFmtId="164" fontId="1" fillId="11" borderId="19" xfId="20" applyFill="1" applyBorder="1" applyAlignment="1" applyProtection="1">
      <alignment horizontal="center"/>
      <protection hidden="1"/>
    </xf>
    <xf numFmtId="164" fontId="1" fillId="10" borderId="17" xfId="20" applyFill="1" applyBorder="1" applyAlignment="1" applyProtection="1">
      <alignment horizontal="center"/>
      <protection hidden="1"/>
    </xf>
    <xf numFmtId="164" fontId="1" fillId="10" borderId="20" xfId="20" applyFill="1" applyBorder="1" applyAlignment="1" applyProtection="1">
      <alignment horizontal="center"/>
      <protection hidden="1"/>
    </xf>
    <xf numFmtId="164" fontId="1" fillId="2" borderId="5" xfId="20" applyFont="1" applyFill="1" applyBorder="1" applyAlignment="1" applyProtection="1">
      <alignment horizontal="left"/>
      <protection locked="0"/>
    </xf>
    <xf numFmtId="164" fontId="1" fillId="11" borderId="21" xfId="20" applyFill="1" applyBorder="1" applyAlignment="1" applyProtection="1">
      <alignment horizontal="center" vertical="center"/>
      <protection hidden="1"/>
    </xf>
    <xf numFmtId="164" fontId="1" fillId="11" borderId="1" xfId="20" applyFill="1" applyBorder="1" applyAlignment="1" applyProtection="1">
      <alignment horizontal="center"/>
      <protection hidden="1"/>
    </xf>
    <xf numFmtId="164" fontId="1" fillId="11" borderId="22" xfId="20" applyFill="1" applyBorder="1" applyAlignment="1" applyProtection="1">
      <alignment horizontal="center"/>
      <protection hidden="1"/>
    </xf>
    <xf numFmtId="164" fontId="1" fillId="10" borderId="21" xfId="20" applyFill="1" applyBorder="1" applyAlignment="1" applyProtection="1">
      <alignment horizontal="center"/>
      <protection hidden="1"/>
    </xf>
    <xf numFmtId="164" fontId="1" fillId="10" borderId="5" xfId="20" applyFill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locked="0"/>
    </xf>
    <xf numFmtId="165" fontId="1" fillId="10" borderId="23" xfId="20" applyNumberFormat="1" applyFill="1" applyBorder="1" applyAlignment="1" applyProtection="1">
      <alignment horizontal="center"/>
      <protection hidden="1"/>
    </xf>
    <xf numFmtId="165" fontId="1" fillId="0" borderId="24" xfId="20" applyNumberFormat="1" applyBorder="1" applyAlignment="1" applyProtection="1">
      <alignment horizontal="center"/>
      <protection hidden="1"/>
    </xf>
    <xf numFmtId="164" fontId="0" fillId="11" borderId="1" xfId="0" applyFill="1" applyBorder="1" applyAlignment="1" applyProtection="1">
      <alignment horizontal="center"/>
      <protection hidden="1"/>
    </xf>
    <xf numFmtId="164" fontId="1" fillId="0" borderId="5" xfId="20" applyFont="1" applyBorder="1" applyAlignment="1" applyProtection="1">
      <alignment horizontal="left"/>
      <protection locked="0"/>
    </xf>
    <xf numFmtId="164" fontId="1" fillId="11" borderId="25" xfId="20" applyFill="1" applyBorder="1" applyAlignment="1" applyProtection="1">
      <alignment horizontal="center" vertical="center"/>
      <protection hidden="1"/>
    </xf>
    <xf numFmtId="164" fontId="1" fillId="11" borderId="26" xfId="20" applyFill="1" applyBorder="1" applyAlignment="1" applyProtection="1">
      <alignment horizontal="center"/>
      <protection hidden="1"/>
    </xf>
    <xf numFmtId="164" fontId="1" fillId="11" borderId="27" xfId="20" applyFill="1" applyBorder="1" applyAlignment="1" applyProtection="1">
      <alignment horizontal="center"/>
      <protection hidden="1"/>
    </xf>
    <xf numFmtId="164" fontId="1" fillId="10" borderId="25" xfId="20" applyFill="1" applyBorder="1" applyAlignment="1" applyProtection="1">
      <alignment horizontal="center"/>
      <protection hidden="1"/>
    </xf>
    <xf numFmtId="164" fontId="1" fillId="10" borderId="28" xfId="20" applyFill="1" applyBorder="1" applyAlignment="1" applyProtection="1">
      <alignment horizontal="center"/>
      <protection hidden="1"/>
    </xf>
    <xf numFmtId="165" fontId="1" fillId="10" borderId="29" xfId="20" applyNumberFormat="1" applyFill="1" applyBorder="1" applyAlignment="1" applyProtection="1">
      <alignment horizontal="center" vertical="center"/>
      <protection hidden="1"/>
    </xf>
    <xf numFmtId="165" fontId="1" fillId="10" borderId="29" xfId="20" applyNumberForma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D9D9D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904875</xdr:colOff>
      <xdr:row>2</xdr:row>
      <xdr:rowOff>238125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7777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8"/>
  <sheetViews>
    <sheetView tabSelected="1" workbookViewId="0" topLeftCell="A4">
      <selection activeCell="CE35" sqref="CE35"/>
    </sheetView>
  </sheetViews>
  <sheetFormatPr defaultColWidth="11.421875" defaultRowHeight="12.75"/>
  <cols>
    <col min="1" max="1" width="11.421875" style="1" customWidth="1"/>
    <col min="2" max="2" width="17.8515625" style="1" customWidth="1"/>
    <col min="3" max="3" width="9.421875" style="1" customWidth="1"/>
    <col min="4" max="4" width="8.57421875" style="1" customWidth="1"/>
    <col min="5" max="5" width="10.28125" style="1" customWidth="1"/>
    <col min="6" max="6" width="25.140625" style="1" customWidth="1"/>
    <col min="7" max="7" width="13.57421875" style="1" customWidth="1"/>
    <col min="8" max="8" width="13.00390625" style="1" customWidth="1"/>
    <col min="9" max="9" width="8.00390625" style="1" customWidth="1"/>
    <col min="10" max="10" width="10.140625" style="1" customWidth="1"/>
    <col min="11" max="11" width="14.8515625" style="1" customWidth="1"/>
    <col min="12" max="12" width="22.8515625" style="1" customWidth="1"/>
    <col min="13" max="13" width="11.421875" style="1" customWidth="1"/>
    <col min="14" max="14" width="14.00390625" style="1" customWidth="1"/>
    <col min="15" max="81" width="0" style="1" hidden="1" customWidth="1"/>
    <col min="82" max="83" width="11.00390625" style="1" customWidth="1"/>
    <col min="84" max="16384" width="11.421875" style="1" customWidth="1"/>
  </cols>
  <sheetData>
    <row r="1" spans="1:1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39.75" customHeight="1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64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/>
      <c r="O4"/>
      <c r="P4"/>
      <c r="Q4"/>
      <c r="R4"/>
      <c r="S4"/>
      <c r="T4"/>
      <c r="U4"/>
      <c r="V4"/>
      <c r="W4"/>
      <c r="X4"/>
      <c r="Y4"/>
      <c r="Z4"/>
      <c r="AA4"/>
      <c r="AV4" s="6">
        <f>MATCH(Feuil1!B9,AW10:CB10,0)</f>
        <v>1</v>
      </c>
      <c r="AX4" s="6">
        <v>40</v>
      </c>
      <c r="AY4" s="6">
        <v>90</v>
      </c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3.5">
      <c r="A5" s="5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6"/>
      <c r="N5"/>
      <c r="O5"/>
      <c r="P5"/>
      <c r="Q5"/>
      <c r="R5"/>
      <c r="S5"/>
      <c r="T5"/>
      <c r="U5"/>
      <c r="V5"/>
      <c r="W5"/>
      <c r="X5"/>
      <c r="Y5"/>
      <c r="Z5"/>
      <c r="AA5"/>
      <c r="AV5" s="6">
        <f>MATCH(Feuil1!D9,CC11:CC16)</f>
        <v>1</v>
      </c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81" ht="7.5" customHeight="1">
      <c r="A6" s="5"/>
      <c r="B6" s="5"/>
      <c r="C6" s="5"/>
      <c r="D6" s="5"/>
      <c r="E6" s="5"/>
      <c r="F6" s="5"/>
      <c r="G6" s="5"/>
      <c r="H6" s="8"/>
      <c r="I6" s="8"/>
      <c r="J6" s="5"/>
      <c r="K6" s="5"/>
      <c r="L6" s="5"/>
      <c r="N6"/>
      <c r="O6"/>
      <c r="P6"/>
      <c r="Q6"/>
      <c r="R6"/>
      <c r="S6"/>
      <c r="T6"/>
      <c r="U6"/>
      <c r="V6"/>
      <c r="W6"/>
      <c r="X6"/>
      <c r="Y6"/>
      <c r="Z6"/>
      <c r="AA6"/>
      <c r="AF6" s="9"/>
      <c r="AG6" s="9"/>
      <c r="AS6" s="10">
        <f>COUNTIF(B$9:L$21,"Panthère")</f>
        <v>0</v>
      </c>
      <c r="AT6" s="10">
        <f>IF(AS6&gt;=2,AS6,0)</f>
        <v>0</v>
      </c>
      <c r="AX6" s="6" t="s">
        <v>2</v>
      </c>
      <c r="AY6" s="6" t="s">
        <v>3</v>
      </c>
      <c r="AZ6" s="6" t="s">
        <v>4</v>
      </c>
      <c r="BA6" s="6" t="s">
        <v>5</v>
      </c>
      <c r="BB6" s="6" t="s">
        <v>6</v>
      </c>
      <c r="BC6" s="6" t="s">
        <v>7</v>
      </c>
      <c r="BD6" s="6" t="s">
        <v>3</v>
      </c>
      <c r="BE6" s="6" t="s">
        <v>8</v>
      </c>
      <c r="BF6" s="6" t="s">
        <v>9</v>
      </c>
      <c r="BG6" s="6" t="s">
        <v>3</v>
      </c>
      <c r="BH6" s="6" t="s">
        <v>6</v>
      </c>
      <c r="BI6" s="6" t="s">
        <v>10</v>
      </c>
      <c r="BJ6" s="6" t="s">
        <v>8</v>
      </c>
      <c r="BK6" s="6" t="s">
        <v>5</v>
      </c>
      <c r="BL6" s="6" t="s">
        <v>4</v>
      </c>
      <c r="BM6" s="6" t="s">
        <v>11</v>
      </c>
      <c r="BN6" s="6" t="s">
        <v>2</v>
      </c>
      <c r="BO6" s="6" t="s">
        <v>12</v>
      </c>
      <c r="BP6" s="6" t="s">
        <v>9</v>
      </c>
      <c r="BQ6" s="6" t="s">
        <v>13</v>
      </c>
      <c r="BR6" s="6" t="s">
        <v>14</v>
      </c>
      <c r="BS6" s="6" t="s">
        <v>15</v>
      </c>
      <c r="BT6" s="6" t="s">
        <v>3</v>
      </c>
      <c r="BU6" s="6" t="s">
        <v>11</v>
      </c>
      <c r="BV6" s="1" t="s">
        <v>16</v>
      </c>
      <c r="BW6" s="6" t="s">
        <v>17</v>
      </c>
      <c r="BX6" s="11" t="s">
        <v>6</v>
      </c>
      <c r="BY6" s="11" t="s">
        <v>6</v>
      </c>
      <c r="BZ6" s="11" t="s">
        <v>18</v>
      </c>
      <c r="CA6" s="12" t="s">
        <v>3</v>
      </c>
      <c r="CB6" s="12" t="s">
        <v>19</v>
      </c>
      <c r="CC6" s="13"/>
    </row>
    <row r="7" spans="1:81" ht="13.5">
      <c r="A7" s="5"/>
      <c r="B7" s="14" t="s">
        <v>20</v>
      </c>
      <c r="C7" s="14"/>
      <c r="D7" s="14"/>
      <c r="E7" s="14"/>
      <c r="F7" s="14"/>
      <c r="G7" s="5"/>
      <c r="H7" s="15" t="s">
        <v>21</v>
      </c>
      <c r="I7" s="15"/>
      <c r="J7" s="15"/>
      <c r="K7" s="15"/>
      <c r="L7" s="15"/>
      <c r="N7"/>
      <c r="O7"/>
      <c r="P7"/>
      <c r="Q7"/>
      <c r="R7"/>
      <c r="S7"/>
      <c r="T7"/>
      <c r="U7"/>
      <c r="V7"/>
      <c r="W7"/>
      <c r="X7"/>
      <c r="Y7"/>
      <c r="Z7"/>
      <c r="AA7"/>
      <c r="AB7" s="16"/>
      <c r="AF7" s="9"/>
      <c r="AG7" s="9"/>
      <c r="AS7" s="10">
        <f>COUNTIF(B$9:L$21,"Tortue")</f>
        <v>0</v>
      </c>
      <c r="AT7" s="10">
        <f>IF(AS7&gt;=2,AS7,0)</f>
        <v>0</v>
      </c>
      <c r="AV7" s="6">
        <f>MATCH(Feuil1!B15,AW10:CB10,0)</f>
        <v>1</v>
      </c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P7" s="6"/>
      <c r="BX7" s="11"/>
      <c r="BY7" s="11"/>
      <c r="BZ7" s="12"/>
      <c r="CA7" s="12"/>
      <c r="CB7" s="12"/>
      <c r="CC7" s="13"/>
    </row>
    <row r="8" spans="1:81" ht="13.5">
      <c r="A8" s="5"/>
      <c r="B8" s="17" t="s">
        <v>22</v>
      </c>
      <c r="C8" s="17" t="s">
        <v>23</v>
      </c>
      <c r="D8" s="17" t="s">
        <v>24</v>
      </c>
      <c r="E8" s="17" t="s">
        <v>25</v>
      </c>
      <c r="F8" s="17"/>
      <c r="G8" s="5"/>
      <c r="H8" s="17" t="s">
        <v>22</v>
      </c>
      <c r="I8" s="17" t="s">
        <v>23</v>
      </c>
      <c r="J8" s="17" t="s">
        <v>24</v>
      </c>
      <c r="K8" s="17" t="s">
        <v>25</v>
      </c>
      <c r="L8" s="17"/>
      <c r="M8" s="18"/>
      <c r="N8" s="19"/>
      <c r="O8"/>
      <c r="P8"/>
      <c r="Q8"/>
      <c r="R8"/>
      <c r="S8"/>
      <c r="T8"/>
      <c r="U8"/>
      <c r="V8"/>
      <c r="W8"/>
      <c r="X8"/>
      <c r="Y8"/>
      <c r="Z8"/>
      <c r="AA8"/>
      <c r="AB8" s="16"/>
      <c r="AF8" s="9"/>
      <c r="AG8" s="9"/>
      <c r="AS8" s="10">
        <f>COUNTIF(B$9:L$21,"Volatile")</f>
        <v>0</v>
      </c>
      <c r="AT8" s="10">
        <f>IF(AS8&gt;=2,AS8,0)</f>
        <v>0</v>
      </c>
      <c r="AV8" s="6">
        <f>MATCH(Feuil1!D15,CC11:CC16)</f>
        <v>1</v>
      </c>
      <c r="AX8" s="6" t="s">
        <v>26</v>
      </c>
      <c r="AY8" s="6" t="s">
        <v>27</v>
      </c>
      <c r="AZ8" s="6" t="s">
        <v>28</v>
      </c>
      <c r="BA8" s="6" t="s">
        <v>29</v>
      </c>
      <c r="BB8" s="6" t="s">
        <v>30</v>
      </c>
      <c r="BC8" s="6" t="s">
        <v>31</v>
      </c>
      <c r="BD8" s="6" t="s">
        <v>27</v>
      </c>
      <c r="BE8" s="6" t="s">
        <v>29</v>
      </c>
      <c r="BF8" s="6" t="s">
        <v>32</v>
      </c>
      <c r="BG8" s="6" t="s">
        <v>30</v>
      </c>
      <c r="BH8" s="6" t="s">
        <v>30</v>
      </c>
      <c r="BI8" s="6" t="s">
        <v>33</v>
      </c>
      <c r="BJ8" s="6" t="s">
        <v>28</v>
      </c>
      <c r="BK8" s="6" t="s">
        <v>29</v>
      </c>
      <c r="BL8" s="6" t="s">
        <v>28</v>
      </c>
      <c r="BM8" s="6" t="s">
        <v>34</v>
      </c>
      <c r="BN8" s="6" t="s">
        <v>26</v>
      </c>
      <c r="BO8" s="6" t="s">
        <v>27</v>
      </c>
      <c r="BP8" s="6" t="s">
        <v>32</v>
      </c>
      <c r="BQ8" s="6" t="s">
        <v>35</v>
      </c>
      <c r="BR8" s="6" t="s">
        <v>27</v>
      </c>
      <c r="BS8" s="6" t="s">
        <v>32</v>
      </c>
      <c r="BT8" s="6" t="s">
        <v>27</v>
      </c>
      <c r="BU8" s="6" t="s">
        <v>34</v>
      </c>
      <c r="BV8" s="6" t="s">
        <v>36</v>
      </c>
      <c r="BW8" s="6" t="s">
        <v>26</v>
      </c>
      <c r="BX8" s="11" t="s">
        <v>33</v>
      </c>
      <c r="BY8" s="11" t="s">
        <v>30</v>
      </c>
      <c r="BZ8" s="12" t="s">
        <v>37</v>
      </c>
      <c r="CA8" s="12" t="s">
        <v>27</v>
      </c>
      <c r="CB8" s="12" t="s">
        <v>32</v>
      </c>
      <c r="CC8" s="13"/>
    </row>
    <row r="9" spans="1:81" ht="13.5">
      <c r="A9" s="5"/>
      <c r="B9" s="17" t="s">
        <v>38</v>
      </c>
      <c r="C9" s="17">
        <v>90</v>
      </c>
      <c r="D9" s="17">
        <v>0</v>
      </c>
      <c r="E9" s="20">
        <f>INDEX(Feuil1!$AW$11:$CB$16,Feuil1!$AV$5,Feuil1!$AV$4)</f>
        <v>0</v>
      </c>
      <c r="F9" s="21">
        <f>INDEX(Feuil1!$AW$8:$CB$8,Feuil1!$AV$4)</f>
        <v>0</v>
      </c>
      <c r="G9" s="5"/>
      <c r="H9" s="17" t="s">
        <v>38</v>
      </c>
      <c r="I9" s="17">
        <v>90</v>
      </c>
      <c r="J9" s="17">
        <v>0</v>
      </c>
      <c r="K9" s="20">
        <f>INDEX(Feuil1!$AW$11:$CB$16,Feuil1!$AV$14,Feuil1!$AV$13)</f>
        <v>0</v>
      </c>
      <c r="L9" s="21">
        <f>INDEX(Feuil1!$AW$8:$CB$8,Feuil1!$AV$13)</f>
        <v>0</v>
      </c>
      <c r="M9" s="18"/>
      <c r="N9" s="19"/>
      <c r="O9"/>
      <c r="P9"/>
      <c r="Q9"/>
      <c r="R9"/>
      <c r="S9"/>
      <c r="T9"/>
      <c r="U9"/>
      <c r="V9"/>
      <c r="W9"/>
      <c r="X9"/>
      <c r="Y9"/>
      <c r="Z9"/>
      <c r="AA9"/>
      <c r="AB9" s="16"/>
      <c r="AF9" s="9"/>
      <c r="AG9" s="9"/>
      <c r="AS9" s="10">
        <f>COUNTIF(B$9:L$21,"Loup")</f>
        <v>0</v>
      </c>
      <c r="AT9" s="10">
        <f>IF(AS9&gt;=2,AS9,0)</f>
        <v>0</v>
      </c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X9" s="11"/>
      <c r="BY9" s="11"/>
      <c r="BZ9" s="12"/>
      <c r="CA9" s="12"/>
      <c r="CB9" s="12"/>
      <c r="CC9" s="13"/>
    </row>
    <row r="10" spans="1:81" ht="13.5">
      <c r="A10" s="5"/>
      <c r="B10" s="22"/>
      <c r="C10" s="22"/>
      <c r="D10" s="22"/>
      <c r="E10" s="20">
        <f>IF($C$9&gt;46,INDEX(Feuil1!$AW$18:$CB$23,Feuil1!$AV$5,Feuil1!$AV$4),"")</f>
        <v>0</v>
      </c>
      <c r="F10" s="20">
        <f>IF($C$9&gt;46,INDEX(Feuil1!$AW$6:$CB$6,Feuil1!$AV$4)," ")</f>
        <v>0</v>
      </c>
      <c r="G10" s="5"/>
      <c r="H10" s="22"/>
      <c r="I10" s="22"/>
      <c r="J10" s="22"/>
      <c r="K10" s="20">
        <f>IF($I$9&gt;46,INDEX(Feuil1!$AW$18:$CB$23,Feuil1!$AV$14,Feuil1!$AV$13),"")</f>
        <v>0</v>
      </c>
      <c r="L10" s="20">
        <f>IF($I$9&gt;46,INDEX(Feuil1!$AW$6:$CB$6,Feuil1!$AV$13)," ")</f>
        <v>0</v>
      </c>
      <c r="M10" s="18"/>
      <c r="N10" s="19"/>
      <c r="O10"/>
      <c r="P10"/>
      <c r="Q10"/>
      <c r="R10"/>
      <c r="S10"/>
      <c r="T10"/>
      <c r="U10"/>
      <c r="V10"/>
      <c r="W10"/>
      <c r="X10"/>
      <c r="Y10"/>
      <c r="Z10"/>
      <c r="AA10"/>
      <c r="AB10" s="16"/>
      <c r="AF10" s="9"/>
      <c r="AG10" s="9"/>
      <c r="AS10" s="10">
        <f>COUNTIF(B$9:L$21,"Orc")</f>
        <v>0</v>
      </c>
      <c r="AT10" s="10">
        <f>IF(AS10&gt;=2,AS10,0)</f>
        <v>0</v>
      </c>
      <c r="AV10" s="6">
        <f>MATCH(Feuil1!B21,AW10:CB10,0)</f>
        <v>1</v>
      </c>
      <c r="AW10" s="1" t="s">
        <v>38</v>
      </c>
      <c r="AX10" s="6" t="s">
        <v>39</v>
      </c>
      <c r="AY10" s="6" t="s">
        <v>40</v>
      </c>
      <c r="AZ10" s="6" t="s">
        <v>41</v>
      </c>
      <c r="BA10" s="6" t="s">
        <v>42</v>
      </c>
      <c r="BB10" s="6" t="s">
        <v>43</v>
      </c>
      <c r="BC10" s="6" t="s">
        <v>44</v>
      </c>
      <c r="BD10" s="6" t="s">
        <v>45</v>
      </c>
      <c r="BE10" s="6" t="s">
        <v>46</v>
      </c>
      <c r="BF10" s="6" t="s">
        <v>47</v>
      </c>
      <c r="BG10" s="6" t="s">
        <v>48</v>
      </c>
      <c r="BH10" s="6" t="s">
        <v>49</v>
      </c>
      <c r="BI10" s="6" t="s">
        <v>50</v>
      </c>
      <c r="BJ10" s="6" t="s">
        <v>51</v>
      </c>
      <c r="BK10" s="6" t="s">
        <v>52</v>
      </c>
      <c r="BL10" s="6" t="s">
        <v>53</v>
      </c>
      <c r="BM10" s="6" t="s">
        <v>54</v>
      </c>
      <c r="BN10" s="6" t="s">
        <v>55</v>
      </c>
      <c r="BO10" s="6" t="s">
        <v>56</v>
      </c>
      <c r="BP10" s="6" t="s">
        <v>57</v>
      </c>
      <c r="BQ10" s="6" t="s">
        <v>58</v>
      </c>
      <c r="BR10" s="6" t="s">
        <v>59</v>
      </c>
      <c r="BS10" s="6" t="s">
        <v>60</v>
      </c>
      <c r="BT10" s="6" t="s">
        <v>61</v>
      </c>
      <c r="BU10" s="6" t="s">
        <v>62</v>
      </c>
      <c r="BV10" s="6" t="s">
        <v>63</v>
      </c>
      <c r="BW10" s="6" t="s">
        <v>64</v>
      </c>
      <c r="BX10" s="23" t="s">
        <v>65</v>
      </c>
      <c r="BY10" s="24" t="s">
        <v>66</v>
      </c>
      <c r="BZ10" s="12" t="s">
        <v>67</v>
      </c>
      <c r="CA10" s="12" t="s">
        <v>68</v>
      </c>
      <c r="CB10" s="12" t="s">
        <v>69</v>
      </c>
      <c r="CC10" s="23" t="s">
        <v>24</v>
      </c>
    </row>
    <row r="11" spans="1:81" ht="12.75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2"/>
      <c r="M11" s="18"/>
      <c r="N11" s="19"/>
      <c r="O11"/>
      <c r="P11"/>
      <c r="Q11"/>
      <c r="R11"/>
      <c r="S11"/>
      <c r="T11"/>
      <c r="U11"/>
      <c r="V11"/>
      <c r="W11"/>
      <c r="X11"/>
      <c r="Y11"/>
      <c r="Z11"/>
      <c r="AA11"/>
      <c r="AB11" s="16"/>
      <c r="AF11" s="9"/>
      <c r="AG11" s="9"/>
      <c r="AS11" s="10">
        <f>COUNTIF(B$9:L$21,"Sirène")</f>
        <v>0</v>
      </c>
      <c r="AT11" s="10">
        <f>IF(AS11&gt;=2,AS11,0)</f>
        <v>0</v>
      </c>
      <c r="AV11" s="6">
        <f>MATCH(Feuil1!D21,CC11:CC16)</f>
        <v>1</v>
      </c>
      <c r="AW11" s="1">
        <v>0</v>
      </c>
      <c r="AX11" s="6">
        <v>6</v>
      </c>
      <c r="AY11" s="6">
        <v>6</v>
      </c>
      <c r="AZ11" s="6">
        <v>6</v>
      </c>
      <c r="BA11" s="6">
        <v>11</v>
      </c>
      <c r="BB11" s="6">
        <v>5.5</v>
      </c>
      <c r="BC11" s="6">
        <v>6</v>
      </c>
      <c r="BD11" s="6">
        <v>11</v>
      </c>
      <c r="BE11" s="6">
        <v>11</v>
      </c>
      <c r="BF11" s="6">
        <v>11</v>
      </c>
      <c r="BG11" s="6">
        <v>5.5</v>
      </c>
      <c r="BH11" s="6">
        <v>6.5</v>
      </c>
      <c r="BI11" s="6">
        <v>6.5</v>
      </c>
      <c r="BJ11" s="6">
        <v>13</v>
      </c>
      <c r="BK11" s="6">
        <v>13</v>
      </c>
      <c r="BL11" s="6">
        <v>13</v>
      </c>
      <c r="BM11" s="6">
        <v>7.5</v>
      </c>
      <c r="BN11" s="6">
        <v>15</v>
      </c>
      <c r="BO11" s="6">
        <v>15</v>
      </c>
      <c r="BP11" s="6">
        <v>15</v>
      </c>
      <c r="BQ11" s="6">
        <v>8.5</v>
      </c>
      <c r="BR11" s="6">
        <v>17</v>
      </c>
      <c r="BS11" s="6">
        <v>17</v>
      </c>
      <c r="BT11" s="6">
        <v>17</v>
      </c>
      <c r="BU11" s="6">
        <v>9</v>
      </c>
      <c r="BV11" s="6">
        <v>15</v>
      </c>
      <c r="BW11" s="6">
        <v>18</v>
      </c>
      <c r="BX11" s="11">
        <v>9</v>
      </c>
      <c r="BY11" s="11">
        <v>9</v>
      </c>
      <c r="BZ11" s="11">
        <v>9</v>
      </c>
      <c r="CA11" s="12">
        <v>19</v>
      </c>
      <c r="CB11" s="12">
        <v>19</v>
      </c>
      <c r="CC11" s="23">
        <v>0</v>
      </c>
    </row>
    <row r="12" spans="1:81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7"/>
      <c r="M12" s="18"/>
      <c r="N12" s="19"/>
      <c r="O12"/>
      <c r="P12"/>
      <c r="Q12"/>
      <c r="R12"/>
      <c r="S12"/>
      <c r="T12"/>
      <c r="U12"/>
      <c r="V12"/>
      <c r="W12"/>
      <c r="X12"/>
      <c r="Y12"/>
      <c r="Z12"/>
      <c r="AA12"/>
      <c r="AB12" s="16"/>
      <c r="AF12" s="9"/>
      <c r="AG12" s="9"/>
      <c r="AS12" s="10">
        <f>COUNTIF(B$9:L$21,"Yéti")</f>
        <v>0</v>
      </c>
      <c r="AT12" s="10">
        <f>IF(AS12&gt;=2,AS12,0)</f>
        <v>0</v>
      </c>
      <c r="AW12" s="1">
        <v>0</v>
      </c>
      <c r="AX12" s="6">
        <v>7</v>
      </c>
      <c r="AY12" s="6">
        <v>7</v>
      </c>
      <c r="AZ12" s="6">
        <v>7</v>
      </c>
      <c r="BA12" s="6">
        <v>12</v>
      </c>
      <c r="BB12" s="6">
        <v>6</v>
      </c>
      <c r="BC12" s="6">
        <v>6.5</v>
      </c>
      <c r="BD12" s="6">
        <v>12</v>
      </c>
      <c r="BE12" s="6">
        <v>12</v>
      </c>
      <c r="BF12" s="6">
        <v>12</v>
      </c>
      <c r="BG12" s="6">
        <v>6</v>
      </c>
      <c r="BH12" s="6">
        <v>7</v>
      </c>
      <c r="BI12" s="6">
        <v>7</v>
      </c>
      <c r="BJ12" s="6">
        <v>14</v>
      </c>
      <c r="BK12" s="6">
        <v>14</v>
      </c>
      <c r="BL12" s="6">
        <v>14</v>
      </c>
      <c r="BM12" s="6">
        <v>8</v>
      </c>
      <c r="BN12" s="6">
        <v>16</v>
      </c>
      <c r="BO12" s="6">
        <v>16</v>
      </c>
      <c r="BP12" s="6">
        <v>16</v>
      </c>
      <c r="BQ12" s="6">
        <v>9</v>
      </c>
      <c r="BR12" s="6">
        <v>18</v>
      </c>
      <c r="BS12" s="6">
        <v>18</v>
      </c>
      <c r="BT12" s="6">
        <v>18</v>
      </c>
      <c r="BU12" s="6">
        <v>9.5</v>
      </c>
      <c r="BV12" s="6">
        <v>16</v>
      </c>
      <c r="BW12" s="6">
        <v>19</v>
      </c>
      <c r="BX12" s="12">
        <v>10</v>
      </c>
      <c r="BY12" s="12">
        <v>10</v>
      </c>
      <c r="BZ12" s="12">
        <v>10</v>
      </c>
      <c r="CA12" s="12">
        <v>20</v>
      </c>
      <c r="CB12" s="12">
        <v>20</v>
      </c>
      <c r="CC12" s="23">
        <v>1</v>
      </c>
    </row>
    <row r="13" spans="1:81" ht="13.5">
      <c r="A13" s="25"/>
      <c r="B13" s="26" t="s">
        <v>70</v>
      </c>
      <c r="C13" s="26"/>
      <c r="D13" s="26"/>
      <c r="E13" s="26"/>
      <c r="F13" s="26"/>
      <c r="G13" s="25"/>
      <c r="H13" s="27" t="s">
        <v>71</v>
      </c>
      <c r="I13" s="27"/>
      <c r="J13" s="27"/>
      <c r="K13" s="27"/>
      <c r="L13" s="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 s="16"/>
      <c r="AF13" s="9"/>
      <c r="AG13" s="9"/>
      <c r="AS13" s="10">
        <f>COUNTIF(B$9:L$21,"Squelette")</f>
        <v>0</v>
      </c>
      <c r="AT13" s="10">
        <f>IF(AS13&gt;=2,AS13,0)</f>
        <v>0</v>
      </c>
      <c r="AV13" s="6">
        <f>MATCH(Feuil1!H9,AW10:CB10,0)</f>
        <v>1</v>
      </c>
      <c r="AW13" s="1">
        <v>0</v>
      </c>
      <c r="AX13" s="6">
        <v>8</v>
      </c>
      <c r="AY13" s="6">
        <v>8</v>
      </c>
      <c r="AZ13" s="6">
        <v>8</v>
      </c>
      <c r="BA13" s="6">
        <v>13</v>
      </c>
      <c r="BB13" s="6">
        <v>6.5</v>
      </c>
      <c r="BC13" s="6">
        <v>7</v>
      </c>
      <c r="BD13" s="6">
        <v>13</v>
      </c>
      <c r="BE13" s="6">
        <v>13</v>
      </c>
      <c r="BF13" s="6">
        <v>13</v>
      </c>
      <c r="BG13" s="6">
        <v>6.5</v>
      </c>
      <c r="BH13" s="6">
        <v>7.5</v>
      </c>
      <c r="BI13" s="6">
        <v>7.5</v>
      </c>
      <c r="BJ13" s="6">
        <v>15</v>
      </c>
      <c r="BK13" s="6">
        <v>15</v>
      </c>
      <c r="BL13" s="6">
        <v>15</v>
      </c>
      <c r="BM13" s="6">
        <v>8.5</v>
      </c>
      <c r="BN13" s="6">
        <v>17</v>
      </c>
      <c r="BO13" s="6">
        <v>17</v>
      </c>
      <c r="BP13" s="6">
        <v>17</v>
      </c>
      <c r="BQ13" s="6">
        <v>9.5</v>
      </c>
      <c r="BR13" s="6">
        <v>19</v>
      </c>
      <c r="BS13" s="6">
        <v>19</v>
      </c>
      <c r="BT13" s="6">
        <v>19</v>
      </c>
      <c r="BU13" s="6">
        <v>10</v>
      </c>
      <c r="BV13" s="6">
        <v>17</v>
      </c>
      <c r="BW13" s="6">
        <v>20</v>
      </c>
      <c r="BX13" s="11">
        <v>10</v>
      </c>
      <c r="BY13" s="11">
        <v>10</v>
      </c>
      <c r="BZ13" s="11">
        <v>10</v>
      </c>
      <c r="CA13" s="12">
        <v>21</v>
      </c>
      <c r="CB13" s="12">
        <v>21</v>
      </c>
      <c r="CC13" s="23">
        <v>2</v>
      </c>
    </row>
    <row r="14" spans="1:81" ht="13.5">
      <c r="A14" s="28"/>
      <c r="B14" s="29" t="s">
        <v>22</v>
      </c>
      <c r="C14" s="29" t="s">
        <v>23</v>
      </c>
      <c r="D14" s="29" t="s">
        <v>24</v>
      </c>
      <c r="E14" s="29" t="s">
        <v>25</v>
      </c>
      <c r="F14" s="29"/>
      <c r="G14" s="28"/>
      <c r="H14" s="29" t="s">
        <v>22</v>
      </c>
      <c r="I14" s="29" t="s">
        <v>23</v>
      </c>
      <c r="J14" s="29" t="s">
        <v>24</v>
      </c>
      <c r="K14" s="29" t="s">
        <v>25</v>
      </c>
      <c r="L14" s="29"/>
      <c r="M14" s="30"/>
      <c r="N14" s="31"/>
      <c r="O14"/>
      <c r="P14"/>
      <c r="Q14"/>
      <c r="R14"/>
      <c r="S14"/>
      <c r="T14"/>
      <c r="U14"/>
      <c r="V14"/>
      <c r="W14"/>
      <c r="X14"/>
      <c r="Y14"/>
      <c r="Z14"/>
      <c r="AA14"/>
      <c r="AF14" s="9"/>
      <c r="AG14" s="9"/>
      <c r="AS14" s="10">
        <f>COUNTIF(B$9:L$21,"BP, RP, Cracken")</f>
        <v>0</v>
      </c>
      <c r="AT14" s="10">
        <f>IF(AS14&gt;=2,AS14,0)</f>
        <v>0</v>
      </c>
      <c r="AV14" s="6">
        <f>MATCH(Feuil1!J9,CC11:CC16,0)</f>
        <v>1</v>
      </c>
      <c r="AW14" s="1">
        <v>0</v>
      </c>
      <c r="AX14" s="6">
        <v>9</v>
      </c>
      <c r="AY14" s="6">
        <v>9</v>
      </c>
      <c r="AZ14" s="6">
        <v>9</v>
      </c>
      <c r="BA14" s="6">
        <v>14</v>
      </c>
      <c r="BB14" s="6">
        <v>7</v>
      </c>
      <c r="BC14" s="6">
        <v>7.5</v>
      </c>
      <c r="BD14" s="6">
        <v>14</v>
      </c>
      <c r="BE14" s="6">
        <v>14</v>
      </c>
      <c r="BF14" s="6">
        <v>14</v>
      </c>
      <c r="BG14" s="6">
        <v>7</v>
      </c>
      <c r="BH14" s="6">
        <v>8</v>
      </c>
      <c r="BI14" s="6">
        <v>8</v>
      </c>
      <c r="BJ14" s="6">
        <v>16</v>
      </c>
      <c r="BK14" s="6">
        <v>16</v>
      </c>
      <c r="BL14" s="6">
        <v>16</v>
      </c>
      <c r="BM14" s="6">
        <v>9</v>
      </c>
      <c r="BN14" s="6">
        <v>18</v>
      </c>
      <c r="BO14" s="6">
        <v>18</v>
      </c>
      <c r="BP14" s="6">
        <v>18</v>
      </c>
      <c r="BQ14" s="6">
        <v>10</v>
      </c>
      <c r="BR14" s="6">
        <v>20</v>
      </c>
      <c r="BS14" s="6">
        <v>20</v>
      </c>
      <c r="BT14" s="6">
        <v>20</v>
      </c>
      <c r="BU14" s="6">
        <v>10.5</v>
      </c>
      <c r="BV14" s="6">
        <v>18</v>
      </c>
      <c r="BW14" s="6">
        <v>21</v>
      </c>
      <c r="BX14" s="11">
        <v>11</v>
      </c>
      <c r="BY14" s="11">
        <v>11</v>
      </c>
      <c r="BZ14" s="11">
        <v>11</v>
      </c>
      <c r="CA14" s="12">
        <v>22</v>
      </c>
      <c r="CB14" s="12">
        <v>22</v>
      </c>
      <c r="CC14" s="23">
        <v>3</v>
      </c>
    </row>
    <row r="15" spans="1:81" ht="13.5">
      <c r="A15" s="28"/>
      <c r="B15" s="29" t="s">
        <v>38</v>
      </c>
      <c r="C15" s="29">
        <v>90</v>
      </c>
      <c r="D15" s="29">
        <v>0</v>
      </c>
      <c r="E15" s="32">
        <f>INDEX(Feuil1!$AW$11:$CB$16,Feuil1!$AV$8,Feuil1!$AV$7)</f>
        <v>0</v>
      </c>
      <c r="F15" s="33">
        <f>INDEX(Feuil1!$AW$8:$CB$8,Feuil1!$AV$7)</f>
        <v>0</v>
      </c>
      <c r="G15" s="28"/>
      <c r="H15" s="29" t="s">
        <v>38</v>
      </c>
      <c r="I15" s="29">
        <v>90</v>
      </c>
      <c r="J15" s="29">
        <v>0</v>
      </c>
      <c r="K15" s="32">
        <f>INDEX(Feuil1!$AW$11:$CB$16,Feuil1!$AV$17,Feuil1!$AV$16)</f>
        <v>0</v>
      </c>
      <c r="L15" s="33">
        <f>INDEX(Feuil1!$AW$8:$CB$8,Feuil1!$AV$16)</f>
        <v>0</v>
      </c>
      <c r="M15" s="30"/>
      <c r="N15" s="31"/>
      <c r="O15"/>
      <c r="P15"/>
      <c r="Q15"/>
      <c r="R15"/>
      <c r="S15"/>
      <c r="T15"/>
      <c r="U15"/>
      <c r="V15"/>
      <c r="W15"/>
      <c r="X15"/>
      <c r="Y15"/>
      <c r="Z15"/>
      <c r="AA15"/>
      <c r="AF15" s="9"/>
      <c r="AG15" s="9"/>
      <c r="AS15" s="10">
        <f>COUNTIF(B$9:L$21,"Lydian")</f>
        <v>0</v>
      </c>
      <c r="AT15" s="10">
        <f>IF(AS15&gt;=2,AS15,0)</f>
        <v>0</v>
      </c>
      <c r="AW15" s="1">
        <v>0</v>
      </c>
      <c r="AX15" s="6">
        <v>10</v>
      </c>
      <c r="AY15" s="6">
        <v>10</v>
      </c>
      <c r="AZ15" s="6">
        <v>10</v>
      </c>
      <c r="BA15" s="6">
        <v>15</v>
      </c>
      <c r="BB15" s="6">
        <v>7.5</v>
      </c>
      <c r="BC15" s="6">
        <v>8</v>
      </c>
      <c r="BD15" s="6">
        <v>15</v>
      </c>
      <c r="BE15" s="6">
        <v>15</v>
      </c>
      <c r="BF15" s="6">
        <v>15</v>
      </c>
      <c r="BG15" s="6">
        <v>7.5</v>
      </c>
      <c r="BH15" s="6">
        <v>8.5</v>
      </c>
      <c r="BI15" s="6">
        <v>8.5</v>
      </c>
      <c r="BJ15" s="6">
        <v>17</v>
      </c>
      <c r="BK15" s="6">
        <v>17</v>
      </c>
      <c r="BL15" s="6">
        <v>17</v>
      </c>
      <c r="BM15" s="6">
        <v>9.5</v>
      </c>
      <c r="BN15" s="6">
        <v>19</v>
      </c>
      <c r="BO15" s="6">
        <v>19</v>
      </c>
      <c r="BP15" s="6">
        <v>19</v>
      </c>
      <c r="BQ15" s="6">
        <v>10.5</v>
      </c>
      <c r="BR15" s="6">
        <v>21</v>
      </c>
      <c r="BS15" s="6">
        <v>21</v>
      </c>
      <c r="BT15" s="6">
        <v>21</v>
      </c>
      <c r="BU15" s="6">
        <v>11</v>
      </c>
      <c r="BV15" s="6">
        <v>20</v>
      </c>
      <c r="BW15" s="6">
        <v>22</v>
      </c>
      <c r="BX15" s="11">
        <v>11</v>
      </c>
      <c r="BY15" s="11">
        <v>11</v>
      </c>
      <c r="BZ15" s="11">
        <v>11</v>
      </c>
      <c r="CA15" s="12">
        <v>23</v>
      </c>
      <c r="CB15" s="12">
        <v>23</v>
      </c>
      <c r="CC15" s="23">
        <v>4</v>
      </c>
    </row>
    <row r="16" spans="1:81" ht="13.5">
      <c r="A16" s="28"/>
      <c r="B16" s="34"/>
      <c r="C16" s="34"/>
      <c r="D16" s="34"/>
      <c r="E16" s="32">
        <f>IF($C$15&gt;46,INDEX(Feuil1!$AW$18:$CB$23,Feuil1!$AV$8,Feuil1!$AV$7),"")</f>
        <v>0</v>
      </c>
      <c r="F16" s="32">
        <f>IF($C$15&gt;46,INDEX(Feuil1!$AW$6:$CB$6,Feuil1!$AV$7)," ")</f>
        <v>0</v>
      </c>
      <c r="G16" s="28"/>
      <c r="H16" s="34"/>
      <c r="I16" s="34"/>
      <c r="J16" s="34"/>
      <c r="K16" s="32">
        <f>IF($I$15&gt;46,INDEX(Feuil1!$AW$18:$CB$23,Feuil1!$AV$17,Feuil1!$AV$16),"")</f>
        <v>0</v>
      </c>
      <c r="L16" s="32">
        <f>IF($I$15&gt;46,INDEX(Feuil1!$AW$6:$CB$6,Feuil1!$AV$16)," ")</f>
        <v>0</v>
      </c>
      <c r="M16" s="30"/>
      <c r="N16" s="31"/>
      <c r="O16"/>
      <c r="P16"/>
      <c r="Q16"/>
      <c r="R16"/>
      <c r="S16"/>
      <c r="T16"/>
      <c r="U16"/>
      <c r="V16"/>
      <c r="W16"/>
      <c r="X16"/>
      <c r="Y16"/>
      <c r="Z16"/>
      <c r="AA16"/>
      <c r="AF16" s="9"/>
      <c r="AG16" s="9"/>
      <c r="AS16" s="10">
        <f>COUNTIF(B$9:L$21,"HF")</f>
        <v>0</v>
      </c>
      <c r="AT16" s="10">
        <f>IF(AS16&gt;=2,AS16,0)</f>
        <v>0</v>
      </c>
      <c r="AV16" s="6">
        <f>MATCH(Feuil1!H15,AW10:CB10,0)</f>
        <v>1</v>
      </c>
      <c r="AW16" s="1">
        <v>0</v>
      </c>
      <c r="AX16" s="6">
        <v>11</v>
      </c>
      <c r="AY16" s="6">
        <v>11</v>
      </c>
      <c r="AZ16" s="6">
        <v>11</v>
      </c>
      <c r="BA16" s="6">
        <v>16</v>
      </c>
      <c r="BB16" s="6">
        <v>8</v>
      </c>
      <c r="BC16" s="6">
        <v>8.5</v>
      </c>
      <c r="BD16" s="6">
        <v>16</v>
      </c>
      <c r="BE16" s="6">
        <v>16</v>
      </c>
      <c r="BF16" s="6">
        <v>16</v>
      </c>
      <c r="BG16" s="6">
        <v>8</v>
      </c>
      <c r="BH16" s="6">
        <v>9</v>
      </c>
      <c r="BI16" s="6">
        <v>9</v>
      </c>
      <c r="BJ16" s="6">
        <v>18</v>
      </c>
      <c r="BK16" s="6">
        <v>18</v>
      </c>
      <c r="BL16" s="6">
        <v>18</v>
      </c>
      <c r="BM16" s="6">
        <v>10</v>
      </c>
      <c r="BN16" s="6">
        <v>20</v>
      </c>
      <c r="BO16" s="6">
        <v>20</v>
      </c>
      <c r="BP16" s="6">
        <v>20</v>
      </c>
      <c r="BQ16" s="6">
        <v>11</v>
      </c>
      <c r="BR16" s="6">
        <v>22</v>
      </c>
      <c r="BS16" s="6">
        <v>22</v>
      </c>
      <c r="BT16" s="6">
        <v>22</v>
      </c>
      <c r="BU16" s="6">
        <v>11.5</v>
      </c>
      <c r="BV16" s="6">
        <v>21</v>
      </c>
      <c r="BW16" s="6">
        <v>23</v>
      </c>
      <c r="BX16" s="11">
        <v>12</v>
      </c>
      <c r="BY16" s="11">
        <v>12</v>
      </c>
      <c r="BZ16" s="11">
        <v>12</v>
      </c>
      <c r="CA16" s="12">
        <v>24</v>
      </c>
      <c r="CB16" s="12">
        <v>24</v>
      </c>
      <c r="CC16" s="23">
        <v>5</v>
      </c>
    </row>
    <row r="17" spans="1:81" ht="12.75" hidden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5"/>
      <c r="M17" s="30"/>
      <c r="N17" s="31"/>
      <c r="O17"/>
      <c r="P17"/>
      <c r="Q17"/>
      <c r="R17"/>
      <c r="S17"/>
      <c r="T17"/>
      <c r="U17"/>
      <c r="V17"/>
      <c r="W17"/>
      <c r="X17"/>
      <c r="Y17"/>
      <c r="Z17"/>
      <c r="AA17"/>
      <c r="AF17" s="9"/>
      <c r="AG17" s="9"/>
      <c r="AS17" s="10">
        <f>COUNTIF(B$9:L$21,"Salamandre")</f>
        <v>0</v>
      </c>
      <c r="AT17" s="10">
        <f>IF(AS17&gt;=2,AS17,0)</f>
        <v>0</v>
      </c>
      <c r="AV17" s="6">
        <f>MATCH(Feuil1!J15,CC11:CC16,0)</f>
        <v>1</v>
      </c>
      <c r="AW17" s="1" t="s">
        <v>38</v>
      </c>
      <c r="AX17" s="6" t="s">
        <v>39</v>
      </c>
      <c r="AY17" s="6" t="s">
        <v>40</v>
      </c>
      <c r="AZ17" s="6" t="s">
        <v>41</v>
      </c>
      <c r="BA17" s="6" t="s">
        <v>42</v>
      </c>
      <c r="BB17" s="6" t="s">
        <v>43</v>
      </c>
      <c r="BC17" s="6" t="s">
        <v>44</v>
      </c>
      <c r="BD17" s="6" t="s">
        <v>45</v>
      </c>
      <c r="BE17" s="6" t="s">
        <v>46</v>
      </c>
      <c r="BF17" s="6" t="s">
        <v>47</v>
      </c>
      <c r="BG17" s="6" t="s">
        <v>48</v>
      </c>
      <c r="BH17" s="6" t="s">
        <v>49</v>
      </c>
      <c r="BI17" s="6" t="s">
        <v>50</v>
      </c>
      <c r="BJ17" s="6" t="s">
        <v>51</v>
      </c>
      <c r="BK17" s="6" t="s">
        <v>52</v>
      </c>
      <c r="BL17" s="6" t="s">
        <v>53</v>
      </c>
      <c r="BM17" s="6" t="s">
        <v>54</v>
      </c>
      <c r="BN17" s="6" t="s">
        <v>55</v>
      </c>
      <c r="BO17" s="6" t="s">
        <v>56</v>
      </c>
      <c r="BP17" s="6" t="s">
        <v>72</v>
      </c>
      <c r="BQ17" s="6" t="s">
        <v>58</v>
      </c>
      <c r="BR17" s="6" t="s">
        <v>59</v>
      </c>
      <c r="BS17" s="6" t="s">
        <v>60</v>
      </c>
      <c r="BT17" s="6"/>
      <c r="BU17" s="6" t="s">
        <v>62</v>
      </c>
      <c r="BV17" s="6" t="s">
        <v>63</v>
      </c>
      <c r="BW17" s="6" t="s">
        <v>64</v>
      </c>
      <c r="BX17" s="23" t="s">
        <v>65</v>
      </c>
      <c r="BY17" s="24" t="s">
        <v>66</v>
      </c>
      <c r="BZ17" s="12" t="s">
        <v>67</v>
      </c>
      <c r="CA17" s="12" t="s">
        <v>68</v>
      </c>
      <c r="CB17" s="12" t="s">
        <v>69</v>
      </c>
      <c r="CC17" s="13"/>
    </row>
    <row r="18" spans="1:81" ht="12.75" hidden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5"/>
      <c r="M18" s="30"/>
      <c r="N18" s="31"/>
      <c r="O18"/>
      <c r="P18"/>
      <c r="Q18"/>
      <c r="R18"/>
      <c r="S18"/>
      <c r="T18"/>
      <c r="U18"/>
      <c r="V18"/>
      <c r="W18"/>
      <c r="X18"/>
      <c r="Y18"/>
      <c r="Z18"/>
      <c r="AA18"/>
      <c r="AF18" s="9"/>
      <c r="AG18" s="9"/>
      <c r="AS18" s="10">
        <f>COUNTIF(B$9:L$21,"Harpie")</f>
        <v>0</v>
      </c>
      <c r="AT18" s="10">
        <f>IF(AS18&gt;=2,AS18,0)</f>
        <v>0</v>
      </c>
      <c r="AW18" s="1">
        <v>0</v>
      </c>
      <c r="AX18" s="6">
        <v>6</v>
      </c>
      <c r="AY18" s="6">
        <v>6</v>
      </c>
      <c r="AZ18" s="6">
        <v>6</v>
      </c>
      <c r="BA18" s="6">
        <v>11</v>
      </c>
      <c r="BB18" s="6">
        <v>5.5</v>
      </c>
      <c r="BC18" s="6">
        <v>6</v>
      </c>
      <c r="BD18" s="6">
        <v>11</v>
      </c>
      <c r="BE18" s="6">
        <v>11</v>
      </c>
      <c r="BF18" s="6">
        <v>11</v>
      </c>
      <c r="BG18" s="6">
        <v>11</v>
      </c>
      <c r="BH18" s="6">
        <v>6.5</v>
      </c>
      <c r="BI18" s="6">
        <v>6.5</v>
      </c>
      <c r="BJ18" s="6">
        <v>13</v>
      </c>
      <c r="BK18" s="6">
        <v>13</v>
      </c>
      <c r="BL18" s="6">
        <v>13</v>
      </c>
      <c r="BM18" s="6">
        <v>7.5</v>
      </c>
      <c r="BN18" s="6">
        <v>15</v>
      </c>
      <c r="BO18" s="6">
        <v>15</v>
      </c>
      <c r="BP18" s="6">
        <v>15</v>
      </c>
      <c r="BQ18" s="6">
        <v>9</v>
      </c>
      <c r="BR18" s="6">
        <v>17</v>
      </c>
      <c r="BS18" s="6">
        <v>17</v>
      </c>
      <c r="BT18" s="6">
        <v>17</v>
      </c>
      <c r="BU18" s="6">
        <v>10</v>
      </c>
      <c r="BV18" s="6">
        <v>17</v>
      </c>
      <c r="BW18" s="36">
        <v>18</v>
      </c>
      <c r="BX18" s="11">
        <v>9</v>
      </c>
      <c r="BY18" s="11">
        <v>9</v>
      </c>
      <c r="BZ18" s="11">
        <v>9</v>
      </c>
      <c r="CA18" s="12">
        <v>19</v>
      </c>
      <c r="CB18" s="12">
        <v>19</v>
      </c>
      <c r="CC18" s="13"/>
    </row>
    <row r="19" spans="1:81" ht="13.5">
      <c r="A19" s="25"/>
      <c r="B19" s="37" t="s">
        <v>73</v>
      </c>
      <c r="C19" s="37"/>
      <c r="D19" s="37"/>
      <c r="E19" s="37"/>
      <c r="F19" s="37"/>
      <c r="G19" s="25"/>
      <c r="H19" s="38" t="s">
        <v>74</v>
      </c>
      <c r="I19" s="38"/>
      <c r="J19" s="38"/>
      <c r="K19" s="38"/>
      <c r="L19" s="3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F19" s="9"/>
      <c r="AG19" s="9"/>
      <c r="AS19" s="10">
        <f>COUNTIF(B$9:L$21,"Licorne Blanche")</f>
        <v>0</v>
      </c>
      <c r="AT19" s="10">
        <f>IF(AS19&gt;=2,AS19,0)</f>
        <v>0</v>
      </c>
      <c r="AV19" s="6">
        <f>MATCH(Feuil1!H21,AW10:CB10,0)</f>
        <v>1</v>
      </c>
      <c r="AW19" s="1">
        <v>0</v>
      </c>
      <c r="AX19" s="6">
        <v>7</v>
      </c>
      <c r="AY19" s="6">
        <v>7</v>
      </c>
      <c r="AZ19" s="6">
        <v>7</v>
      </c>
      <c r="BA19" s="6">
        <v>12</v>
      </c>
      <c r="BB19" s="6">
        <v>6</v>
      </c>
      <c r="BC19" s="6">
        <v>6.5</v>
      </c>
      <c r="BD19" s="6">
        <v>12</v>
      </c>
      <c r="BE19" s="6">
        <v>12</v>
      </c>
      <c r="BF19" s="6">
        <v>12</v>
      </c>
      <c r="BG19" s="6">
        <v>12</v>
      </c>
      <c r="BH19" s="6">
        <v>7</v>
      </c>
      <c r="BI19" s="6">
        <v>7</v>
      </c>
      <c r="BJ19" s="6">
        <v>14</v>
      </c>
      <c r="BK19" s="6">
        <v>14</v>
      </c>
      <c r="BL19" s="6">
        <v>14</v>
      </c>
      <c r="BM19" s="6">
        <v>8</v>
      </c>
      <c r="BN19" s="6">
        <v>16</v>
      </c>
      <c r="BO19" s="6">
        <v>16</v>
      </c>
      <c r="BP19" s="6">
        <v>16</v>
      </c>
      <c r="BQ19" s="6">
        <v>9.5</v>
      </c>
      <c r="BR19" s="6">
        <v>18</v>
      </c>
      <c r="BS19" s="6">
        <v>18</v>
      </c>
      <c r="BT19" s="6">
        <v>18</v>
      </c>
      <c r="BU19" s="6">
        <v>10.5</v>
      </c>
      <c r="BV19" s="6">
        <v>20</v>
      </c>
      <c r="BW19" s="36">
        <v>19</v>
      </c>
      <c r="BX19" s="12">
        <v>10</v>
      </c>
      <c r="BY19" s="12">
        <v>10</v>
      </c>
      <c r="BZ19" s="12">
        <v>10</v>
      </c>
      <c r="CA19" s="12">
        <v>20</v>
      </c>
      <c r="CB19" s="12">
        <v>20</v>
      </c>
      <c r="CC19" s="13"/>
    </row>
    <row r="20" spans="1:81" ht="13.5">
      <c r="A20" s="25"/>
      <c r="B20" s="17" t="s">
        <v>22</v>
      </c>
      <c r="C20" s="17" t="s">
        <v>23</v>
      </c>
      <c r="D20" s="17" t="s">
        <v>24</v>
      </c>
      <c r="E20" s="17" t="s">
        <v>25</v>
      </c>
      <c r="F20" s="17"/>
      <c r="G20" s="25"/>
      <c r="H20" s="17" t="s">
        <v>22</v>
      </c>
      <c r="I20" s="17" t="s">
        <v>23</v>
      </c>
      <c r="J20" s="17" t="s">
        <v>24</v>
      </c>
      <c r="K20" s="17" t="s">
        <v>25</v>
      </c>
      <c r="L20" s="17"/>
      <c r="M20" s="3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F20" s="9"/>
      <c r="AG20" s="9"/>
      <c r="AS20" s="10">
        <f>COUNTIF(B$9:L$21,"Licorne Noire")</f>
        <v>0</v>
      </c>
      <c r="AT20" s="10">
        <f>IF(AS20&gt;=2,AS20,0)</f>
        <v>0</v>
      </c>
      <c r="AV20" s="6">
        <f>MATCH(Feuil1!J21,CC11:CC16,0)</f>
        <v>1</v>
      </c>
      <c r="AW20" s="1">
        <v>0</v>
      </c>
      <c r="AX20" s="6">
        <v>8</v>
      </c>
      <c r="AY20" s="6">
        <v>8</v>
      </c>
      <c r="AZ20" s="6">
        <v>8</v>
      </c>
      <c r="BA20" s="6">
        <v>13</v>
      </c>
      <c r="BB20" s="6">
        <v>6.5</v>
      </c>
      <c r="BC20" s="6">
        <v>7</v>
      </c>
      <c r="BD20" s="6">
        <v>13</v>
      </c>
      <c r="BE20" s="6">
        <v>13</v>
      </c>
      <c r="BF20" s="6">
        <v>13</v>
      </c>
      <c r="BG20" s="6">
        <v>13</v>
      </c>
      <c r="BH20" s="6">
        <v>7.5</v>
      </c>
      <c r="BI20" s="6">
        <v>7.5</v>
      </c>
      <c r="BJ20" s="6">
        <v>15</v>
      </c>
      <c r="BK20" s="6">
        <v>15</v>
      </c>
      <c r="BL20" s="6">
        <v>15</v>
      </c>
      <c r="BM20" s="6">
        <v>8.5</v>
      </c>
      <c r="BN20" s="6">
        <v>17</v>
      </c>
      <c r="BO20" s="6">
        <v>17</v>
      </c>
      <c r="BP20" s="6">
        <v>17</v>
      </c>
      <c r="BQ20" s="6">
        <v>10</v>
      </c>
      <c r="BR20" s="6">
        <v>19</v>
      </c>
      <c r="BS20" s="6">
        <v>19</v>
      </c>
      <c r="BT20" s="6">
        <v>19</v>
      </c>
      <c r="BU20" s="6">
        <v>11</v>
      </c>
      <c r="BV20" s="6">
        <v>22</v>
      </c>
      <c r="BW20" s="36">
        <v>20</v>
      </c>
      <c r="BX20" s="11">
        <v>10</v>
      </c>
      <c r="BY20" s="11">
        <v>10</v>
      </c>
      <c r="BZ20" s="11">
        <v>10</v>
      </c>
      <c r="CA20" s="12">
        <v>21</v>
      </c>
      <c r="CB20" s="12">
        <v>21</v>
      </c>
      <c r="CC20" s="13"/>
    </row>
    <row r="21" spans="1:81" ht="13.5">
      <c r="A21" s="25"/>
      <c r="B21" s="17" t="s">
        <v>38</v>
      </c>
      <c r="C21" s="17">
        <v>90</v>
      </c>
      <c r="D21" s="17">
        <v>0</v>
      </c>
      <c r="E21" s="20">
        <f>INDEX(Feuil1!$AW$11:$CB$16,Feuil1!$AV$11,Feuil1!$AV$10)</f>
        <v>0</v>
      </c>
      <c r="F21" s="21">
        <f>INDEX(Feuil1!$AW$8:$CB$8,Feuil1!$AV$10)</f>
        <v>0</v>
      </c>
      <c r="G21" s="25"/>
      <c r="H21" s="17" t="s">
        <v>38</v>
      </c>
      <c r="I21" s="17">
        <v>90</v>
      </c>
      <c r="J21" s="17">
        <v>0</v>
      </c>
      <c r="K21" s="20">
        <f>INDEX(Feuil1!$AW$11:$CB$16,Feuil1!$AV$20,Feuil1!$AV$19)</f>
        <v>0</v>
      </c>
      <c r="L21" s="21">
        <f>INDEX(Feuil1!$AW$8:$CB$8,Feuil1!$AV$19)</f>
        <v>0</v>
      </c>
      <c r="M21" s="3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F21" s="9"/>
      <c r="AG21" s="9"/>
      <c r="AS21" s="10">
        <f>COUNTIF(B$9:L$21,"Ange")</f>
        <v>0</v>
      </c>
      <c r="AT21" s="10">
        <f>IF(AS21&gt;=2,AS21,0)</f>
        <v>0</v>
      </c>
      <c r="AW21" s="1">
        <v>0</v>
      </c>
      <c r="AX21" s="6">
        <v>9</v>
      </c>
      <c r="AY21" s="6">
        <v>9</v>
      </c>
      <c r="AZ21" s="6">
        <v>9</v>
      </c>
      <c r="BA21" s="6">
        <v>14</v>
      </c>
      <c r="BB21" s="6">
        <v>7</v>
      </c>
      <c r="BC21" s="6">
        <v>7.5</v>
      </c>
      <c r="BD21" s="6">
        <v>14</v>
      </c>
      <c r="BE21" s="6">
        <v>14</v>
      </c>
      <c r="BF21" s="6">
        <v>14</v>
      </c>
      <c r="BG21" s="6">
        <v>14</v>
      </c>
      <c r="BH21" s="6">
        <v>8</v>
      </c>
      <c r="BI21" s="6">
        <v>8</v>
      </c>
      <c r="BJ21" s="6">
        <v>16</v>
      </c>
      <c r="BK21" s="6">
        <v>16</v>
      </c>
      <c r="BL21" s="6">
        <v>16</v>
      </c>
      <c r="BM21" s="6">
        <v>9</v>
      </c>
      <c r="BN21" s="6">
        <v>18</v>
      </c>
      <c r="BO21" s="6">
        <v>18</v>
      </c>
      <c r="BP21" s="6">
        <v>18</v>
      </c>
      <c r="BQ21" s="6">
        <v>10.5</v>
      </c>
      <c r="BR21" s="6">
        <v>20</v>
      </c>
      <c r="BS21" s="6">
        <v>20</v>
      </c>
      <c r="BT21" s="6">
        <v>20</v>
      </c>
      <c r="BU21" s="6">
        <v>11.5</v>
      </c>
      <c r="BV21" s="6">
        <v>25</v>
      </c>
      <c r="BW21" s="36">
        <v>21</v>
      </c>
      <c r="BX21" s="11">
        <v>11</v>
      </c>
      <c r="BY21" s="11">
        <v>11</v>
      </c>
      <c r="BZ21" s="11">
        <v>11</v>
      </c>
      <c r="CA21" s="12">
        <v>22</v>
      </c>
      <c r="CB21" s="12">
        <v>22</v>
      </c>
      <c r="CC21" s="13"/>
    </row>
    <row r="22" spans="1:81" ht="13.5">
      <c r="A22" s="25"/>
      <c r="B22" s="22"/>
      <c r="C22" s="22"/>
      <c r="D22" s="22"/>
      <c r="E22" s="20">
        <f>IF($C$21&gt;46,INDEX(Feuil1!$AW$18:$CB$23,Feuil1!$AV$11,Feuil1!$AV$10),"")</f>
        <v>0</v>
      </c>
      <c r="F22" s="20">
        <f>IF($C$21&gt;46,INDEX(Feuil1!$AW$6:$CB$6,Feuil1!$AV$10)," ")</f>
        <v>0</v>
      </c>
      <c r="G22" s="25"/>
      <c r="H22" s="22"/>
      <c r="I22" s="22"/>
      <c r="J22" s="22"/>
      <c r="K22" s="20">
        <f>IF($I$21&gt;46,INDEX(Feuil1!$AW$18:$CB$23,Feuil1!$AV$20,Feuil1!$AV$19),"")</f>
        <v>0</v>
      </c>
      <c r="L22" s="20">
        <f>IF($I$21&gt;46,INDEX(Feuil1!$AW$6:$CB$6,Feuil1!$AV$19)," ")</f>
        <v>0</v>
      </c>
      <c r="M22" s="3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F22" s="9"/>
      <c r="AG22" s="9"/>
      <c r="AS22" s="10">
        <f>COUNTIF(B$9:L$21,"Centaure")</f>
        <v>0</v>
      </c>
      <c r="AT22" s="10">
        <f>IF(AS22&gt;=2,AS22,0)</f>
        <v>0</v>
      </c>
      <c r="AW22" s="1">
        <v>0</v>
      </c>
      <c r="AX22" s="6">
        <v>10</v>
      </c>
      <c r="AY22" s="6">
        <v>10</v>
      </c>
      <c r="AZ22" s="6">
        <v>10</v>
      </c>
      <c r="BA22" s="6">
        <v>15</v>
      </c>
      <c r="BB22" s="6">
        <v>7.5</v>
      </c>
      <c r="BC22" s="6">
        <v>8</v>
      </c>
      <c r="BD22" s="6">
        <v>15</v>
      </c>
      <c r="BE22" s="6">
        <v>15</v>
      </c>
      <c r="BF22" s="6">
        <v>15</v>
      </c>
      <c r="BG22" s="6">
        <v>15</v>
      </c>
      <c r="BH22" s="6">
        <v>8.5</v>
      </c>
      <c r="BI22" s="6">
        <v>8.5</v>
      </c>
      <c r="BJ22" s="6">
        <v>17</v>
      </c>
      <c r="BK22" s="6">
        <v>17</v>
      </c>
      <c r="BL22" s="6">
        <v>17</v>
      </c>
      <c r="BM22" s="6">
        <v>9.5</v>
      </c>
      <c r="BN22" s="6">
        <v>19</v>
      </c>
      <c r="BO22" s="6">
        <v>19</v>
      </c>
      <c r="BP22" s="6">
        <v>19</v>
      </c>
      <c r="BQ22" s="6">
        <v>11</v>
      </c>
      <c r="BR22" s="6">
        <v>21</v>
      </c>
      <c r="BS22" s="6">
        <v>21</v>
      </c>
      <c r="BT22" s="6">
        <v>21</v>
      </c>
      <c r="BU22" s="6">
        <v>12</v>
      </c>
      <c r="BV22" s="6">
        <v>27</v>
      </c>
      <c r="BW22" s="36">
        <v>22</v>
      </c>
      <c r="BX22" s="11">
        <v>11</v>
      </c>
      <c r="BY22" s="11">
        <v>11</v>
      </c>
      <c r="BZ22" s="11">
        <v>11</v>
      </c>
      <c r="CA22" s="12">
        <v>23</v>
      </c>
      <c r="CB22" s="12">
        <v>23</v>
      </c>
      <c r="CC22" s="13"/>
    </row>
    <row r="23" spans="1:81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F23" s="9"/>
      <c r="AG23" s="9"/>
      <c r="AS23" s="10">
        <f>COUNTIF(B$9:L$21,"Eimus")</f>
        <v>0</v>
      </c>
      <c r="AT23" s="10">
        <f>IF(AS23&gt;=2,AS23,0)</f>
        <v>0</v>
      </c>
      <c r="AW23" s="1">
        <v>0</v>
      </c>
      <c r="AX23" s="6">
        <v>11</v>
      </c>
      <c r="AY23" s="6">
        <v>11</v>
      </c>
      <c r="AZ23" s="6">
        <v>11</v>
      </c>
      <c r="BA23" s="6">
        <v>16</v>
      </c>
      <c r="BB23" s="6">
        <v>8</v>
      </c>
      <c r="BC23" s="6">
        <v>8.5</v>
      </c>
      <c r="BD23" s="6">
        <v>16</v>
      </c>
      <c r="BE23" s="6">
        <v>16</v>
      </c>
      <c r="BF23" s="6">
        <v>16</v>
      </c>
      <c r="BG23" s="6">
        <v>16</v>
      </c>
      <c r="BH23" s="6">
        <v>9</v>
      </c>
      <c r="BI23" s="6">
        <v>9</v>
      </c>
      <c r="BJ23" s="6">
        <v>18</v>
      </c>
      <c r="BK23" s="6">
        <v>18</v>
      </c>
      <c r="BL23" s="6">
        <v>18</v>
      </c>
      <c r="BM23" s="6">
        <v>10</v>
      </c>
      <c r="BN23" s="6">
        <v>20</v>
      </c>
      <c r="BO23" s="6">
        <v>20</v>
      </c>
      <c r="BP23" s="6">
        <v>20</v>
      </c>
      <c r="BQ23" s="6">
        <v>11.5</v>
      </c>
      <c r="BR23" s="6">
        <v>22</v>
      </c>
      <c r="BS23" s="6">
        <v>22</v>
      </c>
      <c r="BT23" s="6">
        <v>22</v>
      </c>
      <c r="BU23" s="6">
        <v>12.5</v>
      </c>
      <c r="BV23" s="6">
        <v>30</v>
      </c>
      <c r="BW23" s="36">
        <v>23</v>
      </c>
      <c r="BX23" s="11">
        <v>12</v>
      </c>
      <c r="BY23" s="11">
        <v>12</v>
      </c>
      <c r="BZ23" s="11">
        <v>12</v>
      </c>
      <c r="CA23" s="12">
        <v>24</v>
      </c>
      <c r="CB23" s="12">
        <v>24</v>
      </c>
      <c r="CC23" s="13"/>
    </row>
    <row r="24" spans="1:81" ht="13.5" customHeight="1">
      <c r="A24" s="41" t="s">
        <v>75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/>
      <c r="P24"/>
      <c r="Q24"/>
      <c r="R24"/>
      <c r="S24"/>
      <c r="T24"/>
      <c r="U24"/>
      <c r="V24"/>
      <c r="W24"/>
      <c r="X24"/>
      <c r="Y24"/>
      <c r="Z24"/>
      <c r="AA24"/>
      <c r="AE24" s="6"/>
      <c r="AF24" s="9"/>
      <c r="AG24" s="9"/>
      <c r="AS24" s="10">
        <f>COUNTIF(B$9:L$21,"Tafarie / Kainen")</f>
        <v>0</v>
      </c>
      <c r="AT24" s="10">
        <f>IF(AS24&gt;=2,AS24,0)</f>
        <v>0</v>
      </c>
      <c r="BX24"/>
      <c r="BY24"/>
      <c r="BZ24" s="13"/>
      <c r="CA24" s="13"/>
      <c r="CB24" s="13"/>
      <c r="CC24" s="13"/>
    </row>
    <row r="25" spans="1:46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/>
      <c r="P25"/>
      <c r="Q25"/>
      <c r="R25"/>
      <c r="S25"/>
      <c r="T25"/>
      <c r="U25"/>
      <c r="V25"/>
      <c r="W25"/>
      <c r="X25"/>
      <c r="Y25"/>
      <c r="Z25"/>
      <c r="AA25"/>
      <c r="AE25" s="6"/>
      <c r="AF25" s="9"/>
      <c r="AG25" s="9"/>
      <c r="AS25" s="10">
        <f>COUNTIF(B$9:L$21,"Cerbère")</f>
        <v>0</v>
      </c>
      <c r="AT25" s="10">
        <f>IF(AS25&gt;=2,AS25,0)</f>
        <v>0</v>
      </c>
    </row>
    <row r="26" spans="1:46" ht="13.5">
      <c r="A26" s="42"/>
      <c r="B26" s="43" t="s">
        <v>76</v>
      </c>
      <c r="C26" s="44" t="s">
        <v>77</v>
      </c>
      <c r="D26" s="45" t="s">
        <v>78</v>
      </c>
      <c r="E26" s="46" t="s">
        <v>79</v>
      </c>
      <c r="F26" s="47" t="s">
        <v>80</v>
      </c>
      <c r="G26" s="48" t="s">
        <v>81</v>
      </c>
      <c r="H26" s="49" t="s">
        <v>82</v>
      </c>
      <c r="I26" s="50" t="s">
        <v>83</v>
      </c>
      <c r="J26" s="50" t="s">
        <v>84</v>
      </c>
      <c r="K26" s="51" t="s">
        <v>85</v>
      </c>
      <c r="L26" s="51" t="s">
        <v>86</v>
      </c>
      <c r="M26" s="51" t="s">
        <v>87</v>
      </c>
      <c r="N26" s="51"/>
      <c r="O26"/>
      <c r="P26"/>
      <c r="Q26"/>
      <c r="R26"/>
      <c r="S26"/>
      <c r="T26"/>
      <c r="U26"/>
      <c r="V26"/>
      <c r="W26"/>
      <c r="X26"/>
      <c r="Y26"/>
      <c r="Z26"/>
      <c r="AA26"/>
      <c r="AE26" s="6"/>
      <c r="AF26" s="9"/>
      <c r="AG26" s="9"/>
      <c r="AS26" s="10">
        <f>COUNTIF(B$9:L$21,"Génie")</f>
        <v>0</v>
      </c>
      <c r="AT26" s="10">
        <f>IF(AS26&gt;=2,AS26,0)</f>
        <v>0</v>
      </c>
    </row>
    <row r="27" spans="1:46" ht="13.5">
      <c r="A27" s="52" t="s">
        <v>88</v>
      </c>
      <c r="B27" s="53"/>
      <c r="C27" s="54">
        <f>(K30-B30)*33</f>
        <v>0</v>
      </c>
      <c r="D27" s="54"/>
      <c r="E27" s="54"/>
      <c r="F27" s="54"/>
      <c r="G27" s="54"/>
      <c r="H27" s="54"/>
      <c r="I27" s="55"/>
      <c r="J27" s="56"/>
      <c r="K27" s="57">
        <f>B27+C27</f>
        <v>0</v>
      </c>
      <c r="L27" s="57">
        <f>K27</f>
        <v>0</v>
      </c>
      <c r="M27" s="58">
        <f>K27-B27</f>
        <v>0</v>
      </c>
      <c r="N27" s="59"/>
      <c r="O27"/>
      <c r="P27"/>
      <c r="Q27"/>
      <c r="R27"/>
      <c r="S27"/>
      <c r="T27"/>
      <c r="U27"/>
      <c r="V27"/>
      <c r="W27"/>
      <c r="X27"/>
      <c r="Y27"/>
      <c r="Z27"/>
      <c r="AA27"/>
      <c r="AE27" s="6"/>
      <c r="AF27" s="9"/>
      <c r="AG27" s="9"/>
      <c r="AS27" s="10">
        <f>COUNTIF(B$9:L$21,"Génie Myst")</f>
        <v>0</v>
      </c>
      <c r="AT27" s="10">
        <f>IF(AS27&gt;=2,AS27,0)</f>
        <v>0</v>
      </c>
    </row>
    <row r="28" spans="1:46" ht="13.5">
      <c r="A28" s="60" t="s">
        <v>89</v>
      </c>
      <c r="B28" s="61"/>
      <c r="C28" s="62">
        <f>(K31-B31)*30</f>
        <v>0</v>
      </c>
      <c r="D28" s="62"/>
      <c r="E28" s="62"/>
      <c r="F28" s="62"/>
      <c r="G28" s="62"/>
      <c r="H28" s="62"/>
      <c r="I28" s="63"/>
      <c r="J28" s="64"/>
      <c r="K28" s="65">
        <f>C28+B28</f>
        <v>0</v>
      </c>
      <c r="L28" s="65">
        <f>K28</f>
        <v>0</v>
      </c>
      <c r="M28" s="66">
        <f>K28-B28</f>
        <v>0</v>
      </c>
      <c r="N28" s="59"/>
      <c r="O28"/>
      <c r="P28"/>
      <c r="Q28"/>
      <c r="R28"/>
      <c r="S28"/>
      <c r="T28"/>
      <c r="U28"/>
      <c r="V28"/>
      <c r="W28"/>
      <c r="X28"/>
      <c r="Y28"/>
      <c r="Z28"/>
      <c r="AA28"/>
      <c r="AE28" s="6"/>
      <c r="AF28" s="9"/>
      <c r="AG28" s="9"/>
      <c r="AS28" s="10">
        <f>COUNTIF(B$9:L$21,"Cube")</f>
        <v>0</v>
      </c>
      <c r="AT28" s="10">
        <f>IF(AS28&gt;=2,AS28,0)</f>
        <v>0</v>
      </c>
    </row>
    <row r="29" spans="1:46" ht="13.5">
      <c r="A29" s="67" t="s">
        <v>26</v>
      </c>
      <c r="B29" s="68">
        <v>100</v>
      </c>
      <c r="C29" s="69">
        <f>IF(OR(F9="Force",F9="Force / Vitalité",F9="Force / Intelligence",F9="Force / Dextérité"),E9,0)</f>
        <v>0</v>
      </c>
      <c r="D29" s="70">
        <f>IF(OR(F15="Force",F15="Force / Vitalité",F15="Force / Intelligence",F15="Force / Dextérité"),E15,0)</f>
        <v>0</v>
      </c>
      <c r="E29" s="70">
        <f>IF(OR(F21="Force",F21="Force / Vitalité",F21="Force / Intelligence",F21="Force / Dextérité"),E21,0)</f>
        <v>0</v>
      </c>
      <c r="F29" s="70">
        <f>IF(OR(L9="Force",L9="Force / Vitalité",L9="Force / Intelligence",L9="Force / Dextérité"),K9,0)</f>
        <v>0</v>
      </c>
      <c r="G29" s="70">
        <f>IF(OR(L15="Force",L15="Force / Vitalité",L15="Force / Intelligence",L15="Force / Dextérité"),K15,0)</f>
        <v>0</v>
      </c>
      <c r="H29" s="71">
        <f>IF(OR(L21="Force",L21="Force / Vitalité",L21="Force / Intelligence",L21="Force / Dextérité"),K21,0)</f>
        <v>0</v>
      </c>
      <c r="I29" s="72">
        <f>IF(SUM(C29:H29)&lt;30,SUM(C29:H29),30)</f>
        <v>0</v>
      </c>
      <c r="J29" s="73">
        <f>AT6+AT10+AT15+AT16+AT17+AT22+AT25+AT31</f>
        <v>0</v>
      </c>
      <c r="K29" s="65">
        <f>(B29+(B29*(I29+J29)/100))</f>
        <v>100</v>
      </c>
      <c r="L29" s="65">
        <f>K29</f>
        <v>100</v>
      </c>
      <c r="M29" s="66">
        <f>K29-B29</f>
        <v>0</v>
      </c>
      <c r="N29" s="59"/>
      <c r="O29"/>
      <c r="P29"/>
      <c r="Q29"/>
      <c r="R29"/>
      <c r="S29"/>
      <c r="T29"/>
      <c r="U29"/>
      <c r="V29"/>
      <c r="W29"/>
      <c r="X29"/>
      <c r="Y29"/>
      <c r="Z29"/>
      <c r="AA29"/>
      <c r="AE29" s="6"/>
      <c r="AF29" s="9"/>
      <c r="AG29" s="9"/>
      <c r="AS29" s="10">
        <f>COUNTIF(B$9:L$21,"DB")</f>
        <v>0</v>
      </c>
      <c r="AT29" s="10">
        <f>IF(AS29&gt;=2,AS29,0)</f>
        <v>0</v>
      </c>
    </row>
    <row r="30" spans="1:46" ht="13.5">
      <c r="A30" s="74" t="s">
        <v>27</v>
      </c>
      <c r="B30" s="61">
        <v>100</v>
      </c>
      <c r="C30" s="75">
        <f>IF(OR(F9="Vitalité",F9="Force / Vitalité",F9="Intelligence / Vitalité",F9="Sagesse / Vitalité"),E9,0)</f>
        <v>0</v>
      </c>
      <c r="D30" s="76">
        <f>IF(OR(F15="Vitalité",F15="Force / Vitalité",F15="Intelligence / Vitalité",F15="Sagesse / Vitalité"),E15,0)</f>
        <v>0</v>
      </c>
      <c r="E30" s="76">
        <f>IF(OR(F21="Vitalité",F21="Force / Vitalité",F21="Intelligence / Vitalité",F21="Sagesse / Vitalité"),E21,0)</f>
        <v>0</v>
      </c>
      <c r="F30" s="76">
        <f>IF(OR(L9="Vitalité",L9="Force / Vitalité",L9="Intelligence / Vitalité",L9="Sagesse / Vitalité"),K9,0)</f>
        <v>0</v>
      </c>
      <c r="G30" s="76">
        <f>IF(OR(L15="Vitalité",L15="Force / Vitalité",L15="Intelligence / Vitalité",L15="Sagesse / Vitalité"),K15,0)</f>
        <v>0</v>
      </c>
      <c r="H30" s="77">
        <f>IF(OR(L21="Vitalité",L21="Force / Vitalité",L21="Intelligence / Vitalité",L21="Sagesse / Vitalité"),K21,0)</f>
        <v>0</v>
      </c>
      <c r="I30" s="78">
        <f>IF(SUM(C30:H30)&lt;30,SUM(C30:H30),30)</f>
        <v>0</v>
      </c>
      <c r="J30" s="79">
        <f>AT7+AT10+AT12+AT15+AT16+AT21+AT26+AT28+AT29+AT32</f>
        <v>0</v>
      </c>
      <c r="K30" s="65">
        <f>(B30+(B30*(I30+J30)/100))</f>
        <v>100</v>
      </c>
      <c r="L30" s="65">
        <f>K30</f>
        <v>100</v>
      </c>
      <c r="M30" s="66">
        <f>K30-B30</f>
        <v>0</v>
      </c>
      <c r="N30" s="59"/>
      <c r="AE30" s="6"/>
      <c r="AF30" s="9"/>
      <c r="AG30" s="9"/>
      <c r="AS30" s="10">
        <f>COUNTIF(B$9:L$21,"Carbuncle")</f>
        <v>0</v>
      </c>
      <c r="AT30" s="10">
        <f>IF(AS30&gt;=2,AS30,0)</f>
        <v>0</v>
      </c>
    </row>
    <row r="31" spans="1:46" ht="13.5">
      <c r="A31" s="74" t="s">
        <v>32</v>
      </c>
      <c r="B31" s="61">
        <v>100</v>
      </c>
      <c r="C31" s="75">
        <f>IF(OR(F9="Intelligence",F9="Force / Intelligence",F9="Intelligence / Vitalité"),E9,0)</f>
        <v>0</v>
      </c>
      <c r="D31" s="76">
        <f>IF(OR(F15="Intelligence",F15="Force / Intelligence",F15="Intelligence / Vitalité"),E15,0)</f>
        <v>0</v>
      </c>
      <c r="E31" s="76">
        <f>IF(OR(F21="Intelligence",F21="Force / Intelligence",F21="Intelligence / Vitalité"),E21,0)</f>
        <v>0</v>
      </c>
      <c r="F31" s="76">
        <f>IF(OR(L9="Intelligence",L9="Force / Intelligence",L9="Intelligence / Vitalité"),K9,0)</f>
        <v>0</v>
      </c>
      <c r="G31" s="76">
        <f>IF(OR(L15="Intelligence",L15="Force / Intelligence",L15="Intelligence / Vitalité"),K15,0)</f>
        <v>0</v>
      </c>
      <c r="H31" s="77">
        <f>IF(OR(L21="Intelligence",L21="Force / Intelligence",L21="Intelligence / Vitalité"),K21,0)</f>
        <v>0</v>
      </c>
      <c r="I31" s="78">
        <f>IF(SUM(C31:H31)&lt;30,SUM(C31:H31),30)</f>
        <v>0</v>
      </c>
      <c r="J31" s="79">
        <f>AT14+AT17+AT21+AT24+AT27+AT29</f>
        <v>0</v>
      </c>
      <c r="K31" s="65">
        <f>(B31+(B31*(I31+J31)/100))</f>
        <v>100</v>
      </c>
      <c r="L31" s="65">
        <f>K31</f>
        <v>100</v>
      </c>
      <c r="M31" s="66">
        <f>K31-B31</f>
        <v>0</v>
      </c>
      <c r="N31" s="59"/>
      <c r="AE31" s="6"/>
      <c r="AF31" s="9"/>
      <c r="AG31" s="9"/>
      <c r="AS31" s="10">
        <f>COUNTIF(B$9:L$21,"Minotaure")</f>
        <v>0</v>
      </c>
      <c r="AT31" s="10">
        <f>IF(AS31&gt;=2,AS31,0)</f>
        <v>0</v>
      </c>
    </row>
    <row r="32" spans="1:46" ht="13.5">
      <c r="A32" s="74" t="s">
        <v>90</v>
      </c>
      <c r="B32" s="61">
        <v>100</v>
      </c>
      <c r="C32" s="75">
        <f>IF(OR(F9="Sagesse / Dextérité",F9="Sagesse / Vitalité"),E9,0)</f>
        <v>0</v>
      </c>
      <c r="D32" s="76">
        <f>IF(OR(F15="Sagesse / Dextérité",F15="Sagesse / Vitalité"),E15,0)</f>
        <v>0</v>
      </c>
      <c r="E32" s="76">
        <f>IF(OR(F21="Sagesse / Dextérité",F21="Sagesse / Vitalité"),E21,0)</f>
        <v>0</v>
      </c>
      <c r="F32" s="76">
        <f>IF(OR(L9="Sagesse / Dextérité",L9="Sagesse / Vitalité"),K9,0)</f>
        <v>0</v>
      </c>
      <c r="G32" s="76">
        <f>IF(OR(L15="Sagesse / Dextérité",L15="Sagesse / Vitalité"),K15,0)</f>
        <v>0</v>
      </c>
      <c r="H32" s="77">
        <f>IF(OR(L21="Sagesse / Dextérité",L21="Sagesse / Vitalité"),K21,0)</f>
        <v>0</v>
      </c>
      <c r="I32" s="78">
        <f>IF(SUM(C32:H32)&lt;30,SUM(C32:H32),30)</f>
        <v>0</v>
      </c>
      <c r="J32" s="79">
        <f>AT11+AT32</f>
        <v>0</v>
      </c>
      <c r="K32" s="65">
        <f>(B32+(B32*(I32+J32)/100))</f>
        <v>100</v>
      </c>
      <c r="L32" s="65">
        <f>K32</f>
        <v>100</v>
      </c>
      <c r="M32" s="66">
        <f>K32-B32</f>
        <v>0</v>
      </c>
      <c r="N32" s="59"/>
      <c r="AS32" s="10">
        <f>COUNTIF(B$9:L$21,"Pick")</f>
        <v>0</v>
      </c>
      <c r="AT32" s="10">
        <f>IF(AS32&gt;=2,AS32,0)</f>
        <v>0</v>
      </c>
    </row>
    <row r="33" spans="1:46" ht="13.5">
      <c r="A33" s="74" t="s">
        <v>28</v>
      </c>
      <c r="B33" s="61">
        <v>100</v>
      </c>
      <c r="C33" s="75">
        <f>IF(OR(F9="Dextérité",F9="Sagesse / Dextérité",F9="Force / Dextérité"),E9,0)</f>
        <v>0</v>
      </c>
      <c r="D33" s="76">
        <f>IF(OR(F15="Dextérité",F15="Sagesse / Dextérité",F15="Force / Dextérité"),E15,0)</f>
        <v>0</v>
      </c>
      <c r="E33" s="76">
        <f>IF(OR(F21="Dextérité",F21="Sagesse / Dextérité",F21="Force / Dextérité"),E21,0)</f>
        <v>0</v>
      </c>
      <c r="F33" s="76">
        <f>IF(OR(L9="Dextérité",L9="Sagesse / Dextérité",L9="Force / Dextérité"),K9,0)</f>
        <v>0</v>
      </c>
      <c r="G33" s="76">
        <f>IF(OR(L15="Dextérité",L15="Sagesse / Dextérité",L15="Force / Dextérité"),K15,0)</f>
        <v>0</v>
      </c>
      <c r="H33" s="77">
        <f>IF(OR(L21="Dextérité",L21="Sagesse / Dextérité",L21="Force / Dextérité"),K21,0)</f>
        <v>0</v>
      </c>
      <c r="I33" s="78">
        <f>IF(SUM(C33:H33)&lt;30,SUM(C33:H33),30)</f>
        <v>0</v>
      </c>
      <c r="J33" s="79">
        <f>AT8+AT11+AT20+AT25+AT18</f>
        <v>0</v>
      </c>
      <c r="K33" s="65">
        <f>(B33+(B33*(I33+J33)/100))</f>
        <v>100</v>
      </c>
      <c r="L33" s="65">
        <f>K33</f>
        <v>100</v>
      </c>
      <c r="M33" s="66">
        <f>K33-B33</f>
        <v>0</v>
      </c>
      <c r="N33" s="59"/>
      <c r="AS33" s="10">
        <f>COUNTIF(B$9:L$21,"Ondine")</f>
        <v>0</v>
      </c>
      <c r="AT33" s="10">
        <f>IF(AS33&gt;=2,AS33,0)</f>
        <v>0</v>
      </c>
    </row>
    <row r="34" spans="1:46" ht="13.5">
      <c r="A34" s="74" t="s">
        <v>29</v>
      </c>
      <c r="B34" s="61">
        <v>100</v>
      </c>
      <c r="C34" s="75">
        <f>IF(OR(F9="Agilité"),E9,0)</f>
        <v>0</v>
      </c>
      <c r="D34" s="76">
        <f>IF(OR(F15="Agilité"),E15,0)</f>
        <v>0</v>
      </c>
      <c r="E34" s="76">
        <f>IF(OR(F21="Agilité"),E21,0)</f>
        <v>0</v>
      </c>
      <c r="F34" s="76">
        <f>IF(OR(L9="Agilité"),K9,0)</f>
        <v>0</v>
      </c>
      <c r="G34" s="76">
        <f>IF(OR(L15="Agilité"),K15,0)</f>
        <v>0</v>
      </c>
      <c r="H34" s="77">
        <f>IF(OR(L21="Agilité"),K21,0)</f>
        <v>0</v>
      </c>
      <c r="I34" s="78">
        <f>IF(SUM(C34:H34)&lt;30,SUM(C34:H34),30)</f>
        <v>0</v>
      </c>
      <c r="J34" s="79">
        <f>AT9+AT13+AT19</f>
        <v>0</v>
      </c>
      <c r="K34" s="65">
        <f>(B34+(B34*(I34+J34)/100))</f>
        <v>100</v>
      </c>
      <c r="L34" s="65">
        <f>K34</f>
        <v>100</v>
      </c>
      <c r="M34" s="66">
        <f>K34-B34</f>
        <v>0</v>
      </c>
      <c r="N34" s="59"/>
      <c r="AS34" s="10">
        <f>COUNTIF(B$9:L$21,"Baphomet")</f>
        <v>0</v>
      </c>
      <c r="AT34" s="10">
        <f>IF(AS34&gt;=2,AS34,0)</f>
        <v>0</v>
      </c>
    </row>
    <row r="35" spans="1:45" ht="13.5">
      <c r="A35" s="74" t="s">
        <v>36</v>
      </c>
      <c r="B35" s="61">
        <v>100</v>
      </c>
      <c r="C35" s="75">
        <f>IF(OR(F9="Chance"),E9,0)</f>
        <v>0</v>
      </c>
      <c r="D35" s="76">
        <f>IF(OR(F15="Chance"),E15,0)</f>
        <v>0</v>
      </c>
      <c r="E35" s="76">
        <f>IF(OR(F21="Chance"),E21,0)</f>
        <v>0</v>
      </c>
      <c r="F35" s="76">
        <f>IF(OR(L9="Chance"),K9,0)</f>
        <v>0</v>
      </c>
      <c r="G35" s="76">
        <f>IF(OR(L15="Chance"),K15,0)</f>
        <v>0</v>
      </c>
      <c r="H35" s="77">
        <f>IF(OR(L21="Chance"),K21,0)</f>
        <v>0</v>
      </c>
      <c r="I35" s="78">
        <f>IF(SUM(C35:H35)&lt;30,SUM(C35:H35),30)</f>
        <v>0</v>
      </c>
      <c r="J35" s="79">
        <f>AT30</f>
        <v>0</v>
      </c>
      <c r="K35" s="65">
        <f>(B35+(B35*(I35+J35)/100))</f>
        <v>100</v>
      </c>
      <c r="L35" s="65">
        <f>K35</f>
        <v>100</v>
      </c>
      <c r="M35" s="66">
        <f>K35-B35</f>
        <v>0</v>
      </c>
      <c r="N35" s="59"/>
      <c r="AS35" s="80"/>
    </row>
    <row r="36" spans="1:45" ht="13.5">
      <c r="A36" s="74" t="s">
        <v>2</v>
      </c>
      <c r="B36" s="61">
        <v>100</v>
      </c>
      <c r="C36" s="75">
        <f>IF(OR(F10="Attaque",F10="Attaque / Défense",F10="Attaque / Attaque M",F10="Attaque / Précision",F10="Attaque / Rap. D'attaque"),E10,0)</f>
        <v>0</v>
      </c>
      <c r="D36" s="76">
        <f>IF(OR(F16="Attaque",F16="Attaque / Défense",F16="Attaque / Attaque M",F16="Attaque / Précision",F16="Attaque / Rap. D'attaque"),E16,0)</f>
        <v>0</v>
      </c>
      <c r="E36" s="76">
        <f>IF(OR(F22="Attaque",F22="Attaque / Défense",F22="Attaque / Attaque M",F22="Attaque / Précision",F22="Attaque / Rap. D'attaque"),E22,0)</f>
        <v>0</v>
      </c>
      <c r="F36" s="76">
        <f>IF(OR(L10="Attaque",L10="Attaque / Défense",L10="Attaque / Attaque M",L10="Attaque / Précision",L10="Attaque / Rap. D'attaque"),K10,0)</f>
        <v>0</v>
      </c>
      <c r="G36" s="76">
        <f>IF(OR(L16="Attaque",L16="Attaque / Défense",L16="Attaque / Attaque M",L16="Attaque / Précision",L16="Attaque / Rap. D'attaque",L16="Attaque / Défense"),K16,0)</f>
        <v>0</v>
      </c>
      <c r="H36" s="77">
        <f>IF(OR(L22="Attaque",L22="B",L22="Attaque / Attaque M",L22="Attaque / Précision",L22="Attaque / Rap. D'attaque",L22="Attaque / Défense"),K22,0)</f>
        <v>0</v>
      </c>
      <c r="I36" s="78">
        <f>IF(SUM(C36:H36)&lt;30,SUM(C36:H36),30)</f>
        <v>0</v>
      </c>
      <c r="J36" s="79">
        <f>AT6+AT10+AT16+AT17+AT25+AT31</f>
        <v>0</v>
      </c>
      <c r="K36" s="65">
        <f>(B36+(B36*(I36+J36)/100))+((14/5)*(K29-B29))</f>
        <v>100</v>
      </c>
      <c r="L36" s="65">
        <f>(B36+((K33-B33)*(11/5)+(K34-B34)*(6/5)))+((B36*I36/100))</f>
        <v>100</v>
      </c>
      <c r="M36" s="66">
        <f>K36-B36</f>
        <v>0</v>
      </c>
      <c r="N36" s="81">
        <f>L36-B36</f>
        <v>0</v>
      </c>
      <c r="AS36" s="80"/>
    </row>
    <row r="37" spans="1:45" ht="13.5">
      <c r="A37" s="74" t="s">
        <v>3</v>
      </c>
      <c r="B37" s="61">
        <v>100</v>
      </c>
      <c r="C37" s="75">
        <f>IF(OR(F10="Défense",F10="Défense M / défense",F10="Attaque / Défense",F10="Attaque M / Défense"),E10,0)</f>
        <v>0</v>
      </c>
      <c r="D37" s="76">
        <f>IF(OR(F16="Défense",F16="Défense M / défense",F16="Attaque / Défense",F16="Attaque M / Défense"),E16,0)</f>
        <v>0</v>
      </c>
      <c r="E37" s="76">
        <f>IF(OR(F22="Défense",F22="Défense M / défense",F22="Attaque / Défense",F22="Attaque M / Défense"),E22,0)</f>
        <v>0</v>
      </c>
      <c r="F37" s="76">
        <f>IF(OR(L10="Défense",L10="Défense M / défense",L10="Attaque / Défense",L10="Attaque M / Défense"),K10,0)</f>
        <v>0</v>
      </c>
      <c r="G37" s="76">
        <f>IF(OR(L16="Défense",L16="Défense M / défense",L16="Attaque / Défense",L16="Attaque M / Défense"),K16,0)</f>
        <v>0</v>
      </c>
      <c r="H37" s="77">
        <f>IF(OR(L22="Défense",L22="Défense M / défense",L22="Attaque / Défense",L22="Attaque M / Défense"),K22,0)</f>
        <v>0</v>
      </c>
      <c r="I37" s="78">
        <f>IF(SUM(C37:H37)&lt;30,SUM(C37:H37),30)</f>
        <v>0</v>
      </c>
      <c r="J37" s="79">
        <f>AT7+AT10+AT12+AT15+AT16+AT21+AT28+AT32</f>
        <v>0</v>
      </c>
      <c r="K37" s="65">
        <f>(B37+(B37*(I37+J37)/100))+(5/3)*(K30-B30)</f>
        <v>100</v>
      </c>
      <c r="L37" s="65">
        <f>K37</f>
        <v>100</v>
      </c>
      <c r="M37" s="66">
        <f>K37-B37</f>
        <v>0</v>
      </c>
      <c r="N37" s="82"/>
      <c r="AS37" s="80"/>
    </row>
    <row r="38" spans="1:14" ht="13.5">
      <c r="A38" s="74" t="s">
        <v>91</v>
      </c>
      <c r="B38" s="61">
        <v>100</v>
      </c>
      <c r="C38" s="75">
        <f>IF(F10="Défense M / défense",E10,0)</f>
        <v>0</v>
      </c>
      <c r="D38" s="76">
        <f>IF(F16="Défense M / défense",E16,0)</f>
        <v>0</v>
      </c>
      <c r="E38" s="76">
        <f>IF(F22="Défense M / défense",E22,0)</f>
        <v>0</v>
      </c>
      <c r="F38" s="83">
        <f>IF(L10="Défense M / défense",K10,0)</f>
        <v>0</v>
      </c>
      <c r="G38" s="83">
        <f>IF(L16="Défense M / défense",K16,0)</f>
        <v>0</v>
      </c>
      <c r="H38" s="83">
        <f>IF(L22="Défense M / défense",K22,0)</f>
        <v>0</v>
      </c>
      <c r="I38" s="78">
        <f>IF(SUM(C38:H38)&lt;30,SUM(C38:H38),30)</f>
        <v>0</v>
      </c>
      <c r="J38" s="79">
        <f>AT32</f>
        <v>0</v>
      </c>
      <c r="K38" s="65">
        <f>B32*2+((B32*I38)/100)+B38+((K32-B32)*2)</f>
        <v>300</v>
      </c>
      <c r="L38" s="65">
        <f>K38</f>
        <v>300</v>
      </c>
      <c r="M38" s="66"/>
      <c r="N38" s="82"/>
    </row>
    <row r="39" spans="1:14" ht="13.5">
      <c r="A39" s="74" t="s">
        <v>92</v>
      </c>
      <c r="B39" s="61">
        <v>100</v>
      </c>
      <c r="C39" s="75">
        <f>IF(OR(F10="Attaque M",F10="Attaque / Attaque M",F10="Attaque M / Défense"),E10,0)</f>
        <v>0</v>
      </c>
      <c r="D39" s="76">
        <f>IF(OR(F16="Attaque M",F16="Attaque / Attaque M",F16="Attaque M / Défense"),E16,0)</f>
        <v>0</v>
      </c>
      <c r="E39" s="76">
        <f>IF(OR(F22="Attaque M",F22="Attaque / Attaque M",F22="Attaque M / Défense"),E22,0)</f>
        <v>0</v>
      </c>
      <c r="F39" s="76">
        <f>IF(OR(L10="Attaque M",L10="Attaque / Attaque M",L10="Attaque M / Défense"),K10,0)</f>
        <v>0</v>
      </c>
      <c r="G39" s="76">
        <f>IF(OR(L16="Attaque M",L16="Attaque / Attaque M",L16="Attaque M / Défense"),K16,0)</f>
        <v>0</v>
      </c>
      <c r="H39" s="77">
        <f>IF(OR(L22="Attaque M",L22="Attaque / Attaque M",L22="Attaque M / Défense"),K22,0)</f>
        <v>0</v>
      </c>
      <c r="I39" s="78">
        <f>IF(SUM(C39:H39)&lt;30,SUM(C39:H39),30)</f>
        <v>0</v>
      </c>
      <c r="J39" s="79">
        <f>AT14+AT17+AT21+AT24+AT29</f>
        <v>0</v>
      </c>
      <c r="K39" s="65">
        <f>(B39+(B39*(I39+J39)/100))+2*(K31-B31)</f>
        <v>100</v>
      </c>
      <c r="L39" s="65">
        <f>K39</f>
        <v>100</v>
      </c>
      <c r="M39" s="66">
        <f>K39-B39</f>
        <v>0</v>
      </c>
      <c r="N39" s="82"/>
    </row>
    <row r="40" spans="1:14" ht="13.5">
      <c r="A40" s="74" t="s">
        <v>4</v>
      </c>
      <c r="B40" s="61">
        <v>100</v>
      </c>
      <c r="C40" s="75">
        <f>IF(OR(F10="Précision",F10="Précision / Précision M",F10="Attaque / Précision"),E10,0)</f>
        <v>0</v>
      </c>
      <c r="D40" s="76">
        <f>IF(OR(F16="Précision",F16="Précision / Précision M",F16="Attaque / Précision"),E16,0)</f>
        <v>0</v>
      </c>
      <c r="E40" s="76">
        <f>IF(OR(F22="Précision",F22="Précision / Précision M",F22="Attaque / Précision"),E22,0)</f>
        <v>0</v>
      </c>
      <c r="F40" s="76">
        <f>IF(OR(L10="Précision",L10="Précision / Précision M",L10="Attaque / Précision"),K10,0)</f>
        <v>0</v>
      </c>
      <c r="G40" s="76">
        <f>IF(OR(L16="Précision",L16="Précision / Précision M",L16="Attaque / Précision"),K16,0)</f>
        <v>0</v>
      </c>
      <c r="H40" s="77">
        <f>IF(OR(L22="Précision",L22="Précision / Précision M",L22="Attaque / Précision"),K22,0)</f>
        <v>0</v>
      </c>
      <c r="I40" s="78">
        <f>IF(SUM(C40:H40)&lt;30,SUM(C40:H40),30)</f>
        <v>0</v>
      </c>
      <c r="J40" s="79">
        <f>AT8+AT11+AT20+AT25</f>
        <v>0</v>
      </c>
      <c r="K40" s="65">
        <f>(B40+(B40*(I40+J40)/100))+((K33-B33)/2)</f>
        <v>100</v>
      </c>
      <c r="L40" s="65">
        <f>K40</f>
        <v>100</v>
      </c>
      <c r="M40" s="66">
        <f>K40-B40</f>
        <v>0</v>
      </c>
      <c r="N40" s="82"/>
    </row>
    <row r="41" spans="1:14" ht="13.5">
      <c r="A41" s="74" t="s">
        <v>93</v>
      </c>
      <c r="B41" s="61">
        <v>100</v>
      </c>
      <c r="C41" s="75">
        <f>IF(OR(F10="Précision / Précision M"),E10,0)</f>
        <v>0</v>
      </c>
      <c r="D41" s="76">
        <f>IF(OR(F16="Précision / Précision M"),E16,0)</f>
        <v>0</v>
      </c>
      <c r="E41" s="76">
        <f>IF(OR(F22="Précision / Précision M"),E22,0)</f>
        <v>0</v>
      </c>
      <c r="F41" s="76">
        <f>IF(OR(L10="Précision / Précision M"),K10,0)</f>
        <v>0</v>
      </c>
      <c r="G41" s="76">
        <f>IF(OR(L16="Précision / Précision M"),K16,0)</f>
        <v>0</v>
      </c>
      <c r="H41" s="77">
        <f>IF(OR(L22="Précision / Précision M"),K22,0)</f>
        <v>0</v>
      </c>
      <c r="I41" s="78">
        <f>IF(SUM(C41:H41)&lt;30,SUM(C41:H41),30)</f>
        <v>0</v>
      </c>
      <c r="J41" s="79">
        <f>AT11</f>
        <v>0</v>
      </c>
      <c r="K41" s="65">
        <f>(B41+(B41*(I41+J41)/100))+((4/10)*(K32-B32))+(1/10)*(K33-B33)</f>
        <v>100</v>
      </c>
      <c r="L41" s="65">
        <f>K41</f>
        <v>100</v>
      </c>
      <c r="M41" s="66">
        <f>K41-B41</f>
        <v>0</v>
      </c>
      <c r="N41" s="82"/>
    </row>
    <row r="42" spans="1:14" ht="13.5">
      <c r="A42" s="74" t="s">
        <v>5</v>
      </c>
      <c r="B42" s="61">
        <v>100</v>
      </c>
      <c r="C42" s="75">
        <f>IF(OR(F10="Esquive"),E10,0)</f>
        <v>0</v>
      </c>
      <c r="D42" s="76">
        <f>IF(OR(F16="Esquive"),E16,0)</f>
        <v>0</v>
      </c>
      <c r="E42" s="76">
        <f>IF(OR(F22="Esquive"),E22,0)</f>
        <v>0</v>
      </c>
      <c r="F42" s="76">
        <f>IF(OR(L10="Esquive"),K10,0)</f>
        <v>0</v>
      </c>
      <c r="G42" s="76">
        <f>IF(OR(L16="Esquive"),K16,0)</f>
        <v>0</v>
      </c>
      <c r="H42" s="77">
        <f>IF(OR(L22="Esquive"),K22,0)</f>
        <v>0</v>
      </c>
      <c r="I42" s="78">
        <f>IF(SUM(C42:H42)&lt;30,SUM(C42:H42),30)</f>
        <v>0</v>
      </c>
      <c r="J42" s="79">
        <f>AT9+AT19</f>
        <v>0</v>
      </c>
      <c r="K42" s="65">
        <f>(B42+(B42*(I42+J42)/100))+(1/2*(K34-B34))</f>
        <v>100</v>
      </c>
      <c r="L42" s="65">
        <f>K42</f>
        <v>100</v>
      </c>
      <c r="M42" s="66">
        <f>K42-B42</f>
        <v>0</v>
      </c>
      <c r="N42" s="82"/>
    </row>
    <row r="43" spans="1:14" ht="13.5">
      <c r="A43" s="74" t="s">
        <v>8</v>
      </c>
      <c r="B43" s="61">
        <v>100</v>
      </c>
      <c r="C43" s="75">
        <f>IF(F10="Rap. D'attaque",E10,IF(F10="Attaque / Rap. D'attaque",E10/2,0))</f>
        <v>0</v>
      </c>
      <c r="D43" s="76">
        <f>IF(F16="Rap. D'attaque",E16,IF(F16="Attaque / Rap. D'attaque",E16/2,0))</f>
        <v>0</v>
      </c>
      <c r="E43" s="76">
        <f>IF(F22="Rap. D'attaque",E22,IF(F22="Attaque / Rap. D'attaque",E22/2,0))</f>
        <v>0</v>
      </c>
      <c r="F43" s="76">
        <f>IF(L10="Rap. D'attaque",K10,IF(L10="Attaque / Rap. D'attaque",K10/2,0))</f>
        <v>0</v>
      </c>
      <c r="G43" s="76">
        <f>IF(L16="Rap. D'attaque",K16,IF(L16="Attaque / Rap. D'attaque",K16/2,0))</f>
        <v>0</v>
      </c>
      <c r="H43" s="77">
        <f>IF(L22="Rap. D'attaque",K22,IF(L22="Attaque / Rap. D'attaque",K22/2,0))</f>
        <v>0</v>
      </c>
      <c r="I43" s="78">
        <f>IF(SUM(C43:H43)&lt;30,SUM(C43:H43),30)</f>
        <v>0</v>
      </c>
      <c r="J43" s="79">
        <f>AT18+AT13+AT31</f>
        <v>0</v>
      </c>
      <c r="K43" s="65">
        <f>(B43+(B43*(I43+J43)/100))+(1/10)*(K34-B34)</f>
        <v>100</v>
      </c>
      <c r="L43" s="65">
        <f>K43</f>
        <v>100</v>
      </c>
      <c r="M43" s="66">
        <f>K43-B43</f>
        <v>0</v>
      </c>
      <c r="N43" s="82"/>
    </row>
    <row r="44" spans="1:14" ht="13.5">
      <c r="A44" s="74" t="s">
        <v>19</v>
      </c>
      <c r="B44" s="61">
        <v>100</v>
      </c>
      <c r="C44" s="75">
        <f>IF(F10="Rap. incantation",E10,0)</f>
        <v>0</v>
      </c>
      <c r="D44" s="76">
        <f>IF(F16="Rap. incantation",E16,0)</f>
        <v>0</v>
      </c>
      <c r="E44" s="76">
        <f>IF(F22="Rap. incantation",E22,0)</f>
        <v>0</v>
      </c>
      <c r="F44" s="76">
        <f>IF(L10="Rap. incantation",K10,0)</f>
        <v>0</v>
      </c>
      <c r="G44" s="76">
        <f>IF(L16="Rap. incantation",K16,0)</f>
        <v>0</v>
      </c>
      <c r="H44" s="76">
        <f>IF(L22="Rap. incantation",K22,0)</f>
        <v>0</v>
      </c>
      <c r="I44" s="78">
        <f>IF(SUM(C44:H44)&lt;30,SUM(C44:H44),30)</f>
        <v>0</v>
      </c>
      <c r="J44" s="79">
        <f>AT34</f>
        <v>0</v>
      </c>
      <c r="K44" s="65">
        <f>B44+(B44*I44/100)</f>
        <v>100</v>
      </c>
      <c r="L44" s="65">
        <f>K44</f>
        <v>100</v>
      </c>
      <c r="M44" s="66">
        <f>K44-B44</f>
        <v>0</v>
      </c>
      <c r="N44" s="82"/>
    </row>
    <row r="45" spans="1:14" ht="13.5">
      <c r="A45" s="74" t="s">
        <v>12</v>
      </c>
      <c r="B45" s="61">
        <v>100</v>
      </c>
      <c r="C45" s="75">
        <f>IF(OR(F10="Blocage"),E10,0)</f>
        <v>0</v>
      </c>
      <c r="D45" s="76">
        <f>IF(OR(F16="Blocage"),E16,0)</f>
        <v>0</v>
      </c>
      <c r="E45" s="76">
        <f>IF(OR(F22="Blocage"),E22,0)</f>
        <v>0</v>
      </c>
      <c r="F45" s="76">
        <f>IF(OR(L10="Blocage"),K10,0)</f>
        <v>0</v>
      </c>
      <c r="G45" s="76">
        <f>IF(OR(L16="Blocage"),K16,0)</f>
        <v>0</v>
      </c>
      <c r="H45" s="77">
        <f>IF(OR(L22="Blocage"),K22,0)</f>
        <v>0</v>
      </c>
      <c r="I45" s="78">
        <f>IF(SUM(C45:H45)&lt;30,SUM(C45:H45),30)</f>
        <v>0</v>
      </c>
      <c r="J45" s="79">
        <f>AT23</f>
        <v>0</v>
      </c>
      <c r="K45" s="65">
        <f>(B45+(B45*(I45+J45)/100))</f>
        <v>100</v>
      </c>
      <c r="L45" s="65">
        <f>K45</f>
        <v>100</v>
      </c>
      <c r="M45" s="66">
        <f>K45-B45</f>
        <v>0</v>
      </c>
      <c r="N45" s="82"/>
    </row>
    <row r="46" spans="1:14" ht="13.5">
      <c r="A46" s="84" t="s">
        <v>14</v>
      </c>
      <c r="B46" s="61">
        <v>100</v>
      </c>
      <c r="C46" s="75">
        <f>IF(OR(F10="Regen HP"),E10,0)</f>
        <v>0</v>
      </c>
      <c r="D46" s="76">
        <f>IF(OR(F16="Regen HP"),E16,0)</f>
        <v>0</v>
      </c>
      <c r="E46" s="76">
        <f>IF(OR(F22="Regen HP"),E22,0)</f>
        <v>0</v>
      </c>
      <c r="F46" s="76">
        <f>IF(OR(L10="Regen HP"),K10,0)</f>
        <v>0</v>
      </c>
      <c r="G46" s="76">
        <f>IF(OR(L16="Regen HP"),K16,0)</f>
        <v>0</v>
      </c>
      <c r="H46" s="77">
        <f>IF(OR(L22="Regen HP"),K22,0)</f>
        <v>0</v>
      </c>
      <c r="I46" s="78">
        <f>IF(SUM(C46:H46)&lt;30,SUM(C46:H46),30)</f>
        <v>0</v>
      </c>
      <c r="J46" s="79">
        <f>AT26</f>
        <v>0</v>
      </c>
      <c r="K46" s="65">
        <f>(B46+(B46*(I46+J46)/100))</f>
        <v>100</v>
      </c>
      <c r="L46" s="65">
        <f>K46</f>
        <v>100</v>
      </c>
      <c r="M46" s="66">
        <f>K46-B46</f>
        <v>0</v>
      </c>
      <c r="N46" s="82"/>
    </row>
    <row r="47" spans="1:14" ht="13.5">
      <c r="A47" s="84" t="s">
        <v>15</v>
      </c>
      <c r="B47" s="61">
        <v>100</v>
      </c>
      <c r="C47" s="75">
        <f>IF(OR(F10="Regen MP"),E10,0)</f>
        <v>0</v>
      </c>
      <c r="D47" s="76">
        <f>IF(OR(F16="Regen MP"),E16,0)</f>
        <v>0</v>
      </c>
      <c r="E47" s="76">
        <f>IF(OR(F22="Regen MP"),E22,0)</f>
        <v>0</v>
      </c>
      <c r="F47" s="76">
        <f>IF(OR(L10="Regen MP"),K10,0)</f>
        <v>0</v>
      </c>
      <c r="G47" s="76">
        <f>IF(OR(L16="Regen MP"),K16,0)</f>
        <v>0</v>
      </c>
      <c r="H47" s="77">
        <f>IF(OR(L22="Regen MP"),K22,0)</f>
        <v>0</v>
      </c>
      <c r="I47" s="78">
        <f>IF(SUM(C47:H47)&lt;30,SUM(C47:H47),30)</f>
        <v>0</v>
      </c>
      <c r="J47" s="79">
        <f>AT27</f>
        <v>0</v>
      </c>
      <c r="K47" s="65">
        <f>(B47+(B47*(I47+J47)/100))</f>
        <v>100</v>
      </c>
      <c r="L47" s="65">
        <f>K47</f>
        <v>100</v>
      </c>
      <c r="M47" s="66">
        <f>K47-B47</f>
        <v>0</v>
      </c>
      <c r="N47" s="82"/>
    </row>
    <row r="48" spans="1:14" ht="13.5">
      <c r="A48" s="84" t="s">
        <v>16</v>
      </c>
      <c r="B48" s="61">
        <v>100</v>
      </c>
      <c r="C48" s="85">
        <f>IF(OR(F10="Taux critique"),E10,0)</f>
        <v>0</v>
      </c>
      <c r="D48" s="86">
        <f>IF(OR(F16="Taux critique"),E16,0)</f>
        <v>0</v>
      </c>
      <c r="E48" s="86">
        <f>IF(OR(F22="Taux critique"),E22,0)</f>
        <v>0</v>
      </c>
      <c r="F48" s="86">
        <f>IF(OR(L10="Taux critique"),K10,0)</f>
        <v>0</v>
      </c>
      <c r="G48" s="86">
        <f>IF(OR(L16="Taux critique"),K16,0)</f>
        <v>0</v>
      </c>
      <c r="H48" s="87">
        <f>IF(OR(L22="Taux critique"),K22,0)</f>
        <v>0</v>
      </c>
      <c r="I48" s="88">
        <f>IF(SUM(C48:H48)&lt;30,SUM(C48:H48),30)</f>
        <v>0</v>
      </c>
      <c r="J48" s="89">
        <f>AT30</f>
        <v>0</v>
      </c>
      <c r="K48" s="90">
        <f>(B48+(B48*(I48+J48)/100))+(1/5)*(K35-B35)</f>
        <v>100</v>
      </c>
      <c r="L48" s="90">
        <f>K48</f>
        <v>100</v>
      </c>
      <c r="M48" s="91">
        <f>K48-B48</f>
        <v>0</v>
      </c>
      <c r="N48" s="82"/>
    </row>
  </sheetData>
  <sheetProtection sheet="1"/>
  <mergeCells count="20">
    <mergeCell ref="B3:L3"/>
    <mergeCell ref="B5:L5"/>
    <mergeCell ref="B7:F7"/>
    <mergeCell ref="H7:L7"/>
    <mergeCell ref="E8:F8"/>
    <mergeCell ref="K8:L8"/>
    <mergeCell ref="B13:F13"/>
    <mergeCell ref="H13:L13"/>
    <mergeCell ref="E14:F14"/>
    <mergeCell ref="K14:L14"/>
    <mergeCell ref="B19:F19"/>
    <mergeCell ref="H19:L19"/>
    <mergeCell ref="E20:F20"/>
    <mergeCell ref="K20:L20"/>
    <mergeCell ref="A24:N25"/>
    <mergeCell ref="M26:N26"/>
    <mergeCell ref="C27:H27"/>
    <mergeCell ref="N27:N35"/>
    <mergeCell ref="C28:H28"/>
    <mergeCell ref="N37:N48"/>
  </mergeCells>
  <conditionalFormatting sqref="C29:I48">
    <cfRule type="cellIs" priority="1" dxfId="0" operator="equal" stopIfTrue="1">
      <formula>0</formula>
    </cfRule>
  </conditionalFormatting>
  <dataValidations count="3">
    <dataValidation type="list" allowBlank="1" showErrorMessage="1" sqref="C9 I9 C15 I15 C21 I21">
      <formula1>Feuil1!$AX$4:$AY$4</formula1>
      <formula2>0</formula2>
    </dataValidation>
    <dataValidation type="list" allowBlank="1" showErrorMessage="1" sqref="D9 J9 D15 J15 D21 J21">
      <formula1>Feuil1!$CC$11:$CC$16</formula1>
      <formula2>0</formula2>
    </dataValidation>
    <dataValidation type="list" showErrorMessage="1" sqref="B9 H9 B15 H15 B21 H21">
      <formula1>Feuil1!$AW$10:$CB$10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2013-04-10T17:56:44Z</dcterms:modified>
  <cp:category/>
  <cp:version/>
  <cp:contentType/>
  <cp:contentStatus/>
  <cp:revision>7</cp:revision>
</cp:coreProperties>
</file>