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855" windowHeight="7170" activeTab="1"/>
  </bookViews>
  <sheets>
    <sheet name="Index" sheetId="4" r:id="rId1"/>
    <sheet name="Etape1" sheetId="1" r:id="rId2"/>
    <sheet name="Etape2" sheetId="3" r:id="rId3"/>
    <sheet name="FICHE" sheetId="5" r:id="rId4"/>
    <sheet name="Tables" sheetId="2" r:id="rId5"/>
    <sheet name="Tables2" sheetId="6" r:id="rId6"/>
  </sheets>
  <definedNames>
    <definedName name="_">Tables!$H$1:$H$2</definedName>
    <definedName name="Acosta">Tables2!$C$32:$BT$32</definedName>
    <definedName name="Apti_cano" localSheetId="4">Tables!$F$55:$G$55</definedName>
    <definedName name="Apti_Cano">Tables!$F$55:$G$55</definedName>
    <definedName name="choix">Tables!#REF!</definedName>
    <definedName name="colav">Tables!$H$180:$H$198</definedName>
    <definedName name="colc">Etape1!$Q$4:$Q$5</definedName>
    <definedName name="cold">Etape1!$R$4:$R$9</definedName>
    <definedName name="color">Tables!$G$181:$G$198</definedName>
    <definedName name="colv">Etape1!$S$4:$S$9</definedName>
    <definedName name="Connaissance__OCG">Tables!$H$5:$H$11</definedName>
    <definedName name="dom">Tables!#REF!</definedName>
    <definedName name="Environnement__Urbain">Tables!$H$28:$H$34</definedName>
    <definedName name="Origines">Tables!$B$4:$B$51</definedName>
    <definedName name="score_faible">Tables!$G$5:$G$6</definedName>
    <definedName name="score_fort">Tables!$G$5:$G$8</definedName>
    <definedName name="val">Tables!#REF!</definedName>
    <definedName name="valA">Tables!#REF!</definedName>
    <definedName name="valB">Tables!#REF!</definedName>
    <definedName name="_xlnm.Print_Area" localSheetId="2">Etape2!$A$1:$AB$38</definedName>
    <definedName name="_xlnm.Print_Area" localSheetId="3">FICHE!$A$1:$N$42</definedName>
  </definedNames>
  <calcPr calcId="124519"/>
</workbook>
</file>

<file path=xl/calcChain.xml><?xml version="1.0" encoding="utf-8"?>
<calcChain xmlns="http://schemas.openxmlformats.org/spreadsheetml/2006/main">
  <c r="M38" i="5"/>
  <c r="N37"/>
  <c r="L48" i="6"/>
  <c r="J23" i="5"/>
  <c r="K23"/>
  <c r="L23"/>
  <c r="M23"/>
  <c r="J24"/>
  <c r="K24"/>
  <c r="L24"/>
  <c r="M24"/>
  <c r="M22"/>
  <c r="L22"/>
  <c r="K22"/>
  <c r="J22"/>
  <c r="F49" i="6"/>
  <c r="E53"/>
  <c r="G45"/>
  <c r="F50"/>
  <c r="M21" i="5" s="1"/>
  <c r="G50" i="6"/>
  <c r="G49"/>
  <c r="A2"/>
  <c r="D4" i="5"/>
  <c r="B4"/>
  <c r="F4"/>
  <c r="F2"/>
  <c r="C2"/>
  <c r="A1" i="6"/>
  <c r="P26" s="1"/>
  <c r="W20" i="1"/>
  <c r="E41" i="3"/>
  <c r="K16" i="5" s="1"/>
  <c r="E42" i="3"/>
  <c r="K17" i="5" s="1"/>
  <c r="E43" i="3"/>
  <c r="K18" i="5" s="1"/>
  <c r="D41" i="3"/>
  <c r="L16" i="5" s="1"/>
  <c r="D42" i="3"/>
  <c r="L17" i="5" s="1"/>
  <c r="D43" i="3"/>
  <c r="L18" i="5" s="1"/>
  <c r="D40" i="3"/>
  <c r="L15" i="5" s="1"/>
  <c r="E40" i="3"/>
  <c r="I16" i="5"/>
  <c r="I17"/>
  <c r="I18"/>
  <c r="I15"/>
  <c r="K8"/>
  <c r="K9"/>
  <c r="K11"/>
  <c r="K12"/>
  <c r="I8"/>
  <c r="K10"/>
  <c r="M12"/>
  <c r="K7"/>
  <c r="I12"/>
  <c r="M8"/>
  <c r="M9"/>
  <c r="M10"/>
  <c r="M11"/>
  <c r="I9"/>
  <c r="I10"/>
  <c r="I11"/>
  <c r="K35"/>
  <c r="K36" s="1"/>
  <c r="E30"/>
  <c r="F7" i="3"/>
  <c r="F51" i="6" l="1"/>
  <c r="F53" s="1"/>
  <c r="H53" s="1"/>
  <c r="J21" i="5" s="1"/>
  <c r="L32" i="6"/>
  <c r="AB32"/>
  <c r="P32"/>
  <c r="AF32"/>
  <c r="H32"/>
  <c r="X32"/>
  <c r="D32"/>
  <c r="T32"/>
  <c r="F32"/>
  <c r="N32"/>
  <c r="R32"/>
  <c r="V32"/>
  <c r="Z32"/>
  <c r="AH32"/>
  <c r="AL32"/>
  <c r="AP32"/>
  <c r="AX32"/>
  <c r="BB32"/>
  <c r="BJ32"/>
  <c r="BN32"/>
  <c r="E32"/>
  <c r="I32"/>
  <c r="M32"/>
  <c r="Q32"/>
  <c r="U32"/>
  <c r="Y32"/>
  <c r="AC32"/>
  <c r="AG32"/>
  <c r="AK32"/>
  <c r="AO32"/>
  <c r="AS32"/>
  <c r="AW32"/>
  <c r="BA32"/>
  <c r="BE32"/>
  <c r="BI32"/>
  <c r="BM32"/>
  <c r="BQ32"/>
  <c r="AZ32"/>
  <c r="BP32"/>
  <c r="AJ32"/>
  <c r="AV32"/>
  <c r="BL32"/>
  <c r="C32"/>
  <c r="O32"/>
  <c r="W32"/>
  <c r="AI32"/>
  <c r="AU32"/>
  <c r="BC32"/>
  <c r="BK32"/>
  <c r="BO32"/>
  <c r="BS32"/>
  <c r="AN32"/>
  <c r="AR32"/>
  <c r="BD32"/>
  <c r="BH32"/>
  <c r="BT32"/>
  <c r="G32"/>
  <c r="K32"/>
  <c r="S32"/>
  <c r="AA32"/>
  <c r="AE32"/>
  <c r="AM32"/>
  <c r="AQ32"/>
  <c r="AY32"/>
  <c r="BG32"/>
  <c r="J32"/>
  <c r="AD32"/>
  <c r="AT32"/>
  <c r="BF32"/>
  <c r="BR32"/>
  <c r="E27"/>
  <c r="F31" s="1"/>
  <c r="I27"/>
  <c r="J31" s="1"/>
  <c r="M27"/>
  <c r="N31" s="1"/>
  <c r="Q27"/>
  <c r="R31" s="1"/>
  <c r="U27"/>
  <c r="V31" s="1"/>
  <c r="Y27"/>
  <c r="Z31" s="1"/>
  <c r="AC27"/>
  <c r="AD31" s="1"/>
  <c r="AG27"/>
  <c r="AH31" s="1"/>
  <c r="AK27"/>
  <c r="AL31" s="1"/>
  <c r="AO27"/>
  <c r="AP31" s="1"/>
  <c r="AS27"/>
  <c r="AT31" s="1"/>
  <c r="D27"/>
  <c r="E31" s="1"/>
  <c r="H27"/>
  <c r="I31" s="1"/>
  <c r="L27"/>
  <c r="M31" s="1"/>
  <c r="P27"/>
  <c r="Q31" s="1"/>
  <c r="T27"/>
  <c r="U31" s="1"/>
  <c r="X27"/>
  <c r="Y31" s="1"/>
  <c r="AB27"/>
  <c r="AC31" s="1"/>
  <c r="AF27"/>
  <c r="AG31" s="1"/>
  <c r="AJ27"/>
  <c r="AK31" s="1"/>
  <c r="AN27"/>
  <c r="AO31" s="1"/>
  <c r="AR27"/>
  <c r="AS31" s="1"/>
  <c r="C27"/>
  <c r="D31" s="1"/>
  <c r="G27"/>
  <c r="H31" s="1"/>
  <c r="K27"/>
  <c r="L31" s="1"/>
  <c r="O27"/>
  <c r="P31" s="1"/>
  <c r="S27"/>
  <c r="T31" s="1"/>
  <c r="W27"/>
  <c r="X31" s="1"/>
  <c r="AE27"/>
  <c r="AF31" s="1"/>
  <c r="AI27"/>
  <c r="AJ31" s="1"/>
  <c r="AM27"/>
  <c r="AN31" s="1"/>
  <c r="AQ27"/>
  <c r="AR31" s="1"/>
  <c r="B27"/>
  <c r="C31" s="1"/>
  <c r="F27"/>
  <c r="G31" s="1"/>
  <c r="J27"/>
  <c r="K31" s="1"/>
  <c r="N27"/>
  <c r="O31" s="1"/>
  <c r="R27"/>
  <c r="S31" s="1"/>
  <c r="V27"/>
  <c r="W31" s="1"/>
  <c r="Z27"/>
  <c r="AA31" s="1"/>
  <c r="AD27"/>
  <c r="AE31" s="1"/>
  <c r="AH27"/>
  <c r="AI31" s="1"/>
  <c r="AL27"/>
  <c r="AM31" s="1"/>
  <c r="AP27"/>
  <c r="AQ31" s="1"/>
  <c r="AT27"/>
  <c r="AU31" s="1"/>
  <c r="AA27"/>
  <c r="AB31" s="1"/>
  <c r="E26"/>
  <c r="I26"/>
  <c r="M26"/>
  <c r="Q26"/>
  <c r="U26"/>
  <c r="Y26"/>
  <c r="AC26"/>
  <c r="D26"/>
  <c r="H26"/>
  <c r="L26"/>
  <c r="T26"/>
  <c r="X26"/>
  <c r="AB26"/>
  <c r="AF26"/>
  <c r="C26"/>
  <c r="G26"/>
  <c r="K26"/>
  <c r="O26"/>
  <c r="S26"/>
  <c r="W26"/>
  <c r="AA26"/>
  <c r="AE26"/>
  <c r="B26"/>
  <c r="F26"/>
  <c r="J26"/>
  <c r="N26"/>
  <c r="R26"/>
  <c r="V26"/>
  <c r="Z26"/>
  <c r="AD26"/>
  <c r="AH26"/>
  <c r="AG26"/>
  <c r="X16" i="1"/>
  <c r="W16"/>
  <c r="K15" i="5"/>
  <c r="C41" i="3"/>
  <c r="J16" i="5" s="1"/>
  <c r="C42" i="3"/>
  <c r="J17" i="5" s="1"/>
  <c r="C43" i="3"/>
  <c r="J18" i="5" s="1"/>
  <c r="C40" i="3"/>
  <c r="J15" i="5" s="1"/>
  <c r="D26" i="3"/>
  <c r="D27"/>
  <c r="D28"/>
  <c r="D29"/>
  <c r="D30"/>
  <c r="D31"/>
  <c r="D32"/>
  <c r="D33"/>
  <c r="D34"/>
  <c r="D25"/>
  <c r="C26"/>
  <c r="C27"/>
  <c r="C28"/>
  <c r="C29"/>
  <c r="C30"/>
  <c r="C31"/>
  <c r="C32"/>
  <c r="C33"/>
  <c r="C34"/>
  <c r="C25"/>
  <c r="D14"/>
  <c r="D15"/>
  <c r="D16"/>
  <c r="D17"/>
  <c r="D18"/>
  <c r="D19"/>
  <c r="D20"/>
  <c r="D21"/>
  <c r="D22"/>
  <c r="D13"/>
  <c r="C14"/>
  <c r="C15"/>
  <c r="C16"/>
  <c r="C17"/>
  <c r="C18"/>
  <c r="C19"/>
  <c r="C20"/>
  <c r="C21"/>
  <c r="C22"/>
  <c r="C13"/>
  <c r="L170" i="2"/>
  <c r="B4" i="3"/>
  <c r="B3"/>
  <c r="B24" s="1"/>
  <c r="U20" i="1"/>
  <c r="U19"/>
  <c r="N22" i="3"/>
  <c r="N23"/>
  <c r="N24"/>
  <c r="N25"/>
  <c r="N26"/>
  <c r="N27"/>
  <c r="N28"/>
  <c r="N21"/>
  <c r="J22"/>
  <c r="J23"/>
  <c r="J24"/>
  <c r="J25"/>
  <c r="J26"/>
  <c r="J27"/>
  <c r="J28"/>
  <c r="J29"/>
  <c r="J21"/>
  <c r="F22"/>
  <c r="F23"/>
  <c r="F25"/>
  <c r="F26"/>
  <c r="F27"/>
  <c r="F28"/>
  <c r="F29"/>
  <c r="F30"/>
  <c r="F31"/>
  <c r="F32"/>
  <c r="F33"/>
  <c r="F34"/>
  <c r="F35"/>
  <c r="F36"/>
  <c r="F37"/>
  <c r="F21"/>
  <c r="N8"/>
  <c r="N9"/>
  <c r="N10"/>
  <c r="N11"/>
  <c r="N12"/>
  <c r="N13"/>
  <c r="N14"/>
  <c r="N7"/>
  <c r="J8"/>
  <c r="J9"/>
  <c r="J10"/>
  <c r="J11"/>
  <c r="J12"/>
  <c r="J13"/>
  <c r="J14"/>
  <c r="J7"/>
  <c r="F8"/>
  <c r="F9"/>
  <c r="F10"/>
  <c r="F11"/>
  <c r="F12"/>
  <c r="F13"/>
  <c r="F14"/>
  <c r="F15"/>
  <c r="F16"/>
  <c r="F17"/>
  <c r="F18"/>
  <c r="C30" i="1"/>
  <c r="U17"/>
  <c r="U16"/>
  <c r="U15"/>
  <c r="U14"/>
  <c r="U13"/>
  <c r="U12"/>
  <c r="U11"/>
  <c r="U10"/>
  <c r="Q58" s="1"/>
  <c r="U9"/>
  <c r="U8"/>
  <c r="G46" i="6" l="1"/>
  <c r="F24" i="3"/>
  <c r="B25" i="5"/>
  <c r="D24" i="3"/>
  <c r="M7" i="5"/>
  <c r="S52" i="1"/>
  <c r="S64"/>
  <c r="S54"/>
  <c r="S72"/>
  <c r="S53"/>
  <c r="S73"/>
  <c r="S51"/>
  <c r="S59"/>
  <c r="S79"/>
  <c r="S63"/>
  <c r="S81"/>
  <c r="S70"/>
  <c r="S39"/>
  <c r="S55"/>
  <c r="S74"/>
  <c r="S61"/>
  <c r="S77"/>
  <c r="S80"/>
  <c r="S25"/>
  <c r="C24" i="3"/>
  <c r="D23" s="1"/>
  <c r="B12"/>
  <c r="I7" i="5" s="1"/>
  <c r="S37" i="1"/>
  <c r="S24"/>
  <c r="S38"/>
  <c r="S40"/>
  <c r="S69"/>
  <c r="S33"/>
  <c r="S44"/>
  <c r="S49"/>
  <c r="S60"/>
  <c r="S75"/>
  <c r="S42"/>
  <c r="S31"/>
  <c r="S45"/>
  <c r="S35"/>
  <c r="S29"/>
  <c r="S57"/>
  <c r="S82"/>
  <c r="S62"/>
  <c r="S66"/>
  <c r="S23"/>
  <c r="S46"/>
  <c r="S22"/>
  <c r="S30"/>
  <c r="S26"/>
  <c r="S41"/>
  <c r="S78"/>
  <c r="S65"/>
  <c r="S67"/>
  <c r="S50"/>
  <c r="S32"/>
  <c r="S48"/>
  <c r="S43"/>
  <c r="S76"/>
  <c r="S71"/>
  <c r="S58"/>
  <c r="S36"/>
  <c r="S68"/>
  <c r="S47"/>
  <c r="S34"/>
  <c r="S28"/>
  <c r="S56"/>
  <c r="B35" i="3" l="1"/>
  <c r="D12"/>
  <c r="C12"/>
  <c r="D10" s="1"/>
  <c r="D35" s="1"/>
  <c r="U6" i="1"/>
  <c r="U5"/>
  <c r="U4"/>
  <c r="Q9"/>
  <c r="Q7"/>
  <c r="L4"/>
  <c r="Q8"/>
  <c r="L3"/>
  <c r="R24" l="1"/>
  <c r="T24" s="1"/>
  <c r="E29" s="1"/>
  <c r="R51"/>
  <c r="T51" s="1"/>
  <c r="I27" s="1"/>
  <c r="R79"/>
  <c r="T79" s="1"/>
  <c r="I35" s="1"/>
  <c r="R81"/>
  <c r="T81" s="1"/>
  <c r="R77"/>
  <c r="T77" s="1"/>
  <c r="M33" s="1"/>
  <c r="R80"/>
  <c r="T80" s="1"/>
  <c r="E42" s="1"/>
  <c r="R53"/>
  <c r="T53" s="1"/>
  <c r="I29" s="1"/>
  <c r="R70"/>
  <c r="T70" s="1"/>
  <c r="I33" s="1"/>
  <c r="R25"/>
  <c r="T25" s="1"/>
  <c r="M28" s="1"/>
  <c r="R73"/>
  <c r="T73" s="1"/>
  <c r="M32" s="1"/>
  <c r="R52"/>
  <c r="T52" s="1"/>
  <c r="I28" s="1"/>
  <c r="R64"/>
  <c r="T64" s="1"/>
  <c r="I32" s="1"/>
  <c r="R54"/>
  <c r="T54" s="1"/>
  <c r="M27" s="1"/>
  <c r="R72"/>
  <c r="T72" s="1"/>
  <c r="M31" s="1"/>
  <c r="R59"/>
  <c r="T59" s="1"/>
  <c r="I31" s="1"/>
  <c r="R63"/>
  <c r="T63" s="1"/>
  <c r="M30" s="1"/>
  <c r="R39"/>
  <c r="T39" s="1"/>
  <c r="E43" s="1"/>
  <c r="R55"/>
  <c r="T55" s="1"/>
  <c r="I30" s="1"/>
  <c r="R74"/>
  <c r="T74" s="1"/>
  <c r="I34" s="1"/>
  <c r="R61"/>
  <c r="T61" s="1"/>
  <c r="M29" s="1"/>
  <c r="S27"/>
  <c r="E10"/>
  <c r="G6" i="3" s="1"/>
  <c r="C7" i="5" s="1"/>
  <c r="R38" i="1"/>
  <c r="T38" s="1"/>
  <c r="R58"/>
  <c r="T58" s="1"/>
  <c r="R71"/>
  <c r="T71" s="1"/>
  <c r="E34" s="1"/>
  <c r="R76"/>
  <c r="T76" s="1"/>
  <c r="E38" s="1"/>
  <c r="R43"/>
  <c r="T43" s="1"/>
  <c r="E12" s="1"/>
  <c r="R48"/>
  <c r="T48" s="1"/>
  <c r="E16" s="1"/>
  <c r="R32"/>
  <c r="T32" s="1"/>
  <c r="E20" s="1"/>
  <c r="R50"/>
  <c r="T50" s="1"/>
  <c r="I13" s="1"/>
  <c r="R67"/>
  <c r="T67" s="1"/>
  <c r="I17" s="1"/>
  <c r="R65"/>
  <c r="T65" s="1"/>
  <c r="M13" s="1"/>
  <c r="R36"/>
  <c r="T36" s="1"/>
  <c r="M16" s="1"/>
  <c r="R41"/>
  <c r="T41" s="1"/>
  <c r="E27" s="1"/>
  <c r="R26"/>
  <c r="T26" s="1"/>
  <c r="E33" s="1"/>
  <c r="R30"/>
  <c r="T30" s="1"/>
  <c r="R22"/>
  <c r="T22" s="1"/>
  <c r="E15" s="1"/>
  <c r="R31"/>
  <c r="T31" s="1"/>
  <c r="E19" s="1"/>
  <c r="R23"/>
  <c r="T23" s="1"/>
  <c r="I12" s="1"/>
  <c r="R66"/>
  <c r="T66" s="1"/>
  <c r="I16" s="1"/>
  <c r="R62"/>
  <c r="T62" s="1"/>
  <c r="R78"/>
  <c r="T78" s="1"/>
  <c r="M15" s="1"/>
  <c r="R49"/>
  <c r="T49" s="1"/>
  <c r="E28" s="1"/>
  <c r="R57"/>
  <c r="T57" s="1"/>
  <c r="R29"/>
  <c r="T29" s="1"/>
  <c r="E36" s="1"/>
  <c r="R35"/>
  <c r="T35" s="1"/>
  <c r="E40" s="1"/>
  <c r="R45"/>
  <c r="T45" s="1"/>
  <c r="E14" s="1"/>
  <c r="R47"/>
  <c r="T47" s="1"/>
  <c r="R42"/>
  <c r="T42" s="1"/>
  <c r="I11" s="1"/>
  <c r="R75"/>
  <c r="T75" s="1"/>
  <c r="I15" s="1"/>
  <c r="R60"/>
  <c r="T60" s="1"/>
  <c r="M11" s="1"/>
  <c r="R37"/>
  <c r="R82"/>
  <c r="T82" s="1"/>
  <c r="M18" s="1"/>
  <c r="R56"/>
  <c r="T56" s="1"/>
  <c r="R28"/>
  <c r="T28" s="1"/>
  <c r="E35" s="1"/>
  <c r="R34"/>
  <c r="T34" s="1"/>
  <c r="E39" s="1"/>
  <c r="R44"/>
  <c r="T44" s="1"/>
  <c r="R46"/>
  <c r="T46" s="1"/>
  <c r="R33"/>
  <c r="T33" s="1"/>
  <c r="R69"/>
  <c r="T69" s="1"/>
  <c r="I14" s="1"/>
  <c r="R68"/>
  <c r="T68" s="1"/>
  <c r="I18" s="1"/>
  <c r="R40"/>
  <c r="T40" s="1"/>
  <c r="E11" s="1"/>
  <c r="R18"/>
  <c r="T18" s="1"/>
  <c r="M9" s="1"/>
  <c r="N9" s="1"/>
  <c r="O5" i="3" s="1"/>
  <c r="Q5" s="1"/>
  <c r="R17" i="1"/>
  <c r="T17" s="1"/>
  <c r="I9" s="1"/>
  <c r="J9" s="1"/>
  <c r="K5" i="3" s="1"/>
  <c r="M5" s="1"/>
  <c r="E6" i="5" s="1"/>
  <c r="F30" i="1"/>
  <c r="G24" i="3" s="1"/>
  <c r="I24" s="1"/>
  <c r="C25" i="5" s="1"/>
  <c r="R21" i="1"/>
  <c r="T21" s="1"/>
  <c r="M25" s="1"/>
  <c r="N25" s="1"/>
  <c r="O19" i="3" s="1"/>
  <c r="Q19" s="1"/>
  <c r="G20" i="5" s="1"/>
  <c r="R16" i="1"/>
  <c r="T16" s="1"/>
  <c r="E9" s="1"/>
  <c r="F9" s="1"/>
  <c r="G5" i="3" s="1"/>
  <c r="I5" s="1"/>
  <c r="C6" i="5" s="1"/>
  <c r="R20" i="1"/>
  <c r="T20" s="1"/>
  <c r="I25" s="1"/>
  <c r="J25" s="1"/>
  <c r="K19" i="3" s="1"/>
  <c r="M19" s="1"/>
  <c r="E20" i="5" s="1"/>
  <c r="R19" i="1"/>
  <c r="T19" s="1"/>
  <c r="E25" s="1"/>
  <c r="F25" s="1"/>
  <c r="G19" i="3" s="1"/>
  <c r="I19" s="1"/>
  <c r="C20" i="5" s="1"/>
  <c r="I26" i="1"/>
  <c r="K20" i="3" s="1"/>
  <c r="E21" i="5" s="1"/>
  <c r="E26" i="1"/>
  <c r="G20" i="3" s="1"/>
  <c r="C21" i="5" s="1"/>
  <c r="M10" i="1"/>
  <c r="O6" i="3" s="1"/>
  <c r="G7" i="5" s="1"/>
  <c r="M26" i="1"/>
  <c r="O20" i="3" s="1"/>
  <c r="G21" i="5" s="1"/>
  <c r="I10" i="1"/>
  <c r="K6" i="3" s="1"/>
  <c r="E7" i="5" s="1"/>
  <c r="G6" l="1"/>
  <c r="C6" i="3"/>
  <c r="N34" i="5" s="1"/>
  <c r="M35" s="1"/>
  <c r="M36" s="1"/>
  <c r="E32" i="1"/>
  <c r="F32" s="1"/>
  <c r="G26" i="3" s="1"/>
  <c r="I26" s="1"/>
  <c r="C27" i="5" s="1"/>
  <c r="E31" i="1"/>
  <c r="F31" s="1"/>
  <c r="G25" i="3" s="1"/>
  <c r="I25" s="1"/>
  <c r="C26" i="5" s="1"/>
  <c r="J35" i="1"/>
  <c r="K29" i="3" s="1"/>
  <c r="M29" s="1"/>
  <c r="E29" i="5" s="1"/>
  <c r="E37" i="1"/>
  <c r="F37" s="1"/>
  <c r="G31" i="3" s="1"/>
  <c r="I31" s="1"/>
  <c r="C32" i="5" s="1"/>
  <c r="E22" i="1"/>
  <c r="F22" s="1"/>
  <c r="G18" i="3" s="1"/>
  <c r="I18" s="1"/>
  <c r="C19" i="5" s="1"/>
  <c r="M34" i="1"/>
  <c r="N34" s="1"/>
  <c r="O28" i="3" s="1"/>
  <c r="Q28" s="1"/>
  <c r="G29" i="5" s="1"/>
  <c r="N28" i="1"/>
  <c r="O22" i="3" s="1"/>
  <c r="Q22" s="1"/>
  <c r="G23" i="5" s="1"/>
  <c r="E13" i="1"/>
  <c r="F13" s="1"/>
  <c r="G9" i="3" s="1"/>
  <c r="I9" s="1"/>
  <c r="C10" i="5" s="1"/>
  <c r="N27" i="1"/>
  <c r="O21" i="3" s="1"/>
  <c r="Q21" s="1"/>
  <c r="G22" i="5" s="1"/>
  <c r="M12" i="1"/>
  <c r="N12" s="1"/>
  <c r="O8" i="3" s="1"/>
  <c r="Q8" s="1"/>
  <c r="G9" i="5" s="1"/>
  <c r="F40" i="1"/>
  <c r="G34" i="3" s="1"/>
  <c r="I34" s="1"/>
  <c r="C35" i="5" s="1"/>
  <c r="E21" i="1"/>
  <c r="F21" s="1"/>
  <c r="G17" i="3" s="1"/>
  <c r="I17" s="1"/>
  <c r="C18" i="5" s="1"/>
  <c r="J32" i="1"/>
  <c r="K26" i="3" s="1"/>
  <c r="M26" s="1"/>
  <c r="E26" i="5" s="1"/>
  <c r="M17" i="1"/>
  <c r="N17" s="1"/>
  <c r="O13" i="3" s="1"/>
  <c r="Q13" s="1"/>
  <c r="G14" i="5" s="1"/>
  <c r="E17" i="1"/>
  <c r="E18"/>
  <c r="F18" s="1"/>
  <c r="G14" i="3" s="1"/>
  <c r="I14" s="1"/>
  <c r="C15" i="5" s="1"/>
  <c r="N31" i="1"/>
  <c r="O25" i="3" s="1"/>
  <c r="Q25" s="1"/>
  <c r="G26" i="5" s="1"/>
  <c r="J33" i="1"/>
  <c r="K27" i="3" s="1"/>
  <c r="M27" s="1"/>
  <c r="E27" i="5" s="1"/>
  <c r="J30" i="1"/>
  <c r="K24" i="3" s="1"/>
  <c r="M24" s="1"/>
  <c r="E24" i="5" s="1"/>
  <c r="F34" i="1"/>
  <c r="G28" i="3" s="1"/>
  <c r="I28" s="1"/>
  <c r="C29" i="5" s="1"/>
  <c r="F42" i="1"/>
  <c r="G36" i="3" s="1"/>
  <c r="I36" s="1"/>
  <c r="C37" i="5" s="1"/>
  <c r="J15" i="1"/>
  <c r="K11" i="3" s="1"/>
  <c r="N30" i="1"/>
  <c r="O24" i="3" s="1"/>
  <c r="Q24" s="1"/>
  <c r="G25" i="5" s="1"/>
  <c r="J29" i="1"/>
  <c r="K23" i="3" s="1"/>
  <c r="M23" s="1"/>
  <c r="E23" i="5" s="1"/>
  <c r="J28" i="1"/>
  <c r="K22" i="3" s="1"/>
  <c r="M22" s="1"/>
  <c r="J27" i="1"/>
  <c r="K21" i="3" s="1"/>
  <c r="M21" s="1"/>
  <c r="E22" i="5" s="1"/>
  <c r="F15" i="1"/>
  <c r="G11" i="3" s="1"/>
  <c r="I11" s="1"/>
  <c r="C12" i="5" s="1"/>
  <c r="R27" i="1"/>
  <c r="T27" s="1"/>
  <c r="M14" s="1"/>
  <c r="N14" s="1"/>
  <c r="O10" i="3" s="1"/>
  <c r="Q10" s="1"/>
  <c r="G11" i="5" s="1"/>
  <c r="N13" i="1"/>
  <c r="O9" i="3" s="1"/>
  <c r="Q9" s="1"/>
  <c r="G10" i="5" s="1"/>
  <c r="N15" i="1"/>
  <c r="O11" i="3" s="1"/>
  <c r="Q11" s="1"/>
  <c r="G12" i="5" s="1"/>
  <c r="C5" i="3"/>
  <c r="J34" i="5" s="1"/>
  <c r="F14" i="1"/>
  <c r="G10" i="3" s="1"/>
  <c r="I10" s="1"/>
  <c r="C11" i="5" s="1"/>
  <c r="T37" i="1"/>
  <c r="F19"/>
  <c r="G15" i="3" s="1"/>
  <c r="I15" s="1"/>
  <c r="C16" i="5" s="1"/>
  <c r="F17" i="1"/>
  <c r="G13" i="3" s="1"/>
  <c r="I13" s="1"/>
  <c r="C14" i="5" s="1"/>
  <c r="F16" i="1"/>
  <c r="G12" i="3" s="1"/>
  <c r="I12" s="1"/>
  <c r="C13" i="5" s="1"/>
  <c r="F29" i="1"/>
  <c r="G23" i="3" s="1"/>
  <c r="I23" s="1"/>
  <c r="C24" i="5" s="1"/>
  <c r="J12" i="1"/>
  <c r="K8" i="3" s="1"/>
  <c r="J16" i="1"/>
  <c r="K12" i="3" s="1"/>
  <c r="J14" i="1"/>
  <c r="K10" i="3" s="1"/>
  <c r="F28" i="1"/>
  <c r="G22" i="3" s="1"/>
  <c r="I22" s="1"/>
  <c r="C23" i="5" s="1"/>
  <c r="J13" i="1"/>
  <c r="K9" i="3" s="1"/>
  <c r="F38" i="1"/>
  <c r="G32" i="3" s="1"/>
  <c r="I32" s="1"/>
  <c r="C33" i="5" s="1"/>
  <c r="N33" i="1"/>
  <c r="O27" i="3" s="1"/>
  <c r="Q27" s="1"/>
  <c r="G28" i="5" s="1"/>
  <c r="N16" i="1"/>
  <c r="O12" i="3" s="1"/>
  <c r="Q12" s="1"/>
  <c r="G13" i="5" s="1"/>
  <c r="J31" i="1"/>
  <c r="K25" i="3" s="1"/>
  <c r="M25" s="1"/>
  <c r="E25" i="5" s="1"/>
  <c r="N11" i="1"/>
  <c r="O7" i="3" s="1"/>
  <c r="Q7" s="1"/>
  <c r="G8" i="5" s="1"/>
  <c r="J17" i="1"/>
  <c r="K13" i="3" s="1"/>
  <c r="J18" i="1"/>
  <c r="K14" i="3" s="1"/>
  <c r="F43" i="1"/>
  <c r="G37" i="3" s="1"/>
  <c r="I37" s="1"/>
  <c r="C38" i="5" s="1"/>
  <c r="F11" i="1"/>
  <c r="G7" i="3" s="1"/>
  <c r="I7" s="1"/>
  <c r="C8" i="5" s="1"/>
  <c r="F39" i="1"/>
  <c r="G33" i="3" s="1"/>
  <c r="I33" s="1"/>
  <c r="C34" i="5" s="1"/>
  <c r="F33" i="1"/>
  <c r="G27" i="3" s="1"/>
  <c r="I27" s="1"/>
  <c r="C28" i="5" s="1"/>
  <c r="F20" i="1"/>
  <c r="G16" i="3" s="1"/>
  <c r="I16" s="1"/>
  <c r="C17" i="5" s="1"/>
  <c r="N29" i="1"/>
  <c r="O23" i="3" s="1"/>
  <c r="Q23" s="1"/>
  <c r="G24" i="5" s="1"/>
  <c r="F12" i="1"/>
  <c r="G8" i="3" s="1"/>
  <c r="I8" s="1"/>
  <c r="C9" i="5" s="1"/>
  <c r="F27" i="1"/>
  <c r="G21" i="3" s="1"/>
  <c r="I21" s="1"/>
  <c r="C22" i="5" s="1"/>
  <c r="J11" i="1"/>
  <c r="K7" i="3" s="1"/>
  <c r="M7" s="1"/>
  <c r="J34" i="1"/>
  <c r="K28" i="3" s="1"/>
  <c r="M28" s="1"/>
  <c r="E28" i="5" s="1"/>
  <c r="N32" i="1"/>
  <c r="O26" i="3" s="1"/>
  <c r="Q26" s="1"/>
  <c r="G27" i="5" s="1"/>
  <c r="F36" i="1"/>
  <c r="G30" i="3" s="1"/>
  <c r="I30" s="1"/>
  <c r="C31" i="5" s="1"/>
  <c r="F35" i="1"/>
  <c r="G29" i="3" s="1"/>
  <c r="I29" s="1"/>
  <c r="C30" i="5" s="1"/>
  <c r="M12" i="3" l="1"/>
  <c r="E13" i="5" s="1"/>
  <c r="M13" i="3"/>
  <c r="M10"/>
  <c r="E11" i="5" s="1"/>
  <c r="E14"/>
  <c r="M14" i="3"/>
  <c r="E15" i="5" s="1"/>
  <c r="M9" i="3"/>
  <c r="E10" i="5" s="1"/>
  <c r="E8"/>
  <c r="M8" i="3"/>
  <c r="E9" i="5" s="1"/>
  <c r="M11" i="3"/>
  <c r="E12" i="5" s="1"/>
  <c r="I36"/>
  <c r="I35"/>
  <c r="I38"/>
  <c r="I37"/>
  <c r="E41" i="1"/>
  <c r="F41" s="1"/>
  <c r="G35" i="3" s="1"/>
  <c r="I35" s="1"/>
  <c r="C36" i="5" s="1"/>
  <c r="N18" i="1"/>
  <c r="O14" i="3" s="1"/>
  <c r="Q14" s="1"/>
  <c r="G15" i="5" s="1"/>
</calcChain>
</file>

<file path=xl/comments1.xml><?xml version="1.0" encoding="utf-8"?>
<comments xmlns="http://schemas.openxmlformats.org/spreadsheetml/2006/main">
  <authors>
    <author>Guilhan</author>
  </authors>
  <commentList>
    <comment ref="D8" authorId="0">
      <text>
        <r>
          <rPr>
            <sz val="9"/>
            <color indexed="81"/>
            <rFont val="Tahoma"/>
            <family val="2"/>
          </rPr>
          <t xml:space="preserve">Points à attribuer à la création 
</t>
        </r>
        <r>
          <rPr>
            <b/>
            <sz val="9"/>
            <color indexed="81"/>
            <rFont val="Tahoma"/>
            <family val="2"/>
          </rPr>
          <t xml:space="preserve">Caractéristiques : 
</t>
        </r>
        <r>
          <rPr>
            <sz val="9"/>
            <color indexed="81"/>
            <rFont val="Tahoma"/>
            <family val="2"/>
          </rPr>
          <t xml:space="preserve">4-3-3-3-3-2
</t>
        </r>
        <r>
          <rPr>
            <b/>
            <sz val="9"/>
            <color indexed="81"/>
            <rFont val="Tahoma"/>
            <family val="2"/>
          </rPr>
          <t xml:space="preserve">Compétences : </t>
        </r>
        <r>
          <rPr>
            <sz val="9"/>
            <color indexed="81"/>
            <rFont val="Tahoma"/>
            <family val="2"/>
          </rPr>
          <t xml:space="preserve">
3-3 / 2-2-2-2-2 / 1-1-1-1
</t>
        </r>
        <r>
          <rPr>
            <sz val="8"/>
            <color indexed="81"/>
            <rFont val="Tahoma"/>
            <family val="2"/>
          </rPr>
          <t>Domaine faible : 1 uniquement</t>
        </r>
      </text>
    </comment>
    <comment ref="E8" authorId="0">
      <text>
        <r>
          <rPr>
            <sz val="9"/>
            <color indexed="81"/>
            <rFont val="Tahoma"/>
            <family val="2"/>
          </rPr>
          <t>Points bonus de l'</t>
        </r>
        <r>
          <rPr>
            <b/>
            <sz val="9"/>
            <color indexed="81"/>
            <rFont val="Tahoma"/>
            <family val="2"/>
          </rPr>
          <t>Origine</t>
        </r>
        <r>
          <rPr>
            <sz val="9"/>
            <color indexed="81"/>
            <rFont val="Tahoma"/>
            <family val="2"/>
          </rPr>
          <t xml:space="preserve"> 
et de l'</t>
        </r>
        <r>
          <rPr>
            <b/>
            <sz val="9"/>
            <color indexed="81"/>
            <rFont val="Tahoma"/>
            <family val="2"/>
          </rPr>
          <t>Archétype</t>
        </r>
      </text>
    </comment>
  </commentList>
</comments>
</file>

<file path=xl/comments2.xml><?xml version="1.0" encoding="utf-8"?>
<comments xmlns="http://schemas.openxmlformats.org/spreadsheetml/2006/main">
  <authors>
    <author>Guilhan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10 points maximum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A la création : 
2 Basiques ou 1 Avancée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<sst xmlns="http://schemas.openxmlformats.org/spreadsheetml/2006/main" count="1953" uniqueCount="1235">
  <si>
    <t>Origine</t>
  </si>
  <si>
    <t>Attribut bonus</t>
  </si>
  <si>
    <t>OCG (Employé)</t>
  </si>
  <si>
    <t>Agilité</t>
  </si>
  <si>
    <t>Bureaucratie</t>
  </si>
  <si>
    <t>OCG (Cadre)</t>
  </si>
  <si>
    <t>Intelligence</t>
  </si>
  <si>
    <t>Commerce</t>
  </si>
  <si>
    <t>OCG Frazer (Employé)</t>
  </si>
  <si>
    <t>Perception</t>
  </si>
  <si>
    <t>OCG Frazer (Cadre)</t>
  </si>
  <si>
    <t>Stratégie</t>
  </si>
  <si>
    <t>OCG Galatic (Employé)</t>
  </si>
  <si>
    <t>OCG Galatic (Cadre)</t>
  </si>
  <si>
    <t>OCG Sécurity (Employé)</t>
  </si>
  <si>
    <t>OCG Sécurity (Cadre)</t>
  </si>
  <si>
    <t>Présence</t>
  </si>
  <si>
    <t>Carrure</t>
  </si>
  <si>
    <t>Tactique</t>
  </si>
  <si>
    <t>Commandement</t>
  </si>
  <si>
    <t>Barrens (Esclave)</t>
  </si>
  <si>
    <t>Barrens (Pillard)</t>
  </si>
  <si>
    <t>Sang Froid</t>
  </si>
  <si>
    <t>Intimidation</t>
  </si>
  <si>
    <t>Barrens Barossa (Esclave)</t>
  </si>
  <si>
    <t>Barrens Barossa (Pillard)</t>
  </si>
  <si>
    <t>Barrens Khan (Esclave)</t>
  </si>
  <si>
    <t>Technologie</t>
  </si>
  <si>
    <t>Barrens Khan (Pillard)</t>
  </si>
  <si>
    <t>Barrens Horde Noire (Esclave)</t>
  </si>
  <si>
    <t>Barrens Horde Noire (Pillard)</t>
  </si>
  <si>
    <t>Sol (Serf)</t>
  </si>
  <si>
    <t>Sol (Noble)</t>
  </si>
  <si>
    <t>Sol Belassica (Serf)</t>
  </si>
  <si>
    <t>Sol Belassica (Noble)</t>
  </si>
  <si>
    <t>Sol Démétriès (Serf)</t>
  </si>
  <si>
    <t>Sol Démétriès (Noble)</t>
  </si>
  <si>
    <t>Sol Liber (Serf)</t>
  </si>
  <si>
    <t>Sol Liber (Noble)</t>
  </si>
  <si>
    <t>Etiquette</t>
  </si>
  <si>
    <t>Séduction</t>
  </si>
  <si>
    <t>Eloquence</t>
  </si>
  <si>
    <t>Athlétisme</t>
  </si>
  <si>
    <t>Ligue (Citoyen)</t>
  </si>
  <si>
    <t>Ligue (Fonctionnaire)</t>
  </si>
  <si>
    <t>Ligue D3 (Agent)</t>
  </si>
  <si>
    <t>Ligue Astrodivision (Agent)</t>
  </si>
  <si>
    <t>Ligue Astrodivision (Officier)</t>
  </si>
  <si>
    <t>Ligue D3 (Officier)</t>
  </si>
  <si>
    <t>Ligue R&amp;D (Agent)</t>
  </si>
  <si>
    <t>Ligue R&amp;D (Officier)</t>
  </si>
  <si>
    <t>Navigation</t>
  </si>
  <si>
    <t>Analyse</t>
  </si>
  <si>
    <t>Empire (Militaire)</t>
  </si>
  <si>
    <t>Empire Alphas (Sympathisant)</t>
  </si>
  <si>
    <t>Empire Grande Armada (Matelot)</t>
  </si>
  <si>
    <t>Empire Grande Armada (Officier)</t>
  </si>
  <si>
    <t>Empire Grande Armée (Soldat)</t>
  </si>
  <si>
    <t>Empire Grande Armée (Officier)</t>
  </si>
  <si>
    <t>Recherche</t>
  </si>
  <si>
    <t>Discrétion</t>
  </si>
  <si>
    <t>Environnement (espace)</t>
  </si>
  <si>
    <t>Havana (Pirate)</t>
  </si>
  <si>
    <t>Havana (Indigène)</t>
  </si>
  <si>
    <t>Havana (Fils de Black Mamba)</t>
  </si>
  <si>
    <t>Havana (Fils de Bastardo)</t>
  </si>
  <si>
    <t>Havana (Fils de Frère de la Côte)</t>
  </si>
  <si>
    <t>Havana (Fils de Hijo de Havana)</t>
  </si>
  <si>
    <t>Havana (havanais des côtes)</t>
  </si>
  <si>
    <t>Havana (tribal)</t>
  </si>
  <si>
    <t>Mêlée</t>
  </si>
  <si>
    <t>Détermination</t>
  </si>
  <si>
    <t>Empathie</t>
  </si>
  <si>
    <t>Illégalité</t>
  </si>
  <si>
    <t>Compétence bonus</t>
  </si>
  <si>
    <t>Empire (Civil)</t>
  </si>
  <si>
    <t>Connaissance bonus</t>
  </si>
  <si>
    <t>Humain</t>
  </si>
  <si>
    <t>Mutant</t>
  </si>
  <si>
    <t>Naissance</t>
  </si>
  <si>
    <t>Acrobaties</t>
  </si>
  <si>
    <t>Armes de poing</t>
  </si>
  <si>
    <t>Armes de trait</t>
  </si>
  <si>
    <t>Armes d'épaule</t>
  </si>
  <si>
    <t>[Armes emb.]</t>
  </si>
  <si>
    <t>Armes de jet</t>
  </si>
  <si>
    <t>[Armes lourdes]</t>
  </si>
  <si>
    <t>Athélisme</t>
  </si>
  <si>
    <t>Equitation</t>
  </si>
  <si>
    <t>Déguisement</t>
  </si>
  <si>
    <t>Discretion</t>
  </si>
  <si>
    <t>[Falsification]</t>
  </si>
  <si>
    <t>[Senseurs]</t>
  </si>
  <si>
    <t>[Syst. Sécu]</t>
  </si>
  <si>
    <t>Vigilance</t>
  </si>
  <si>
    <t>Arts (            )</t>
  </si>
  <si>
    <t>[Cartographie]</t>
  </si>
  <si>
    <t>[Esotérisme]</t>
  </si>
  <si>
    <t>Histoire</t>
  </si>
  <si>
    <t>[Ingénierie]</t>
  </si>
  <si>
    <t>[Médecine]</t>
  </si>
  <si>
    <t>[TechnoCog]</t>
  </si>
  <si>
    <t>[Sciences Stellaires]</t>
  </si>
  <si>
    <t>[Démolition]</t>
  </si>
  <si>
    <t>[Pilotage (Voile)]</t>
  </si>
  <si>
    <t>Baratin</t>
  </si>
  <si>
    <t>Comédie</t>
  </si>
  <si>
    <t>Danse</t>
  </si>
  <si>
    <t>Jeux</t>
  </si>
  <si>
    <t>Dressage</t>
  </si>
  <si>
    <t>Illégalités</t>
  </si>
  <si>
    <t>Premiers soins</t>
  </si>
  <si>
    <t>[Sciences Solaires]</t>
  </si>
  <si>
    <t>Techniques</t>
  </si>
  <si>
    <t>Survie</t>
  </si>
  <si>
    <t>Espionnage</t>
  </si>
  <si>
    <t>Sciences</t>
  </si>
  <si>
    <t>Négociation</t>
  </si>
  <si>
    <t>Trempe</t>
  </si>
  <si>
    <t>Santé</t>
  </si>
  <si>
    <t>Archétype</t>
  </si>
  <si>
    <t>Connaissance (OCG)</t>
  </si>
  <si>
    <t>Connaissance (Barrens)</t>
  </si>
  <si>
    <t>Connaissance (Sol)</t>
  </si>
  <si>
    <t>Connaissance (Empire)</t>
  </si>
  <si>
    <t>Connaissance (Ligue)</t>
  </si>
  <si>
    <t>Connaissance (Havana)</t>
  </si>
  <si>
    <t>Artisanat (Cuisine)</t>
  </si>
  <si>
    <t>Artisanat (Forge)</t>
  </si>
  <si>
    <t>Artisanat (Distillerie)</t>
  </si>
  <si>
    <t>Artisanat (Couture)</t>
  </si>
  <si>
    <t>Artisanat (Meuble)</t>
  </si>
  <si>
    <t>Environnement (Espace)</t>
  </si>
  <si>
    <t>Arts (Musique)</t>
  </si>
  <si>
    <t>Arts (Chant)</t>
  </si>
  <si>
    <t>Arts (Poésie)</t>
  </si>
  <si>
    <t>Arts (Dessin)</t>
  </si>
  <si>
    <t>Arts (Tatouage)</t>
  </si>
  <si>
    <t>[Langue (Stellaire)]</t>
  </si>
  <si>
    <t>[Sorcelerie (Vulgaire)]</t>
  </si>
  <si>
    <t>[Sorcelerie (Guerre)]</t>
  </si>
  <si>
    <t>[Sorcelerie (Shalifar)]</t>
  </si>
  <si>
    <t>Domaine 2</t>
  </si>
  <si>
    <t>Domaine 3</t>
  </si>
  <si>
    <t>Domaine 1</t>
  </si>
  <si>
    <t>Comp 1</t>
  </si>
  <si>
    <t>Comp 2</t>
  </si>
  <si>
    <t>Comp3</t>
  </si>
  <si>
    <t>Comp 4</t>
  </si>
  <si>
    <t>Comp 5</t>
  </si>
  <si>
    <t>Comp 6</t>
  </si>
  <si>
    <t>Comp 7</t>
  </si>
  <si>
    <t>Comp 8</t>
  </si>
  <si>
    <t>Comp 9</t>
  </si>
  <si>
    <t>Aptitude 1</t>
  </si>
  <si>
    <t>Aptitude 2</t>
  </si>
  <si>
    <t>Canonnier</t>
  </si>
  <si>
    <t>El Seductor</t>
  </si>
  <si>
    <t>Fusilier</t>
  </si>
  <si>
    <t>Historien</t>
  </si>
  <si>
    <t>Navigateur</t>
  </si>
  <si>
    <t>Ingénieur</t>
  </si>
  <si>
    <t>Maitre de la Sainte Barbe</t>
  </si>
  <si>
    <t>El Fuego !</t>
  </si>
  <si>
    <t>Une conquête dans chaque port</t>
  </si>
  <si>
    <t>Sniper</t>
  </si>
  <si>
    <t>Increvable !</t>
  </si>
  <si>
    <t>Puit de science</t>
  </si>
  <si>
    <t>Esprit d'analyse</t>
  </si>
  <si>
    <t>Afterburner</t>
  </si>
  <si>
    <t>Réparation express</t>
  </si>
  <si>
    <t>Scotty special</t>
  </si>
  <si>
    <t>[Sciences Sollaires]</t>
  </si>
  <si>
    <t>Comp 10</t>
  </si>
  <si>
    <t>/</t>
  </si>
  <si>
    <t xml:space="preserve"> </t>
  </si>
  <si>
    <t>Connaissance (            )</t>
  </si>
  <si>
    <t>Artisanat  (            )</t>
  </si>
  <si>
    <t>[Langue  (            )]</t>
  </si>
  <si>
    <t>[Sorcelerie  (            )]</t>
  </si>
  <si>
    <t>Aptitude</t>
  </si>
  <si>
    <t>Domaines forts</t>
  </si>
  <si>
    <t>EX</t>
  </si>
  <si>
    <t>Domaine</t>
  </si>
  <si>
    <t>Valeur</t>
  </si>
  <si>
    <t>o</t>
  </si>
  <si>
    <t>n</t>
  </si>
  <si>
    <t>Choix</t>
  </si>
  <si>
    <t>bonus</t>
  </si>
  <si>
    <t>Total</t>
  </si>
  <si>
    <t>points</t>
  </si>
  <si>
    <t>Archetype</t>
  </si>
  <si>
    <t>Bonus</t>
  </si>
  <si>
    <t>Bonus origine</t>
  </si>
  <si>
    <t>Bonus Archétype</t>
  </si>
  <si>
    <t>[Pilotage1  (                  )]</t>
  </si>
  <si>
    <t>[Pilotage2  (                  )]</t>
  </si>
  <si>
    <t>Environnement 1 (              )</t>
  </si>
  <si>
    <t>Environnement 2 (              )</t>
  </si>
  <si>
    <t>Valeur à choisir</t>
  </si>
  <si>
    <t>Calculs automatiques</t>
  </si>
  <si>
    <t>Coût</t>
  </si>
  <si>
    <t xml:space="preserve"> Générateur de personnage ! </t>
  </si>
  <si>
    <t>Etape 1</t>
  </si>
  <si>
    <t>Etape Suivante !</t>
  </si>
  <si>
    <t>RETOUR</t>
  </si>
  <si>
    <t>SUITE</t>
  </si>
  <si>
    <t xml:space="preserve">2) Choix de l'Origine </t>
  </si>
  <si>
    <t>3) Choix de l'Archétype</t>
  </si>
  <si>
    <t xml:space="preserve">4) Répartition des points </t>
  </si>
  <si>
    <t>1) Naissance : Humain ou Mutant</t>
  </si>
  <si>
    <t>5) Choix des Avantages &amp; Défauts</t>
  </si>
  <si>
    <t>6) Choix des Mutations</t>
  </si>
  <si>
    <t>Etape 2</t>
  </si>
  <si>
    <t>1D MF Gratuit en toute circonstance (réservé aux humains)</t>
  </si>
  <si>
    <t>Annonce l'utilisation de MF en dernier</t>
  </si>
  <si>
    <t>pmf sur Négociation (vs autre sexe)</t>
  </si>
  <si>
    <t>pmf sur Trempe en combat</t>
  </si>
  <si>
    <t>pmf sur Arts, Eloquence, Empathie et Séduction</t>
  </si>
  <si>
    <t>MF sur Acrobties et Athlétisme</t>
  </si>
  <si>
    <t xml:space="preserve"> +1 en Connaissance "(Havana)", Détermination, Environnement "( )", Intimidation et Navigation</t>
  </si>
  <si>
    <t>Une action simple de plus pour se déplacer par round</t>
  </si>
  <si>
    <t>(0) Violent</t>
  </si>
  <si>
    <t>(1) Lucide</t>
  </si>
  <si>
    <t>(1) Pied marin</t>
  </si>
  <si>
    <t>(3) Attirant</t>
  </si>
  <si>
    <t>(3) Buveur émérite</t>
  </si>
  <si>
    <t>(3) Courageux</t>
  </si>
  <si>
    <t>(3) Empathe</t>
  </si>
  <si>
    <t>(3) Gaucher</t>
  </si>
  <si>
    <t>(3) Intrépide</t>
  </si>
  <si>
    <t>(3) Loup de mer</t>
  </si>
  <si>
    <t>(3) Rapide</t>
  </si>
  <si>
    <t>(3) Rusé</t>
  </si>
  <si>
    <t>(3) Savant</t>
  </si>
  <si>
    <t>pmf sur Espionnage (pas en combat)</t>
  </si>
  <si>
    <t>pmf sur Sciences</t>
  </si>
  <si>
    <t>(3) Sens développés</t>
  </si>
  <si>
    <t>pmf sur Empathie, Recherche et Vigilance</t>
  </si>
  <si>
    <t>(3) Sexy</t>
  </si>
  <si>
    <t>Over Drive sur Séduction</t>
  </si>
  <si>
    <t>(3) Vaurien</t>
  </si>
  <si>
    <t>pmf sur Négociation et Trempe (vs criminels)</t>
  </si>
  <si>
    <t>(3) Vif</t>
  </si>
  <si>
    <t>pmf sur initiative</t>
  </si>
  <si>
    <t>(3) Ambitieux</t>
  </si>
  <si>
    <t>MF sur Commerce / Illégatités</t>
  </si>
  <si>
    <t>(3) Arnaqueur</t>
  </si>
  <si>
    <t>2 dés bonus avec fausses preuves au lieu de 1</t>
  </si>
  <si>
    <t>(1) Bon Payeur</t>
  </si>
  <si>
    <t>Un point de satisfaction en plus pour l'équipage après le partage du butin</t>
  </si>
  <si>
    <t>Si équipé d'une arme de poing et une arme de mêlée, peut utiliser la compétence de l'une pour l'autre</t>
  </si>
  <si>
    <t>(3) Combattant virevoltant</t>
  </si>
  <si>
    <t xml:space="preserve"> +1 protection au corps à corps si au moins un succès sur son test de mêlée</t>
  </si>
  <si>
    <t>(1) Comptable</t>
  </si>
  <si>
    <t>Arrondit au supérieur les partages de butin</t>
  </si>
  <si>
    <t>(1) Contact</t>
  </si>
  <si>
    <t>Contact avec un PNJ Elite</t>
  </si>
  <si>
    <t>(3) Contact</t>
  </si>
  <si>
    <t>Contact avec un PNJ Héro</t>
  </si>
  <si>
    <t>(5) Contact</t>
  </si>
  <si>
    <t>Contact avec un PNJ Boss</t>
  </si>
  <si>
    <t>(3) Double détente</t>
  </si>
  <si>
    <t>Requiert Ambidextrie. Ajoute 1dé par arme de même type maniée par le personnage (compaptible avec 4 bras…)</t>
  </si>
  <si>
    <t>(1) Fetard</t>
  </si>
  <si>
    <t>Gain d'un PP suplémentaire grâce aux fêtes !</t>
  </si>
  <si>
    <t>(3) Grand Voyageur</t>
  </si>
  <si>
    <t>Annule le TD venant d'un péril non anticipé</t>
  </si>
  <si>
    <t>(3) Gros bras</t>
  </si>
  <si>
    <t>Permet d'utiliser les armes d'épaule à une main</t>
  </si>
  <si>
    <t>(3) Gros Porteur</t>
  </si>
  <si>
    <t>Ignore un niveau d'encombrement</t>
  </si>
  <si>
    <t>(3) Inquisiteur</t>
  </si>
  <si>
    <t>pmf sur Empathie, Intimidation et Recherche</t>
  </si>
  <si>
    <t xml:space="preserve">(3) Parrain </t>
  </si>
  <si>
    <t>Un des 4 amiraux a un œil bien veillant sur le personnage</t>
  </si>
  <si>
    <t>(1) Premier pas</t>
  </si>
  <si>
    <t>Immunisé à la gravité forte</t>
  </si>
  <si>
    <t>(3) Ranger</t>
  </si>
  <si>
    <t>Courir et Sprinter difficulté 1 sans tenir compte du terrain</t>
  </si>
  <si>
    <t>(1) Réflexes de pirate</t>
  </si>
  <si>
    <t>Une fois par tour, dégainer est une action gratuite.</t>
  </si>
  <si>
    <t>(3) Scaphandrier</t>
  </si>
  <si>
    <t>Pas de pénalité pour le port du scaphandre ou de l'armure lourde (sans effet sur armure intégrale)</t>
  </si>
  <si>
    <t>(3) Tribun</t>
  </si>
  <si>
    <t>pmf sur Baratin, Eloquence, Séduction et Intimidation face à une foule (plusieurs personnes)</t>
  </si>
  <si>
    <t>Description</t>
  </si>
  <si>
    <t>Avantage</t>
  </si>
  <si>
    <t>Défaut</t>
  </si>
  <si>
    <t>Défauts communs</t>
  </si>
  <si>
    <t>Descriptif</t>
  </si>
  <si>
    <t>(5) Arme fatale</t>
  </si>
  <si>
    <t>Dégats à main nue améliorés d'un rang</t>
  </si>
  <si>
    <t>(5) Carac exceptionelle (Agilité)</t>
  </si>
  <si>
    <t>Agilité +1</t>
  </si>
  <si>
    <t>(5) Carac exceptionelle (Carrure)</t>
  </si>
  <si>
    <t>(5) Carac exceptionelle (Perception)</t>
  </si>
  <si>
    <t>(5) Carac exceptionelle (Intelligence)</t>
  </si>
  <si>
    <t>(5) Carac exceptionelle (Présence)</t>
  </si>
  <si>
    <t>(5) Carac exceptionelle (Sang froid)</t>
  </si>
  <si>
    <t>Carrure +1</t>
  </si>
  <si>
    <t>Perception +1</t>
  </si>
  <si>
    <t>Intelligence +1</t>
  </si>
  <si>
    <t>Présence +1</t>
  </si>
  <si>
    <t>Sang froid +1</t>
  </si>
  <si>
    <t>(5) Chanceux</t>
  </si>
  <si>
    <t>Une fois par séance, fait relancer un test au MJ</t>
  </si>
  <si>
    <t>(5) Touche à tout</t>
  </si>
  <si>
    <t>Aucune compétence fermée</t>
  </si>
  <si>
    <t>(5) Ambidextre</t>
  </si>
  <si>
    <t>Pas de malus de mauvaise main, pmf en Mêlée contre droitier</t>
  </si>
  <si>
    <t>pmf sur Mêlée sauf Gaucher et Ambidextre</t>
  </si>
  <si>
    <t>(1) Entrainement</t>
  </si>
  <si>
    <t>(2) Entrainement</t>
  </si>
  <si>
    <t>(3) Entrainement</t>
  </si>
  <si>
    <t>(4) Entrainement</t>
  </si>
  <si>
    <t>(5) Entrainement</t>
  </si>
  <si>
    <t>1 point de compétence bonus pour une compétence inférieure à 4 (non cumulable avec un autre point d'Entrainement)</t>
  </si>
  <si>
    <t>2 points de compétence bonus pour une compétence inférieure à 4 (non cumulable avec un autre point d'Entrainement)</t>
  </si>
  <si>
    <t>3 points de compétence bonus pour une compétence inférieure à 4 (non cumulable avec un autre point d'Entrainement)</t>
  </si>
  <si>
    <t>4 points de compétence bonus pour une compétence inférieure à 4 (non cumulable avec un autre point d'Entrainement)</t>
  </si>
  <si>
    <t>5 points de compétence bonus pour une compétence inférieure à 4 (non cumulable avec un autre point d'Entrainement)</t>
  </si>
  <si>
    <t>(1) Gloire</t>
  </si>
  <si>
    <t xml:space="preserve"> +1 Point de Gloire</t>
  </si>
  <si>
    <t>(3) Gloire</t>
  </si>
  <si>
    <t xml:space="preserve"> +2 Points de Gloire</t>
  </si>
  <si>
    <t>(5) Gloire</t>
  </si>
  <si>
    <t xml:space="preserve"> +3 Points de Gloire</t>
  </si>
  <si>
    <t>(3) Héroïque</t>
  </si>
  <si>
    <t xml:space="preserve"> +1 PP</t>
  </si>
  <si>
    <t>(5) Héroïque</t>
  </si>
  <si>
    <t xml:space="preserve"> +2 PP</t>
  </si>
  <si>
    <t>(1) Pacifiste</t>
  </si>
  <si>
    <t xml:space="preserve"> -1 dé MF au MJ à la fin de chaque scène si le personnage n'a pas utilisé de MF</t>
  </si>
  <si>
    <t xml:space="preserve"> -2 dés MF au MJ à la fin de chaque scène si le personnage n'a pas utilisé de MF</t>
  </si>
  <si>
    <t xml:space="preserve"> -3 dés MF au MJ à la fin de chaque scène si le personnage n'a pas utilisé de MF</t>
  </si>
  <si>
    <t xml:space="preserve"> -4 dés MF au MJ à la fin de chaque scène si le personnage n'a pas utilisé de MF</t>
  </si>
  <si>
    <t xml:space="preserve"> -5 dés MF au MJ à la fin de chaque scène si le personnage n'a pas utilisé de MF</t>
  </si>
  <si>
    <t>(5) Pacifiste</t>
  </si>
  <si>
    <t>(4) Pacifiste</t>
  </si>
  <si>
    <t>(3) Pacifiste</t>
  </si>
  <si>
    <t>(2) Pacifiste</t>
  </si>
  <si>
    <t>(1) Riche</t>
  </si>
  <si>
    <t xml:space="preserve"> + 250 crédits à la création</t>
  </si>
  <si>
    <t>(2) Riche</t>
  </si>
  <si>
    <t>(3) Riche</t>
  </si>
  <si>
    <t>(4) Riche</t>
  </si>
  <si>
    <t>(5) Riche</t>
  </si>
  <si>
    <t xml:space="preserve"> + 500 crédits à la création</t>
  </si>
  <si>
    <t xml:space="preserve"> + 750 crédits à la création</t>
  </si>
  <si>
    <t xml:space="preserve"> + 1,250 crédits à la création</t>
  </si>
  <si>
    <t xml:space="preserve"> + 1,000 crédits à la création</t>
  </si>
  <si>
    <t>(3) Aventurier mystique</t>
  </si>
  <si>
    <t>pmf sur Détermination, Empathie, Esotérisme et Sorcellerie</t>
  </si>
  <si>
    <t>(3) Béni</t>
  </si>
  <si>
    <t>Le personnage a reçu une bénédiction (cf B&amp;B)</t>
  </si>
  <si>
    <t>(3) Extralucide</t>
  </si>
  <si>
    <t>Test d'Empathie 10-EX pour repérer la présence d'EX</t>
  </si>
  <si>
    <t>(3) Mystique</t>
  </si>
  <si>
    <t>pmf sur Sorcellerie pour résoudre un phénomène inexplicable</t>
  </si>
  <si>
    <t>(1) Pur</t>
  </si>
  <si>
    <t>Les dépenses d'EX pour affecter le personnage sont augmentées de 1</t>
  </si>
  <si>
    <t>(3) Sixième sens</t>
  </si>
  <si>
    <t>Jamais surpris par un évènement en rapport avec l'EX</t>
  </si>
  <si>
    <t>(3) Fou</t>
  </si>
  <si>
    <t>Affligé d'une folie (cf B&amp;B)</t>
  </si>
  <si>
    <t>(1) Fragile</t>
  </si>
  <si>
    <t>D+1 pour annuler les troubles et folies du perso</t>
  </si>
  <si>
    <t>(3) Maudit</t>
  </si>
  <si>
    <t>Affligé d'une malédiction (cf B&amp;B)</t>
  </si>
  <si>
    <t>(1) Mauvaises vibrations</t>
  </si>
  <si>
    <t>D+1 à toutes les actions si de l'EX est utilisé à proximité</t>
  </si>
  <si>
    <t>(1) Médium</t>
  </si>
  <si>
    <t>Dépenses d'EX pour affecter le personnage diminuées de 1</t>
  </si>
  <si>
    <t>(1) Dette</t>
  </si>
  <si>
    <t>Le personnage doit 1,000 crédits. Se change en Wanted (1) s'il ne rembourse pas</t>
  </si>
  <si>
    <t>Le personnage doit 10,000 crédits. Se change en Wanted (2) s'il ne rembourse pas</t>
  </si>
  <si>
    <t>Le personnage doit 100,000 crédits. Se change en Wanted (3) s'il ne rembourse pas</t>
  </si>
  <si>
    <t>(3) Dette</t>
  </si>
  <si>
    <t>(5) Dette</t>
  </si>
  <si>
    <t>(1) Dette d'honneur</t>
  </si>
  <si>
    <t>(3) Dette d'honneur</t>
  </si>
  <si>
    <t>(5) Dette d'honneur</t>
  </si>
  <si>
    <t>Le personnage doit un petit service à un PNJ</t>
  </si>
  <si>
    <t>Le personnage doit un gros service à un PNJ</t>
  </si>
  <si>
    <t>Le personnage doit un énorme service à un PNJ</t>
  </si>
  <si>
    <t>(1) Hook</t>
  </si>
  <si>
    <t>Le personnage a perdu un membre/organe, il possède une prothèse de bonne qualité (D+1)</t>
  </si>
  <si>
    <t>(3) Hook</t>
  </si>
  <si>
    <t>Le personnage a perdu un membre/organe, il possède une prothèse sommaire (E2F)</t>
  </si>
  <si>
    <t>(5) Hook</t>
  </si>
  <si>
    <t>Le personnage a perdu un membre et n'a pas de prothèse (E2F/Impossible)</t>
  </si>
  <si>
    <t>(1) Signe distinctif</t>
  </si>
  <si>
    <t>Le personnage possède une marque discrète, très léger bonus pour enquêter sur lui</t>
  </si>
  <si>
    <t>(3) Signe distnctif</t>
  </si>
  <si>
    <t>Le personnage possède une marque reconnaissable, +1d pour le rechercher</t>
  </si>
  <si>
    <t>(5) Signe distinctif</t>
  </si>
  <si>
    <t>Le personnage possède une marque unique, TF pour le rechercher</t>
  </si>
  <si>
    <t>(1) Vengeance !</t>
  </si>
  <si>
    <t xml:space="preserve">(3) Vengeance ! </t>
  </si>
  <si>
    <t>Le personnage cherche à nuire à un PNJ héro</t>
  </si>
  <si>
    <t>Le personnage cherche à nuire à un PNJ élite</t>
  </si>
  <si>
    <t>(5) Vengeance !</t>
  </si>
  <si>
    <t>Le personnage cherche à nuire à un PNJ boss</t>
  </si>
  <si>
    <t>(1) Wanted</t>
  </si>
  <si>
    <t>(3) Wanted</t>
  </si>
  <si>
    <t>(5) Wanted</t>
  </si>
  <si>
    <t>Recherché par des Premiers rôles dans toute la galaxie</t>
  </si>
  <si>
    <t>Recherché par des Figurants dans une nation</t>
  </si>
  <si>
    <t>Recherché par des Seconds rôle dans toutes les nations</t>
  </si>
  <si>
    <t>(5) Non violent</t>
  </si>
  <si>
    <t>Utilisation de MF impossible</t>
  </si>
  <si>
    <t>(5) Tête brûlée</t>
  </si>
  <si>
    <t>Une fois par séance, le MJ peut dépenser du MF pour faire prendre un gros risque au personnage</t>
  </si>
  <si>
    <t>E2F pour Négociations. TF pour enquêter sur le personnage.</t>
  </si>
  <si>
    <t>E2F pour Négociations. TF pour enquêter sur le personnage. Aucune mutation.</t>
  </si>
  <si>
    <t>(3) Trésor perdu</t>
  </si>
  <si>
    <t>Le personnage recherche un objet de grande valeur a ses yeux. Si gros risques, test de Détermination (5)</t>
  </si>
  <si>
    <t>(3) Amour perdu</t>
  </si>
  <si>
    <t>Le personnage recherche une personne chère à son cœur. Si gros risques, test de Détermination (5)</t>
  </si>
  <si>
    <t>(3) Technophile</t>
  </si>
  <si>
    <t>Le MJ peut dépenser du MF pour obliger le personnage à essayer de se procurer un objet technologique rare ou nouveau</t>
  </si>
  <si>
    <t>(3) Sauvage</t>
  </si>
  <si>
    <t>Les compétences de Négociation sont toutes fermées.</t>
  </si>
  <si>
    <t>(1) Sale gueule</t>
  </si>
  <si>
    <t>e2f  pour Négociations avec les gens "respectables"</t>
  </si>
  <si>
    <t>(3) Révolté !</t>
  </si>
  <si>
    <t>Le MJ peut dépenser du MF pour obliger le personnage à tenter de déclencher une révolte</t>
  </si>
  <si>
    <t>(3) Pirate au grand cœur</t>
  </si>
  <si>
    <t>Le MJ peut dépenser du MF pour obliger le personnage à aider un faible, réparer une injustice ou donner l'exemple</t>
  </si>
  <si>
    <t>(3) Pied tendre</t>
  </si>
  <si>
    <t>e2f pour les tests de Veille, Environnement et Marche forcée</t>
  </si>
  <si>
    <t>(3) Inculte</t>
  </si>
  <si>
    <t>Les compétences de Science sont toutes fermées</t>
  </si>
  <si>
    <t>(3) Honorable</t>
  </si>
  <si>
    <t>Le personnage doit tenir sa parole s'il a jure sur l'honneur</t>
  </si>
  <si>
    <t>(3) Handicap (Agilité)</t>
  </si>
  <si>
    <t>Agilité -1</t>
  </si>
  <si>
    <t>(3) Handicap (Carrure)</t>
  </si>
  <si>
    <t>Carrure -1</t>
  </si>
  <si>
    <t>(3) Handicap (Perception)</t>
  </si>
  <si>
    <t>Perception -1</t>
  </si>
  <si>
    <t>(3) Handicap (Intelligence)</t>
  </si>
  <si>
    <t>Intelligence -1</t>
  </si>
  <si>
    <t>(3) Handicap (Présence)</t>
  </si>
  <si>
    <t>Présence -1</t>
  </si>
  <si>
    <t>(3) Handicap (Sang froid)</t>
  </si>
  <si>
    <t>Sang froid -1</t>
  </si>
  <si>
    <t>(3) Fraternité pirate</t>
  </si>
  <si>
    <t>Le personnage n'abandonne JAMAIS un membre de son équipage face au danger.</t>
  </si>
  <si>
    <t>(3) Feignasse</t>
  </si>
  <si>
    <t>La durée des actions narrative est doublée. Ne peut aider que si les autres s'adaptent à son rythme.</t>
  </si>
  <si>
    <t>(3) Enchainé</t>
  </si>
  <si>
    <t>e2f contre Commandement et Intimidation</t>
  </si>
  <si>
    <t>(3) Dépensier</t>
  </si>
  <si>
    <t>Sur une planète ni pauvre, ni primitive, le personnage dépense toutes ses économies.</t>
  </si>
  <si>
    <t>(3) Curieux</t>
  </si>
  <si>
    <t>Le MJ peut dépenser du MF pour obliger le personnage à prendre un risque pour faire une "découverte scientifique"</t>
  </si>
  <si>
    <t>(3) Borné</t>
  </si>
  <si>
    <t>Les compétences d'Espionnage sont fermées</t>
  </si>
  <si>
    <t>(3) Bagarreur</t>
  </si>
  <si>
    <t>Le MJ peut dépenser du MF pour obliger le personnage à déclencher une bagare</t>
  </si>
  <si>
    <t>(3) Alcoolique</t>
  </si>
  <si>
    <t>(1) Superstitieux</t>
  </si>
  <si>
    <t>Doit porter un griri, subit e2f face à un phénomène qu'il juge surnaturel</t>
  </si>
  <si>
    <t>(1) Rebel</t>
  </si>
  <si>
    <t>Le MJ peut dépenser du MF pour pousser le personnage à se méfier d'une figure d'autorité</t>
  </si>
  <si>
    <t>(1) Mauvais payeur</t>
  </si>
  <si>
    <t>L'équipage doit gagner le double d'une part pour gagner de la satisfaction</t>
  </si>
  <si>
    <t>(1) Fiché</t>
  </si>
  <si>
    <t>SC pour enquêter sur le personnage dans une nation stellaire</t>
  </si>
  <si>
    <t>(3) Coureur</t>
  </si>
  <si>
    <t>Le MJ peut dépenser du MJ pour obliger le personnage à courtiser un PNJ au mépris du danger</t>
  </si>
  <si>
    <t>(3) Couard</t>
  </si>
  <si>
    <t>e2f pour les tests de Trempe au combat</t>
  </si>
  <si>
    <t>(3) Cicatrices</t>
  </si>
  <si>
    <t>e2f sur Négociation si l'interlocuteur est"respectable". Incompaptible avec Tête de Mutant, Sexy et Attirant.</t>
  </si>
  <si>
    <t>(1) Chefaillon</t>
  </si>
  <si>
    <t>Si le personnage est capitaine, l'équipage ne regagne pas de satisfaction s'il prend des PG ou PP</t>
  </si>
  <si>
    <t>(1) Analphabète</t>
  </si>
  <si>
    <t>Le personnage ne sait ni lire, ni écrire</t>
  </si>
  <si>
    <t>(1) Amnésique</t>
  </si>
  <si>
    <t>Le personnage n'a aucun souvenir de son passé au-delà de quelques mois.</t>
  </si>
  <si>
    <t>MF sur Commerce/Illégalités</t>
  </si>
  <si>
    <t>Connaît une portion de route galactique</t>
  </si>
  <si>
    <t>pmf en Détermination face à des non humains</t>
  </si>
  <si>
    <t>Pas de limite à "Tous ensemle" si les autres possèdent également ce trait</t>
  </si>
  <si>
    <t>pmf sur Armes de poing et d'épaule</t>
  </si>
  <si>
    <r>
      <t>Empire Alphas (Résistant)</t>
    </r>
    <r>
      <rPr>
        <b/>
        <sz val="10"/>
        <color rgb="FFFF0000"/>
        <rFont val="Calibri"/>
        <family val="2"/>
        <scheme val="minor"/>
      </rPr>
      <t xml:space="preserve"> (MUTANT)</t>
    </r>
  </si>
  <si>
    <t>MF pour Danse</t>
  </si>
  <si>
    <r>
      <t xml:space="preserve"> +1 Pv grâce à</t>
    </r>
    <r>
      <rPr>
        <i/>
        <sz val="10"/>
        <color theme="1"/>
        <rFont val="Calibri"/>
        <family val="2"/>
        <scheme val="minor"/>
      </rPr>
      <t xml:space="preserve"> "Et une bouteille de rhum"</t>
    </r>
  </si>
  <si>
    <t>PMF sur une compétence de Science au choix.</t>
  </si>
  <si>
    <t>PMF une fois par scène pour un test qui met en jeu les idéaux du personnage</t>
  </si>
  <si>
    <t>Annule le E2F de Tête de mutant</t>
  </si>
  <si>
    <t>Overdrive toujours possible avec une épée, fleuret ou une rapière (pas sabre)</t>
  </si>
  <si>
    <t>pmf sur Baratin, Comédie, Empathie et Illégalité. Incompaptible avec Empathe.</t>
  </si>
  <si>
    <t>Peut donner 1 dé MF pour réussir automatiquement un test de veille ou de marche forcée. Une seule fois avant de prendre du repos</t>
  </si>
  <si>
    <t>Peut Menacer pour une action simple au lieu de complexe.</t>
  </si>
  <si>
    <t>pmf sur les tests pour "emballer"</t>
  </si>
  <si>
    <t>Mesure plus de 2mètres (Athlétisme +1) ou moins d'1,50mètre (Discrétion +1)</t>
  </si>
  <si>
    <t>Pas de malus de guérison</t>
  </si>
  <si>
    <t>3 mutations basiques</t>
  </si>
  <si>
    <t>Perte temporaire de 1PP par mois sans aventure</t>
  </si>
  <si>
    <t>Le personnage dépense TOUJOURS le niveau de vie le plus élevé et dépense au moins la moitié de son argent en produits "la belle vie"</t>
  </si>
  <si>
    <t>Le MJ peut dépenser du MF pour obliger le personnage à tenter de voler un objet précieux.</t>
  </si>
  <si>
    <r>
      <t>Doit utiliser 2 bouteilles de rhum pour l'action "</t>
    </r>
    <r>
      <rPr>
        <i/>
        <sz val="10"/>
        <color theme="1"/>
        <rFont val="Calibri"/>
        <family val="2"/>
        <scheme val="minor"/>
      </rPr>
      <t>Et une bouteille de rhum !"</t>
    </r>
  </si>
  <si>
    <t>E2F pour les tests de Négociation avec un mutant ou une majorité de mutant</t>
  </si>
  <si>
    <t>e2f face aux représentants des forces de l'ordre.</t>
  </si>
  <si>
    <t>Perte temporaire de 1PP à chaque séance si le perso ne s'est pas posé sur Havana depuis au moins 6 mois.</t>
  </si>
  <si>
    <t>e2f pour tous les tests si le personnage est seul à affronter une situation</t>
  </si>
  <si>
    <t>Le personnage n'attaque jamais le premier et ne tue pas de sang froid. Il essaie d'engager des pourparlers avec des adversaires en infériorité numérique</t>
  </si>
  <si>
    <t>Le MJ peut dépenser du MF pour obliger le personnage à faire confiance à un PNJ</t>
  </si>
  <si>
    <t>e2f sur Empathie, Eloquence, Séduction et Eriquette face à des personnages dont la Gloire est inférieure à celle du perso.</t>
  </si>
  <si>
    <t>Le MJ peut dépenser du MF pour obliger le personnage à se méfier de quelqu'un.</t>
  </si>
  <si>
    <t>Se bat jusqu'à la Mort (?) d'un adversaire s'il encaisse un niveau de dégât létal. Attaque ceux qui tentent de l'en empêcher.</t>
  </si>
  <si>
    <t>Doit toujours utiliser du MF s'il le peut (2 dés pour un humain)</t>
  </si>
  <si>
    <t>e2f à tous ses tests si pas d'EX (réservé aux mutations actives)</t>
  </si>
  <si>
    <t>E2F en Présence envers TOUT LE MONDE</t>
  </si>
  <si>
    <t>Pas de mutation à la création. 1,000 XP (basique), 2,500XP (avancée)</t>
  </si>
  <si>
    <t>Subit 1S par EX dépensé (réservé aux mutations actives)</t>
  </si>
  <si>
    <t>Doit dépenser 1EX de plus pour activer ses pouvoirs.</t>
  </si>
  <si>
    <t>Une seule mutation basique.</t>
  </si>
  <si>
    <t>barrens</t>
  </si>
  <si>
    <t>empire</t>
  </si>
  <si>
    <t>havana</t>
  </si>
  <si>
    <t>ligue</t>
  </si>
  <si>
    <t>ocg</t>
  </si>
  <si>
    <t>sol</t>
  </si>
  <si>
    <t>(OCG) (1) Dur en Affaire</t>
  </si>
  <si>
    <t>(OCG) (3) Vieux routard</t>
  </si>
  <si>
    <t>(EMPIRE) (1) Défenseur de l'Humanité</t>
  </si>
  <si>
    <t>(EMPIRE) (1) Discipliné</t>
  </si>
  <si>
    <t>(EMPIRE) (3) Tireur d'élite</t>
  </si>
  <si>
    <t>(HAVANA) (3) Danse havanaise</t>
  </si>
  <si>
    <t>(HAVANA) (3) Rhum lover</t>
  </si>
  <si>
    <t>(LIGUE) (3) Génie</t>
  </si>
  <si>
    <t>(LIGUE) (3) Idéaliste</t>
  </si>
  <si>
    <t>(SOL) (3) Escrimeur</t>
  </si>
  <si>
    <t>(SOL) (3) Fourbe</t>
  </si>
  <si>
    <t>(BARRENS) (3) Teigneux</t>
  </si>
  <si>
    <t>(BARRENS) (3) Terrifiant</t>
  </si>
  <si>
    <t>(MUTANT) (1) Béni par la nature</t>
  </si>
  <si>
    <t>(MUTANT) (1) Taille anormale</t>
  </si>
  <si>
    <t>(MUTANT) (3) Mutant costaud</t>
  </si>
  <si>
    <t>(MUTANT) (3) Mutant sympathique (LIGUE)</t>
  </si>
  <si>
    <t>(MUTANT) (5) Chromosomes hyperdenses</t>
  </si>
  <si>
    <t>(MUTANT) (5) Mutant maudit</t>
  </si>
  <si>
    <t>(MUTANT) (3) Petite malédiction</t>
  </si>
  <si>
    <t>(MUTANT) (3) Mauvais élève</t>
  </si>
  <si>
    <t>(MUTANT) (3) Malformation X</t>
  </si>
  <si>
    <t>(MUTANT) (3) Inconnu à lui-même</t>
  </si>
  <si>
    <t>(MUTANT) (1) Gueule de porte bonheur</t>
  </si>
  <si>
    <t>(MUTANT) (1) Apathie X</t>
  </si>
  <si>
    <t>(MUTANT) (0) Tête de mutant</t>
  </si>
  <si>
    <t>(BARRENS) (3) Brutal</t>
  </si>
  <si>
    <t>(BARRENS) (3) Berzerk</t>
  </si>
  <si>
    <t>(SOL) (3) Paranoïaque</t>
  </si>
  <si>
    <t>(SOL)(3) Hautain</t>
  </si>
  <si>
    <t>(LIGUE) (3) Naïf</t>
  </si>
  <si>
    <t>(LIGUE) (3) Gentil</t>
  </si>
  <si>
    <t>(LIGUE) (1) Passif</t>
  </si>
  <si>
    <t>(HAVANA) (1) Mal du pays</t>
  </si>
  <si>
    <t>(EMPIRE) (3) Rééducation Impériale</t>
  </si>
  <si>
    <t>(EMPIRE) (1) Raciste</t>
  </si>
  <si>
    <t>(OCG) (1) Avide</t>
  </si>
  <si>
    <t>(OCG) (3) Cuiller en or</t>
  </si>
  <si>
    <t>(OCG) (3) Cupide</t>
  </si>
  <si>
    <t>Atouts spécifiques</t>
  </si>
  <si>
    <t>Defauts spécifiques</t>
  </si>
  <si>
    <t>Traits raciaux</t>
  </si>
  <si>
    <t>Pas de malus en apesanteur/dépressurisation</t>
  </si>
  <si>
    <t>Jamais ivre</t>
  </si>
  <si>
    <t xml:space="preserve">Atouts </t>
  </si>
  <si>
    <t>Mutation(s)</t>
  </si>
  <si>
    <t>Trait(s)</t>
  </si>
  <si>
    <t>Type</t>
  </si>
  <si>
    <t>Effet</t>
  </si>
  <si>
    <t>Gloire</t>
  </si>
  <si>
    <t>Panache</t>
  </si>
  <si>
    <t>Mutation</t>
  </si>
  <si>
    <t>Acuité sensorielle</t>
  </si>
  <si>
    <t>Basique</t>
  </si>
  <si>
    <t>Adrénaline hyperconcentrée</t>
  </si>
  <si>
    <t>Armes corporelles</t>
  </si>
  <si>
    <t>Articulation mobile</t>
  </si>
  <si>
    <t>Beauté Stellaire</t>
  </si>
  <si>
    <t>Activation</t>
  </si>
  <si>
    <t xml:space="preserve"> +X dés au test d'initiative.</t>
  </si>
  <si>
    <t>Cerveau secondaire</t>
  </si>
  <si>
    <t>Défense énergétique</t>
  </si>
  <si>
    <t>Avancée</t>
  </si>
  <si>
    <t>(X)</t>
  </si>
  <si>
    <t>Eclair mental</t>
  </si>
  <si>
    <t>Epiderme réactif</t>
  </si>
  <si>
    <t>Gain d'un niveau de protection</t>
  </si>
  <si>
    <t>Gènes adaptables</t>
  </si>
  <si>
    <t>Gène évolutifs</t>
  </si>
  <si>
    <t>Possibilité d'acheter des mutations : 2,500 / 5,000</t>
  </si>
  <si>
    <t>Membres surnuméraires</t>
  </si>
  <si>
    <t>Mobilité aérienne</t>
  </si>
  <si>
    <t>Musculature hypertrophiée</t>
  </si>
  <si>
    <t>Organes vitaux dédoublés</t>
  </si>
  <si>
    <t>Pression interne</t>
  </si>
  <si>
    <t>Projection énergétique</t>
  </si>
  <si>
    <t>Puissance mystique</t>
  </si>
  <si>
    <t>Double la réserve d'EX</t>
  </si>
  <si>
    <t>Régulateur hormonal</t>
  </si>
  <si>
    <t>Résistance à la douleur</t>
  </si>
  <si>
    <t>Respiration aquatique</t>
  </si>
  <si>
    <t>Immunisé à la noyade.</t>
  </si>
  <si>
    <t>Sécrétion agressive</t>
  </si>
  <si>
    <t>Peut inoculer un poison (p170) avec une attaque de mêlée</t>
  </si>
  <si>
    <t>Sens radar</t>
  </si>
  <si>
    <t>Sondage mental</t>
  </si>
  <si>
    <t>Télékinésie</t>
  </si>
  <si>
    <t>Toucher curatif</t>
  </si>
  <si>
    <t>Sur un humain : regain de Carrure PV. Sur un mutant : 1 PV</t>
  </si>
  <si>
    <t>Troisème œil</t>
  </si>
  <si>
    <t>Vision infrarouge</t>
  </si>
  <si>
    <t>Vision X</t>
  </si>
  <si>
    <t>Absorbtion énergétique</t>
  </si>
  <si>
    <t>Acclimatation génétique</t>
  </si>
  <si>
    <t>Anaérobisme</t>
  </si>
  <si>
    <t>Caméléon</t>
  </si>
  <si>
    <t>Changeforme</t>
  </si>
  <si>
    <t>Contrôle Mental</t>
  </si>
  <si>
    <t>Organes vitaux délocalisés</t>
  </si>
  <si>
    <t>Immunisé aux critiques visant la tête et le torse</t>
  </si>
  <si>
    <t>Organisme renforcé</t>
  </si>
  <si>
    <t>PMF contre alcool, poisons et maladies</t>
  </si>
  <si>
    <t>Psychométrie</t>
  </si>
  <si>
    <t>Queue préhensible</t>
  </si>
  <si>
    <t>PMF en Acrobatie</t>
  </si>
  <si>
    <t>Recycleur Digestif</t>
  </si>
  <si>
    <t>Régulateur d'adénosine</t>
  </si>
  <si>
    <t>Régénération</t>
  </si>
  <si>
    <t>Le mutant regagne un point de vie</t>
  </si>
  <si>
    <t>Force accrue</t>
  </si>
  <si>
    <t>Neurotransmetteurs surnuméraires</t>
  </si>
  <si>
    <t>Ossature morphique</t>
  </si>
  <si>
    <t>Phéromones</t>
  </si>
  <si>
    <t>Sensibilité accure</t>
  </si>
  <si>
    <t>Stimulant neurologique</t>
  </si>
  <si>
    <t>Pas de mutation</t>
  </si>
  <si>
    <t>Validation</t>
  </si>
  <si>
    <t>Carac</t>
  </si>
  <si>
    <t>Compétences</t>
  </si>
  <si>
    <t>Artisanat 1 (                  )</t>
  </si>
  <si>
    <t>Peut refuser le résultat d'un test de Commerce/Illégalité</t>
  </si>
  <si>
    <t>Joueur</t>
  </si>
  <si>
    <t>Personnage</t>
  </si>
  <si>
    <t>Sexe</t>
  </si>
  <si>
    <t>I</t>
  </si>
  <si>
    <t>L</t>
  </si>
  <si>
    <t>G</t>
  </si>
  <si>
    <t>M?</t>
  </si>
  <si>
    <t>ooooo ooooo</t>
  </si>
  <si>
    <t>ooooo oooon</t>
  </si>
  <si>
    <t>ooooo ooonn</t>
  </si>
  <si>
    <t>ooooo oonnn</t>
  </si>
  <si>
    <t>ooooo onnnn</t>
  </si>
  <si>
    <t>ooooo nnnnn</t>
  </si>
  <si>
    <t>oooon nnnnn</t>
  </si>
  <si>
    <t>ooonn nnnnn</t>
  </si>
  <si>
    <t>oonnn nnnnn</t>
  </si>
  <si>
    <t>onnnn nnnnn</t>
  </si>
  <si>
    <t>nnnnn nnnnn</t>
  </si>
  <si>
    <t>Traits</t>
  </si>
  <si>
    <t>(3) Combattant flamboyant</t>
  </si>
  <si>
    <t>1) Choisir dans les menus déroulants</t>
  </si>
  <si>
    <t>2) Répartir ses points de créations dans les colones jaune</t>
  </si>
  <si>
    <t>Choix des traits (facultatif) et mutations, ajoutez</t>
  </si>
  <si>
    <t>vos bonus dans les colones jaunes</t>
  </si>
  <si>
    <t>Absorbe EX avec attaque à main nue (1 +1/succès exed)</t>
  </si>
  <si>
    <t>Insensible à l'asphyxie ou la noyade, pmf pour résister au vide spatial.</t>
  </si>
  <si>
    <t>Dégâts à main nue augmentés d'un rang et deviennent létaux</t>
  </si>
  <si>
    <t>PMF pour se cacher si nu, pmf si vétu légèrement (pas d'armure)</t>
  </si>
  <si>
    <t>PMF pour résister à un environnement précis.</t>
  </si>
  <si>
    <t>1 M</t>
  </si>
  <si>
    <t>P</t>
  </si>
  <si>
    <t>5 M</t>
  </si>
  <si>
    <t>(X) M</t>
  </si>
  <si>
    <t>2 M</t>
  </si>
  <si>
    <t>3 M</t>
  </si>
  <si>
    <t>Contrôle une action. TD si risque mortel.</t>
  </si>
  <si>
    <t xml:space="preserve"> PMF pour Baratin, Comédie et Déguisement pour se faire passer pour elle.</t>
  </si>
  <si>
    <t>Dégâts réduits de X points. Protection étendue pour 1 EX par mètre.</t>
  </si>
  <si>
    <t>VS Détermination, [Sang Froid] dégâts L, à vue.</t>
  </si>
  <si>
    <t>Le mutant gagne (X) en Carrure.</t>
  </si>
  <si>
    <t>Possibilité de changer une mutation basique.</t>
  </si>
  <si>
    <t>Bras/Jambe +1d pour les actions ayant recours à ces membres.</t>
  </si>
  <si>
    <t>Vol à vitesse de marche pendant [Carrure] heure.</t>
  </si>
  <si>
    <t>Le mutant gagne (X) en Intelligence.</t>
  </si>
  <si>
    <t>2x plus de succès pour critique majeur</t>
  </si>
  <si>
    <t>Le mutant gagne (X) en Agilité.</t>
  </si>
  <si>
    <t>Pas de pouvoir</t>
  </si>
  <si>
    <t>Le mutant gagne (X) en Présence.</t>
  </si>
  <si>
    <t>Insensible au vide spatial, à la noyade et à l'asphyxie</t>
  </si>
  <si>
    <t>Attaque sur la compétence Vigilance. 1 EX : 1L / 3 EX : 2G / 5EX : 3M</t>
  </si>
  <si>
    <t>Flash en manipulant un objet ou se trouvant dans un lieu particulier.</t>
  </si>
  <si>
    <t>PMF pour résister à la faim.</t>
  </si>
  <si>
    <t>Réussit automatiquement un test de Veille.</t>
  </si>
  <si>
    <t>Santé améliorée d'un rang. Conscient si M?</t>
  </si>
  <si>
    <t>Vision à 360°, insensible aux variations de lumière.</t>
  </si>
  <si>
    <t>Le mutant gagne (X) en Perception.</t>
  </si>
  <si>
    <t>VS  Détermination + question claire au MJ.</t>
  </si>
  <si>
    <t>Le mutant gagne (X) en Sang froid.</t>
  </si>
  <si>
    <t>2 EX/10Kg soulevés, attaque (X)/2 dés d'action (Vigilance)</t>
  </si>
  <si>
    <t>Pas de malus de distance, pmf sur tir</t>
  </si>
  <si>
    <t>Peut voir sans malus de luminosité, minimum requis.</t>
  </si>
  <si>
    <t>Peut voir à travers les objets si  bonus protection &lt; Perception/2</t>
  </si>
  <si>
    <t>&lt;- Si mutation "puissance mystique", le score sera doublé sur la fiche de perso finale</t>
  </si>
  <si>
    <t>&lt;- A modifier à la main si vous prenez l'avantage Héroïque</t>
  </si>
  <si>
    <t>&lt;- A modifier à la main si vous prenez l'avantage Gloire</t>
  </si>
  <si>
    <t>Style coulé</t>
  </si>
  <si>
    <t>Une dernière bordée !</t>
  </si>
  <si>
    <t>Dégâts de l'arme embarquée améliorés d'un rang.</t>
  </si>
  <si>
    <t>Cadence de l'arme embarquée améliorée d'un rang (Explosion si &gt;RL)</t>
  </si>
  <si>
    <t>Le PNJ ciblé tombe amoureux du personnage</t>
  </si>
  <si>
    <t>Gain de Gloire/2 dés bonus à tout l'équipage</t>
  </si>
  <si>
    <t>Permet de tirer sur une cible précise</t>
  </si>
  <si>
    <t>Améliore l'état de santé d'un rang. Reste conscient</t>
  </si>
  <si>
    <t>Se rappelle d'une information déjà publiée</t>
  </si>
  <si>
    <t>Réduit le temps d'apprentissage/d'analyse</t>
  </si>
  <si>
    <t>Améliore l'état de santé du vaisseau</t>
  </si>
  <si>
    <t xml:space="preserve"> +1 case par succès exendentaire au test de réparation</t>
  </si>
  <si>
    <t>Double la vitesse tactique, 1S par 25K</t>
  </si>
  <si>
    <t>Avantage = succès au test d'accorcher</t>
  </si>
  <si>
    <t>Pouvoir d'archétype</t>
  </si>
  <si>
    <t>Prénom</t>
  </si>
  <si>
    <t>Nom</t>
  </si>
  <si>
    <t>Ahmad</t>
  </si>
  <si>
    <t>Akando</t>
  </si>
  <si>
    <t>Akkutho</t>
  </si>
  <si>
    <t>Assad</t>
  </si>
  <si>
    <t>Derk</t>
  </si>
  <si>
    <t>Anichka</t>
  </si>
  <si>
    <t>Gorm</t>
  </si>
  <si>
    <t>Joka</t>
  </si>
  <si>
    <t>Kalantes</t>
  </si>
  <si>
    <t>Kevas</t>
  </si>
  <si>
    <t>Korman</t>
  </si>
  <si>
    <t>Vanko</t>
  </si>
  <si>
    <t>Zogar</t>
  </si>
  <si>
    <t>Yelaya</t>
  </si>
  <si>
    <t>Amanda</t>
  </si>
  <si>
    <t>April</t>
  </si>
  <si>
    <t>Betty</t>
  </si>
  <si>
    <t>Bridget</t>
  </si>
  <si>
    <t>Carol</t>
  </si>
  <si>
    <t>Chloe</t>
  </si>
  <si>
    <t>Courtney</t>
  </si>
  <si>
    <t>Dana</t>
  </si>
  <si>
    <t>Darlene</t>
  </si>
  <si>
    <t>Denise</t>
  </si>
  <si>
    <t>Donna</t>
  </si>
  <si>
    <t>Emma</t>
  </si>
  <si>
    <t>Eva</t>
  </si>
  <si>
    <t>Gloria</t>
  </si>
  <si>
    <t>Jen</t>
  </si>
  <si>
    <t>Joyce</t>
  </si>
  <si>
    <t>Kara</t>
  </si>
  <si>
    <t>Kate</t>
  </si>
  <si>
    <t>Laura</t>
  </si>
  <si>
    <t>Leslie</t>
  </si>
  <si>
    <t>Lynn</t>
  </si>
  <si>
    <t>Mary</t>
  </si>
  <si>
    <t xml:space="preserve">Meg </t>
  </si>
  <si>
    <t>Nancy</t>
  </si>
  <si>
    <t>Pam</t>
  </si>
  <si>
    <t>Rachel</t>
  </si>
  <si>
    <t>Sam</t>
  </si>
  <si>
    <t>Sarah</t>
  </si>
  <si>
    <t>Shanen</t>
  </si>
  <si>
    <t>Luba</t>
  </si>
  <si>
    <t>Orenda</t>
  </si>
  <si>
    <t>Oxana</t>
  </si>
  <si>
    <t>Salome</t>
  </si>
  <si>
    <t>Yasmela</t>
  </si>
  <si>
    <t>Shelly</t>
  </si>
  <si>
    <t>Tina</t>
  </si>
  <si>
    <t>Tracy</t>
  </si>
  <si>
    <t>Vicky</t>
  </si>
  <si>
    <t>Alan</t>
  </si>
  <si>
    <t>Diane</t>
  </si>
  <si>
    <t>Dorea</t>
  </si>
  <si>
    <t>Kucia</t>
  </si>
  <si>
    <t xml:space="preserve">Lissa </t>
  </si>
  <si>
    <t>Muriela</t>
  </si>
  <si>
    <t>Natala</t>
  </si>
  <si>
    <t>Octavia</t>
  </si>
  <si>
    <t>Olivia</t>
  </si>
  <si>
    <t>Petra</t>
  </si>
  <si>
    <t>Taramis</t>
  </si>
  <si>
    <t>Valeria</t>
  </si>
  <si>
    <t>Vateesa</t>
  </si>
  <si>
    <t>Znobia</t>
  </si>
  <si>
    <t>Amadika</t>
  </si>
  <si>
    <t>Amaka</t>
  </si>
  <si>
    <t>Bakula</t>
  </si>
  <si>
    <t>Chandi</t>
  </si>
  <si>
    <t>Idra</t>
  </si>
  <si>
    <t>Indira</t>
  </si>
  <si>
    <t>Jamila</t>
  </si>
  <si>
    <t>Latifa</t>
  </si>
  <si>
    <t>Nyasha</t>
  </si>
  <si>
    <t>Rajni</t>
  </si>
  <si>
    <t>Tanandra</t>
  </si>
  <si>
    <t>Tapanga</t>
  </si>
  <si>
    <t>Thula</t>
  </si>
  <si>
    <t>Yael</t>
  </si>
  <si>
    <t>Yasmina</t>
  </si>
  <si>
    <t>Adrianna</t>
  </si>
  <si>
    <t>Alexandra</t>
  </si>
  <si>
    <t>Andrea</t>
  </si>
  <si>
    <t>Anita</t>
  </si>
  <si>
    <t>Bariela</t>
  </si>
  <si>
    <t>Carmen</t>
  </si>
  <si>
    <t>Clara</t>
  </si>
  <si>
    <t>Claudia</t>
  </si>
  <si>
    <t>Consuela</t>
  </si>
  <si>
    <t>Delores</t>
  </si>
  <si>
    <t>Francesca</t>
  </si>
  <si>
    <t xml:space="preserve">Isabella </t>
  </si>
  <si>
    <t>Josephina</t>
  </si>
  <si>
    <t xml:space="preserve">Juanita </t>
  </si>
  <si>
    <t xml:space="preserve">Julietta </t>
  </si>
  <si>
    <t xml:space="preserve">Laura </t>
  </si>
  <si>
    <t>Luisa</t>
  </si>
  <si>
    <t xml:space="preserve">Maria </t>
  </si>
  <si>
    <t xml:space="preserve">Marisa </t>
  </si>
  <si>
    <t xml:space="preserve">Miranda </t>
  </si>
  <si>
    <t xml:space="preserve">Nina </t>
  </si>
  <si>
    <t>Ramona</t>
  </si>
  <si>
    <t xml:space="preserve">Theresa </t>
  </si>
  <si>
    <t xml:space="preserve">Yolanda </t>
  </si>
  <si>
    <t xml:space="preserve">Tarnae </t>
  </si>
  <si>
    <t xml:space="preserve">Tarlia </t>
  </si>
  <si>
    <t xml:space="preserve">Nysis </t>
  </si>
  <si>
    <t xml:space="preserve">Nartys </t>
  </si>
  <si>
    <t xml:space="preserve">Miarra </t>
  </si>
  <si>
    <t xml:space="preserve">Kora </t>
  </si>
  <si>
    <t xml:space="preserve">Keryl </t>
  </si>
  <si>
    <t xml:space="preserve">Kassia </t>
  </si>
  <si>
    <t xml:space="preserve">Karylee </t>
  </si>
  <si>
    <t xml:space="preserve">Erydine </t>
  </si>
  <si>
    <t>Eclea</t>
  </si>
  <si>
    <t xml:space="preserve">Dorima </t>
  </si>
  <si>
    <t xml:space="preserve">Daraness </t>
  </si>
  <si>
    <t>Ceryma</t>
  </si>
  <si>
    <t xml:space="preserve">Celiste </t>
  </si>
  <si>
    <t xml:space="preserve">Arkeyla </t>
  </si>
  <si>
    <t>Argea</t>
  </si>
  <si>
    <t xml:space="preserve">Anora </t>
  </si>
  <si>
    <t xml:space="preserve">Alteyria </t>
  </si>
  <si>
    <t>Adernia</t>
  </si>
  <si>
    <t>Alex</t>
  </si>
  <si>
    <t>Barry</t>
  </si>
  <si>
    <t>Ben</t>
  </si>
  <si>
    <t>Bob</t>
  </si>
  <si>
    <t>Brad</t>
  </si>
  <si>
    <t>Brian</t>
  </si>
  <si>
    <t>Clarence</t>
  </si>
  <si>
    <t>Clyde</t>
  </si>
  <si>
    <t>Colin</t>
  </si>
  <si>
    <t>Craig</t>
  </si>
  <si>
    <t>Dennis</t>
  </si>
  <si>
    <t>Doug</t>
  </si>
  <si>
    <t>Ed</t>
  </si>
  <si>
    <t>Fred</t>
  </si>
  <si>
    <t>Gary</t>
  </si>
  <si>
    <t>Greg</t>
  </si>
  <si>
    <t>Hal</t>
  </si>
  <si>
    <t>Harry</t>
  </si>
  <si>
    <t>Hugh</t>
  </si>
  <si>
    <t>Ian</t>
  </si>
  <si>
    <t>Jay</t>
  </si>
  <si>
    <t>Jeff</t>
  </si>
  <si>
    <t>Jim</t>
  </si>
  <si>
    <t>John</t>
  </si>
  <si>
    <t>Kevin</t>
  </si>
  <si>
    <t>Kyle</t>
  </si>
  <si>
    <t>Luke</t>
  </si>
  <si>
    <t>Matt</t>
  </si>
  <si>
    <t>Neil</t>
  </si>
  <si>
    <t>Pete</t>
  </si>
  <si>
    <t>Oliver</t>
  </si>
  <si>
    <t>Ray</t>
  </si>
  <si>
    <t>Ricky</t>
  </si>
  <si>
    <t>Rob</t>
  </si>
  <si>
    <t>Ron</t>
  </si>
  <si>
    <t>Scott</t>
  </si>
  <si>
    <t>Terry</t>
  </si>
  <si>
    <t>Tim</t>
  </si>
  <si>
    <t>Todd</t>
  </si>
  <si>
    <t>Tom</t>
  </si>
  <si>
    <t>Troy</t>
  </si>
  <si>
    <t>William</t>
  </si>
  <si>
    <t>Homme</t>
  </si>
  <si>
    <t>Femme</t>
  </si>
  <si>
    <t>Alcemides</t>
  </si>
  <si>
    <t>Almarus</t>
  </si>
  <si>
    <t>Altaro</t>
  </si>
  <si>
    <t>Aratus</t>
  </si>
  <si>
    <t>Arus</t>
  </si>
  <si>
    <t>Balthus</t>
  </si>
  <si>
    <t>Broca</t>
  </si>
  <si>
    <t>Constantius</t>
  </si>
  <si>
    <t>Demetrio</t>
  </si>
  <si>
    <t>Drago</t>
  </si>
  <si>
    <t>Emilius</t>
  </si>
  <si>
    <t>Galannus</t>
  </si>
  <si>
    <t>Ivanos</t>
  </si>
  <si>
    <t>Nabonidus</t>
  </si>
  <si>
    <t>Namedides</t>
  </si>
  <si>
    <t>Orastes</t>
  </si>
  <si>
    <t>Otho</t>
  </si>
  <si>
    <t>Pallantides</t>
  </si>
  <si>
    <t>Pelias</t>
  </si>
  <si>
    <t>Promero</t>
  </si>
  <si>
    <t>Prospero</t>
  </si>
  <si>
    <t>Rinaldo</t>
  </si>
  <si>
    <t>Thespides</t>
  </si>
  <si>
    <t>Thespius</t>
  </si>
  <si>
    <t>Theteles</t>
  </si>
  <si>
    <t>Tiberias</t>
  </si>
  <si>
    <t>Valannus</t>
  </si>
  <si>
    <t>Valerus</t>
  </si>
  <si>
    <t>Amra</t>
  </si>
  <si>
    <t>Chakotay</t>
  </si>
  <si>
    <t>Gitara</t>
  </si>
  <si>
    <t>Hyam</t>
  </si>
  <si>
    <t>Khemsa</t>
  </si>
  <si>
    <t>Kintan</t>
  </si>
  <si>
    <t>Naeem</t>
  </si>
  <si>
    <t>Noam</t>
  </si>
  <si>
    <t>Sakumbe</t>
  </si>
  <si>
    <t>Shan</t>
  </si>
  <si>
    <t>Shukeli</t>
  </si>
  <si>
    <t>Subba</t>
  </si>
  <si>
    <t>Tabari</t>
  </si>
  <si>
    <t>Tuli</t>
  </si>
  <si>
    <t>Yadon</t>
  </si>
  <si>
    <t>Yasunga</t>
  </si>
  <si>
    <t>Adolfo</t>
  </si>
  <si>
    <t>Alberto</t>
  </si>
  <si>
    <t>Alexandro</t>
  </si>
  <si>
    <t>Alfonzo</t>
  </si>
  <si>
    <t>Andres</t>
  </si>
  <si>
    <t>Antonio</t>
  </si>
  <si>
    <t>Aramando</t>
  </si>
  <si>
    <t>Arturo</t>
  </si>
  <si>
    <t>Augusto</t>
  </si>
  <si>
    <t>Benito</t>
  </si>
  <si>
    <t>Carlos</t>
  </si>
  <si>
    <t>Cecelio</t>
  </si>
  <si>
    <t>Diego</t>
  </si>
  <si>
    <t>Domingo</t>
  </si>
  <si>
    <t>Eduardo</t>
  </si>
  <si>
    <t>Enrique</t>
  </si>
  <si>
    <t>Eusebio</t>
  </si>
  <si>
    <t>Filippe</t>
  </si>
  <si>
    <t>Francesco</t>
  </si>
  <si>
    <t>Gabriel</t>
  </si>
  <si>
    <t>Georgio</t>
  </si>
  <si>
    <t>Guilermo</t>
  </si>
  <si>
    <t>Javier</t>
  </si>
  <si>
    <t>Juan</t>
  </si>
  <si>
    <t>Julio</t>
  </si>
  <si>
    <t>Manuel</t>
  </si>
  <si>
    <t>Nestor</t>
  </si>
  <si>
    <t>Oscar</t>
  </si>
  <si>
    <t>Pancho</t>
  </si>
  <si>
    <t>Pedro</t>
  </si>
  <si>
    <t>Pepe</t>
  </si>
  <si>
    <t>Rafael</t>
  </si>
  <si>
    <t>Ramiro</t>
  </si>
  <si>
    <t>Ramon</t>
  </si>
  <si>
    <t>Raùl</t>
  </si>
  <si>
    <t>Ricardo</t>
  </si>
  <si>
    <t>Roberto</t>
  </si>
  <si>
    <t>Rodolfo</t>
  </si>
  <si>
    <t>Rodrigo</t>
  </si>
  <si>
    <t>Rossi</t>
  </si>
  <si>
    <t>Salvador</t>
  </si>
  <si>
    <t>Sergio</t>
  </si>
  <si>
    <t>Thomas</t>
  </si>
  <si>
    <t>Tito</t>
  </si>
  <si>
    <t>Arkes</t>
  </si>
  <si>
    <t>Asidor</t>
  </si>
  <si>
    <t>Drastos</t>
  </si>
  <si>
    <t>Erestes</t>
  </si>
  <si>
    <t>Farros</t>
  </si>
  <si>
    <t>Generk</t>
  </si>
  <si>
    <t>Haron</t>
  </si>
  <si>
    <t>Kayron</t>
  </si>
  <si>
    <t>Korban</t>
  </si>
  <si>
    <t>Korlon</t>
  </si>
  <si>
    <t>Kron</t>
  </si>
  <si>
    <t>Larius</t>
  </si>
  <si>
    <t>Melander</t>
  </si>
  <si>
    <t>Naystus</t>
  </si>
  <si>
    <t>Partos</t>
  </si>
  <si>
    <t>Rasteus</t>
  </si>
  <si>
    <t>Rex</t>
  </si>
  <si>
    <t>Sark</t>
  </si>
  <si>
    <t>Tarrus</t>
  </si>
  <si>
    <t>Terebus</t>
  </si>
  <si>
    <t>Tyram</t>
  </si>
  <si>
    <t>Vayneros</t>
  </si>
  <si>
    <t>Vemas</t>
  </si>
  <si>
    <t>Adams</t>
  </si>
  <si>
    <t>Anderson</t>
  </si>
  <si>
    <t>Barnett</t>
  </si>
  <si>
    <t>Brady</t>
  </si>
  <si>
    <t>Caldwell</t>
  </si>
  <si>
    <t>Carter</t>
  </si>
  <si>
    <t>Clayton</t>
  </si>
  <si>
    <t>Cummings</t>
  </si>
  <si>
    <t>Davies</t>
  </si>
  <si>
    <t>Dillon</t>
  </si>
  <si>
    <t>Fermer</t>
  </si>
  <si>
    <t>Fisher</t>
  </si>
  <si>
    <t>Frazer</t>
  </si>
  <si>
    <t>Gibson</t>
  </si>
  <si>
    <t>Hines</t>
  </si>
  <si>
    <t>Hobbs</t>
  </si>
  <si>
    <t>Jones</t>
  </si>
  <si>
    <t>Larson</t>
  </si>
  <si>
    <t>Milford</t>
  </si>
  <si>
    <t>Morton</t>
  </si>
  <si>
    <t>Murphy</t>
  </si>
  <si>
    <t>Owens</t>
  </si>
  <si>
    <t>Paige</t>
  </si>
  <si>
    <t>Phillips</t>
  </si>
  <si>
    <t>Spencer</t>
  </si>
  <si>
    <t>Watson</t>
  </si>
  <si>
    <t>Aluredes</t>
  </si>
  <si>
    <t>Anthys</t>
  </si>
  <si>
    <t>Arcand</t>
  </si>
  <si>
    <t>Arius</t>
  </si>
  <si>
    <t>Avina</t>
  </si>
  <si>
    <t>Assimof</t>
  </si>
  <si>
    <t>Badrigio</t>
  </si>
  <si>
    <t>Bazin</t>
  </si>
  <si>
    <t>Bellator</t>
  </si>
  <si>
    <t>Bralazzi</t>
  </si>
  <si>
    <t>Brascio</t>
  </si>
  <si>
    <t>Buccio</t>
  </si>
  <si>
    <t>Carantus</t>
  </si>
  <si>
    <t>Cato</t>
  </si>
  <si>
    <t>Chalerio</t>
  </si>
  <si>
    <t>Cyricus</t>
  </si>
  <si>
    <t>Dardanus</t>
  </si>
  <si>
    <t>Dolabella</t>
  </si>
  <si>
    <t>Donaes</t>
  </si>
  <si>
    <t>Dorass</t>
  </si>
  <si>
    <t>Dyvarc</t>
  </si>
  <si>
    <t>Dormio</t>
  </si>
  <si>
    <t>Elyse</t>
  </si>
  <si>
    <t>Fadus</t>
  </si>
  <si>
    <t>Gervaes</t>
  </si>
  <si>
    <t>Geta</t>
  </si>
  <si>
    <t>Gracilis</t>
  </si>
  <si>
    <t>Hölm</t>
  </si>
  <si>
    <t>Lamsyn</t>
  </si>
  <si>
    <t>Larraga</t>
  </si>
  <si>
    <t>Libo</t>
  </si>
  <si>
    <t>Litumaris</t>
  </si>
  <si>
    <t>Lyber</t>
  </si>
  <si>
    <t>Mancrio</t>
  </si>
  <si>
    <t>Muco</t>
  </si>
  <si>
    <t>Naud</t>
  </si>
  <si>
    <t>Perennis</t>
  </si>
  <si>
    <t>Rampal</t>
  </si>
  <si>
    <t>Rimbaldi</t>
  </si>
  <si>
    <t>Segestes</t>
  </si>
  <si>
    <t>Sorel</t>
  </si>
  <si>
    <t>Tadiri</t>
  </si>
  <si>
    <t>Torys</t>
  </si>
  <si>
    <t>Tranio</t>
  </si>
  <si>
    <t>Wala</t>
  </si>
  <si>
    <t>Vespillo</t>
  </si>
  <si>
    <t>Verese</t>
  </si>
  <si>
    <t>Watz</t>
  </si>
  <si>
    <t>Weyne</t>
  </si>
  <si>
    <t>Wolta</t>
  </si>
  <si>
    <t>Wythsten</t>
  </si>
  <si>
    <t>Assireni</t>
  </si>
  <si>
    <t>Bakari</t>
  </si>
  <si>
    <t>Chinaka</t>
  </si>
  <si>
    <t>Kanefer</t>
  </si>
  <si>
    <t>Kashka</t>
  </si>
  <si>
    <t>Mongo</t>
  </si>
  <si>
    <t>Nefertari</t>
  </si>
  <si>
    <t>Shomari</t>
  </si>
  <si>
    <t>Taharqa</t>
  </si>
  <si>
    <t>Acosta</t>
  </si>
  <si>
    <t>Aguayo</t>
  </si>
  <si>
    <t>Alverez</t>
  </si>
  <si>
    <t>Aranda</t>
  </si>
  <si>
    <t>Argones</t>
  </si>
  <si>
    <t>Arruza</t>
  </si>
  <si>
    <t>Avilés</t>
  </si>
  <si>
    <t>Baro</t>
  </si>
  <si>
    <t>Basoalto</t>
  </si>
  <si>
    <t>Batista</t>
  </si>
  <si>
    <t>Borges</t>
  </si>
  <si>
    <t>Clemente</t>
  </si>
  <si>
    <t>Colon</t>
  </si>
  <si>
    <t>Colonnato</t>
  </si>
  <si>
    <t>Corado</t>
  </si>
  <si>
    <t>Costello</t>
  </si>
  <si>
    <t>Deleon</t>
  </si>
  <si>
    <t>Delgado</t>
  </si>
  <si>
    <t>Diaz</t>
  </si>
  <si>
    <t>Donada</t>
  </si>
  <si>
    <t>Espinosa</t>
  </si>
  <si>
    <t>Fabila</t>
  </si>
  <si>
    <t>Falcon</t>
  </si>
  <si>
    <t>Fernandez</t>
  </si>
  <si>
    <t>Flores</t>
  </si>
  <si>
    <t>Fuentes</t>
  </si>
  <si>
    <t>Gallardo</t>
  </si>
  <si>
    <t>Garcia</t>
  </si>
  <si>
    <t>Garza</t>
  </si>
  <si>
    <t>Gomez</t>
  </si>
  <si>
    <t>Gonzalez</t>
  </si>
  <si>
    <t>Guardia</t>
  </si>
  <si>
    <t>Guzman</t>
  </si>
  <si>
    <t>Gutiéreez</t>
  </si>
  <si>
    <t>Hernandez</t>
  </si>
  <si>
    <t>Ibanez</t>
  </si>
  <si>
    <t>Lopez</t>
  </si>
  <si>
    <t>Lorca</t>
  </si>
  <si>
    <t>Mano</t>
  </si>
  <si>
    <t>Marquez</t>
  </si>
  <si>
    <t>Martinez</t>
  </si>
  <si>
    <t>Mendoza</t>
  </si>
  <si>
    <t>Menendez</t>
  </si>
  <si>
    <t>Montana</t>
  </si>
  <si>
    <t>Montoya</t>
  </si>
  <si>
    <t>Moreno</t>
  </si>
  <si>
    <t>Ortega</t>
  </si>
  <si>
    <t>Patrone</t>
  </si>
  <si>
    <t>Pas</t>
  </si>
  <si>
    <t>Pena</t>
  </si>
  <si>
    <t>Perales</t>
  </si>
  <si>
    <t>Perez</t>
  </si>
  <si>
    <t>Ramez</t>
  </si>
  <si>
    <t>Remirez</t>
  </si>
  <si>
    <t>Ramos</t>
  </si>
  <si>
    <t>Rodriguez</t>
  </si>
  <si>
    <t>Ruiz</t>
  </si>
  <si>
    <t>Salinas</t>
  </si>
  <si>
    <t>Sanchez</t>
  </si>
  <si>
    <t>Santiago</t>
  </si>
  <si>
    <t>Silvio</t>
  </si>
  <si>
    <t>Terrones</t>
  </si>
  <si>
    <t>Troll</t>
  </si>
  <si>
    <t>Torres</t>
  </si>
  <si>
    <t>Vazquez</t>
  </si>
  <si>
    <t>Valdez</t>
  </si>
  <si>
    <t>Vargas</t>
  </si>
  <si>
    <t>Verona</t>
  </si>
  <si>
    <t>Villareal</t>
  </si>
  <si>
    <t>Ardenys</t>
  </si>
  <si>
    <t>Berkol</t>
  </si>
  <si>
    <t>Bayrtenis</t>
  </si>
  <si>
    <t>Darkos</t>
  </si>
  <si>
    <t>Dayros</t>
  </si>
  <si>
    <t>Ganera</t>
  </si>
  <si>
    <t>Kerydion</t>
  </si>
  <si>
    <t>Keyrtin</t>
  </si>
  <si>
    <t>Malendre</t>
  </si>
  <si>
    <t>Noretyn</t>
  </si>
  <si>
    <t>Raktar</t>
  </si>
  <si>
    <t>Starkos</t>
  </si>
  <si>
    <t>Tallidora</t>
  </si>
  <si>
    <t>Torcas</t>
  </si>
  <si>
    <t>ligues</t>
  </si>
  <si>
    <t>Description :</t>
  </si>
  <si>
    <r>
      <rPr>
        <b/>
        <sz val="12"/>
        <color theme="1"/>
        <rFont val="Calibri"/>
        <family val="2"/>
        <scheme val="minor"/>
      </rPr>
      <t>FRAGS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Wingdings"/>
        <charset val="2"/>
      </rPr>
      <t>±±±±±±±±±±±±±±±±±±±±±±±±±±±±±±±±±±±±±±±±±±±±±±</t>
    </r>
  </si>
  <si>
    <r>
      <t>±±±±±±±±±±±±±±±±±±±±±±±±±±±±±±±±±±±±±±±</t>
    </r>
    <r>
      <rPr>
        <sz val="5"/>
        <color theme="1"/>
        <rFont val="Wingdings"/>
        <charset val="2"/>
      </rPr>
      <t xml:space="preserve"> </t>
    </r>
    <r>
      <rPr>
        <sz val="12"/>
        <color theme="1"/>
        <rFont val="Times New Roman"/>
        <family val="1"/>
      </rPr>
      <t>♥ ♥ ♥ ♥ ♥ ♥ ♥ ♥ ♥ ♥</t>
    </r>
  </si>
  <si>
    <r>
      <rPr>
        <b/>
        <sz val="14"/>
        <color theme="1"/>
        <rFont val="Calibri"/>
        <family val="2"/>
        <scheme val="minor"/>
      </rPr>
      <t>Trésor :</t>
    </r>
    <r>
      <rPr>
        <b/>
        <sz val="12"/>
        <color theme="1"/>
        <rFont val="Calibri"/>
        <family val="2"/>
        <scheme val="minor"/>
      </rPr>
      <t xml:space="preserve"> </t>
    </r>
  </si>
  <si>
    <t>CAR</t>
  </si>
  <si>
    <t>DEG</t>
  </si>
  <si>
    <t>Check Arme Fatale</t>
  </si>
  <si>
    <t>Check Armes corporelles</t>
  </si>
  <si>
    <t>Calcul des dégâts au corps à corps</t>
  </si>
  <si>
    <t>Ckeck</t>
  </si>
  <si>
    <t xml:space="preserve">Dégâts </t>
  </si>
  <si>
    <t>Armes</t>
  </si>
  <si>
    <t>Degâts</t>
  </si>
  <si>
    <t>Chargeur | Portée | CAR</t>
  </si>
  <si>
    <t>Spécial</t>
  </si>
  <si>
    <t>Sabre</t>
  </si>
  <si>
    <t xml:space="preserve"> - | - | 2</t>
  </si>
  <si>
    <t>Pisotlet Laser</t>
  </si>
  <si>
    <t>2L</t>
  </si>
  <si>
    <t>5 | 25 | 2</t>
  </si>
  <si>
    <t>Fusil Laser</t>
  </si>
  <si>
    <t>2G</t>
  </si>
  <si>
    <t>10 | 100 | 2</t>
  </si>
  <si>
    <t xml:space="preserve"> -</t>
  </si>
  <si>
    <t>Armement</t>
  </si>
  <si>
    <t>Deg.</t>
  </si>
  <si>
    <t>MDT</t>
  </si>
  <si>
    <t>Capacité | Porté | CAR minimum</t>
  </si>
  <si>
    <t>Special</t>
  </si>
  <si>
    <t>Equipement de base</t>
  </si>
  <si>
    <t>Poings</t>
  </si>
  <si>
    <t xml:space="preserve"> - </t>
  </si>
  <si>
    <t>SA</t>
  </si>
  <si>
    <t>Blaster</t>
  </si>
  <si>
    <t>RC</t>
  </si>
  <si>
    <t>1L</t>
  </si>
  <si>
    <t>10 | 15 | 2</t>
  </si>
  <si>
    <t>CC</t>
  </si>
  <si>
    <t>1G</t>
  </si>
  <si>
    <t>5 | 5 | 3</t>
  </si>
  <si>
    <t>Hyperblaster</t>
  </si>
  <si>
    <t>RC/RL</t>
  </si>
  <si>
    <t>30 | 50 | 3</t>
  </si>
  <si>
    <t>Pistoler Plasma</t>
  </si>
  <si>
    <t>Epaule.</t>
  </si>
  <si>
    <t>Poing.</t>
  </si>
  <si>
    <t>Epaule</t>
  </si>
  <si>
    <t>Fusil Plasma</t>
  </si>
  <si>
    <t>1M</t>
  </si>
  <si>
    <t>10 | 15 | 4</t>
  </si>
  <si>
    <t>Hyperblaster Ld</t>
  </si>
  <si>
    <t>RL</t>
  </si>
  <si>
    <t>100 | 500 | 4</t>
  </si>
  <si>
    <t>Lourde</t>
  </si>
</sst>
</file>

<file path=xl/styles.xml><?xml version="1.0" encoding="utf-8"?>
<styleSheet xmlns="http://schemas.openxmlformats.org/spreadsheetml/2006/main"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Wingdings"/>
      <charset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Wingdings"/>
      <charset val="2"/>
    </font>
    <font>
      <b/>
      <sz val="10"/>
      <color theme="1"/>
      <name val="Wingdings"/>
      <charset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indexed="81"/>
      <name val="Tahoma"/>
      <family val="2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Space Age"/>
    </font>
    <font>
      <b/>
      <sz val="11"/>
      <color theme="0"/>
      <name val="Space Age"/>
    </font>
    <font>
      <b/>
      <sz val="14"/>
      <color theme="0"/>
      <name val="Space Age"/>
    </font>
    <font>
      <sz val="12"/>
      <color theme="0"/>
      <name val="Space Age"/>
    </font>
    <font>
      <sz val="14"/>
      <color theme="0"/>
      <name val="Space Age"/>
    </font>
    <font>
      <sz val="14"/>
      <color theme="1"/>
      <name val="Wingdings"/>
      <charset val="2"/>
    </font>
    <font>
      <sz val="10"/>
      <name val="Bauhaus 93"/>
      <family val="5"/>
    </font>
    <font>
      <b/>
      <sz val="10"/>
      <color theme="0"/>
      <name val="Space Age"/>
    </font>
    <font>
      <sz val="8"/>
      <name val="Wingdings"/>
      <charset val="2"/>
    </font>
    <font>
      <sz val="8"/>
      <color theme="1"/>
      <name val="Wingdings"/>
      <charset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Wingdings"/>
      <charset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0"/>
      <name val="Space Age"/>
    </font>
    <font>
      <sz val="12"/>
      <color theme="1"/>
      <name val="Wingdings"/>
      <charset val="2"/>
    </font>
    <font>
      <sz val="12"/>
      <color theme="1"/>
      <name val="Times New Roman"/>
      <family val="1"/>
    </font>
    <font>
      <sz val="5"/>
      <color theme="1"/>
      <name val="Wingdings"/>
      <charset val="2"/>
    </font>
    <font>
      <sz val="14"/>
      <name val="Wingdings"/>
      <charset val="2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60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2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4" borderId="2" xfId="0" applyFill="1" applyBorder="1"/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0" fillId="4" borderId="3" xfId="0" applyFill="1" applyBorder="1"/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11" borderId="15" xfId="0" applyFont="1" applyFill="1" applyBorder="1" applyAlignment="1">
      <alignment horizontal="center" vertical="center"/>
    </xf>
    <xf numFmtId="0" fontId="0" fillId="11" borderId="25" xfId="0" applyFont="1" applyFill="1" applyBorder="1" applyAlignment="1">
      <alignment horizontal="center" vertical="center"/>
    </xf>
    <xf numFmtId="0" fontId="0" fillId="11" borderId="24" xfId="0" applyFont="1" applyFill="1" applyBorder="1" applyAlignment="1">
      <alignment horizontal="center" vertical="center"/>
    </xf>
    <xf numFmtId="0" fontId="0" fillId="11" borderId="8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5" borderId="2" xfId="0" applyFill="1" applyBorder="1"/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0" fillId="5" borderId="27" xfId="0" applyFill="1" applyBorder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11" borderId="18" xfId="0" applyFont="1" applyFill="1" applyBorder="1" applyAlignment="1">
      <alignment horizontal="center" vertical="center"/>
    </xf>
    <xf numFmtId="0" fontId="2" fillId="12" borderId="7" xfId="0" applyFont="1" applyFill="1" applyBorder="1"/>
    <xf numFmtId="0" fontId="8" fillId="12" borderId="4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2" fillId="12" borderId="19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2" fillId="12" borderId="20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3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8" fillId="3" borderId="3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0" fillId="10" borderId="26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0" fontId="0" fillId="0" borderId="2" xfId="0" applyFont="1" applyFill="1" applyBorder="1"/>
    <xf numFmtId="0" fontId="2" fillId="3" borderId="32" xfId="0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8" fillId="3" borderId="3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0" fillId="14" borderId="6" xfId="0" applyFill="1" applyBorder="1"/>
    <xf numFmtId="0" fontId="0" fillId="14" borderId="15" xfId="0" applyFill="1" applyBorder="1"/>
    <xf numFmtId="0" fontId="0" fillId="14" borderId="8" xfId="0" applyFill="1" applyBorder="1"/>
    <xf numFmtId="0" fontId="0" fillId="4" borderId="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" fillId="0" borderId="32" xfId="0" applyFont="1" applyBorder="1"/>
    <xf numFmtId="0" fontId="1" fillId="0" borderId="3" xfId="0" applyFont="1" applyBorder="1"/>
    <xf numFmtId="0" fontId="20" fillId="4" borderId="1" xfId="1" applyFill="1" applyBorder="1" applyAlignment="1" applyProtection="1">
      <alignment horizontal="left" vertical="center"/>
    </xf>
    <xf numFmtId="0" fontId="21" fillId="14" borderId="15" xfId="1" applyFont="1" applyFill="1" applyBorder="1" applyAlignment="1" applyProtection="1">
      <alignment horizontal="center" vertical="center"/>
    </xf>
    <xf numFmtId="0" fontId="21" fillId="14" borderId="6" xfId="1" applyFont="1" applyFill="1" applyBorder="1" applyAlignment="1" applyProtection="1">
      <alignment horizontal="center" vertical="center"/>
    </xf>
    <xf numFmtId="0" fontId="0" fillId="3" borderId="1" xfId="0" applyFill="1" applyBorder="1"/>
    <xf numFmtId="0" fontId="5" fillId="15" borderId="1" xfId="0" applyFont="1" applyFill="1" applyBorder="1"/>
    <xf numFmtId="0" fontId="0" fillId="0" borderId="0" xfId="0" applyAlignment="1">
      <alignment horizontal="right"/>
    </xf>
    <xf numFmtId="0" fontId="22" fillId="16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Fill="1" applyBorder="1" applyAlignment="1">
      <alignment horizontal="center" vertical="center"/>
    </xf>
    <xf numFmtId="0" fontId="23" fillId="0" borderId="15" xfId="0" applyFont="1" applyBorder="1"/>
    <xf numFmtId="0" fontId="0" fillId="0" borderId="14" xfId="0" applyFill="1" applyBorder="1"/>
    <xf numFmtId="0" fontId="23" fillId="16" borderId="14" xfId="0" applyFont="1" applyFill="1" applyBorder="1" applyAlignment="1">
      <alignment horizontal="left"/>
    </xf>
    <xf numFmtId="0" fontId="23" fillId="16" borderId="7" xfId="0" applyFont="1" applyFill="1" applyBorder="1" applyAlignment="1">
      <alignment horizontal="left"/>
    </xf>
    <xf numFmtId="0" fontId="23" fillId="16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/>
    </xf>
    <xf numFmtId="0" fontId="23" fillId="16" borderId="2" xfId="0" applyFont="1" applyFill="1" applyBorder="1" applyAlignment="1">
      <alignment horizontal="left"/>
    </xf>
    <xf numFmtId="0" fontId="23" fillId="0" borderId="2" xfId="0" applyFont="1" applyBorder="1"/>
    <xf numFmtId="0" fontId="23" fillId="0" borderId="3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23" fillId="0" borderId="2" xfId="0" applyFont="1" applyFill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3" fillId="0" borderId="8" xfId="0" applyFont="1" applyFill="1" applyBorder="1" applyAlignment="1">
      <alignment horizontal="left"/>
    </xf>
    <xf numFmtId="0" fontId="23" fillId="0" borderId="32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24" fillId="6" borderId="31" xfId="0" applyFont="1" applyFill="1" applyBorder="1" applyAlignment="1">
      <alignment horizontal="center" vertical="center"/>
    </xf>
    <xf numFmtId="0" fontId="24" fillId="6" borderId="35" xfId="0" applyFont="1" applyFill="1" applyBorder="1" applyAlignment="1">
      <alignment horizontal="center" vertical="center"/>
    </xf>
    <xf numFmtId="0" fontId="24" fillId="6" borderId="27" xfId="0" applyFont="1" applyFill="1" applyBorder="1" applyAlignment="1">
      <alignment horizontal="center" vertical="center"/>
    </xf>
    <xf numFmtId="0" fontId="23" fillId="16" borderId="14" xfId="0" applyFont="1" applyFill="1" applyBorder="1"/>
    <xf numFmtId="0" fontId="23" fillId="0" borderId="3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16" borderId="5" xfId="0" applyFont="1" applyFill="1" applyBorder="1"/>
    <xf numFmtId="0" fontId="23" fillId="0" borderId="6" xfId="0" applyFont="1" applyBorder="1"/>
    <xf numFmtId="0" fontId="23" fillId="8" borderId="14" xfId="0" applyFont="1" applyFill="1" applyBorder="1" applyAlignment="1">
      <alignment horizontal="left"/>
    </xf>
    <xf numFmtId="0" fontId="23" fillId="8" borderId="7" xfId="0" applyFont="1" applyFill="1" applyBorder="1" applyAlignment="1">
      <alignment horizontal="left"/>
    </xf>
    <xf numFmtId="0" fontId="23" fillId="9" borderId="11" xfId="0" applyFont="1" applyFill="1" applyBorder="1"/>
    <xf numFmtId="0" fontId="23" fillId="9" borderId="13" xfId="0" applyFont="1" applyFill="1" applyBorder="1"/>
    <xf numFmtId="0" fontId="23" fillId="9" borderId="11" xfId="0" applyFont="1" applyFill="1" applyBorder="1" applyAlignment="1">
      <alignment horizontal="center" vertical="center"/>
    </xf>
    <xf numFmtId="0" fontId="34" fillId="9" borderId="11" xfId="0" applyFont="1" applyFill="1" applyBorder="1" applyAlignment="1">
      <alignment horizontal="left" vertical="center"/>
    </xf>
    <xf numFmtId="0" fontId="23" fillId="9" borderId="13" xfId="0" applyFont="1" applyFill="1" applyBorder="1" applyAlignment="1">
      <alignment horizontal="center"/>
    </xf>
    <xf numFmtId="0" fontId="34" fillId="9" borderId="12" xfId="0" applyFont="1" applyFill="1" applyBorder="1" applyAlignment="1">
      <alignment horizontal="left" vertical="center"/>
    </xf>
    <xf numFmtId="0" fontId="23" fillId="9" borderId="12" xfId="0" applyFont="1" applyFill="1" applyBorder="1" applyAlignment="1">
      <alignment horizontal="center"/>
    </xf>
    <xf numFmtId="0" fontId="34" fillId="9" borderId="13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26" fillId="0" borderId="0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4" fillId="9" borderId="21" xfId="0" applyFont="1" applyFill="1" applyBorder="1" applyAlignment="1">
      <alignment horizontal="left" vertical="center"/>
    </xf>
    <xf numFmtId="0" fontId="26" fillId="0" borderId="22" xfId="0" applyFont="1" applyBorder="1" applyAlignment="1">
      <alignment horizontal="center" vertical="center"/>
    </xf>
    <xf numFmtId="0" fontId="34" fillId="9" borderId="22" xfId="0" applyFont="1" applyFill="1" applyBorder="1" applyAlignment="1">
      <alignment horizontal="left" vertical="center"/>
    </xf>
    <xf numFmtId="0" fontId="34" fillId="9" borderId="13" xfId="0" applyFont="1" applyFill="1" applyBorder="1" applyAlignment="1">
      <alignment horizontal="left"/>
    </xf>
    <xf numFmtId="0" fontId="32" fillId="9" borderId="11" xfId="0" applyFont="1" applyFill="1" applyBorder="1" applyAlignment="1">
      <alignment horizontal="left" vertical="center"/>
    </xf>
    <xf numFmtId="0" fontId="32" fillId="9" borderId="13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0" fontId="34" fillId="9" borderId="11" xfId="0" applyFont="1" applyFill="1" applyBorder="1"/>
    <xf numFmtId="0" fontId="34" fillId="9" borderId="13" xfId="0" applyFont="1" applyFill="1" applyBorder="1"/>
    <xf numFmtId="0" fontId="34" fillId="0" borderId="0" xfId="0" applyFont="1"/>
    <xf numFmtId="0" fontId="32" fillId="6" borderId="5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left"/>
    </xf>
    <xf numFmtId="0" fontId="23" fillId="0" borderId="2" xfId="0" applyFont="1" applyBorder="1" applyAlignment="1">
      <alignment horizontal="left" vertical="center"/>
    </xf>
    <xf numFmtId="0" fontId="23" fillId="8" borderId="2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/>
    </xf>
    <xf numFmtId="0" fontId="23" fillId="8" borderId="14" xfId="0" applyFont="1" applyFill="1" applyBorder="1"/>
    <xf numFmtId="0" fontId="23" fillId="0" borderId="0" xfId="0" applyFont="1" applyFill="1" applyBorder="1"/>
    <xf numFmtId="0" fontId="23" fillId="16" borderId="2" xfId="0" applyFont="1" applyFill="1" applyBorder="1"/>
    <xf numFmtId="0" fontId="24" fillId="15" borderId="5" xfId="0" applyFont="1" applyFill="1" applyBorder="1"/>
    <xf numFmtId="0" fontId="24" fillId="15" borderId="19" xfId="0" applyFont="1" applyFill="1" applyBorder="1"/>
    <xf numFmtId="0" fontId="24" fillId="15" borderId="6" xfId="0" applyFont="1" applyFill="1" applyBorder="1"/>
    <xf numFmtId="0" fontId="23" fillId="16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3" fillId="16" borderId="32" xfId="0" applyFont="1" applyFill="1" applyBorder="1" applyAlignment="1">
      <alignment horizontal="left"/>
    </xf>
    <xf numFmtId="0" fontId="23" fillId="0" borderId="32" xfId="0" applyFont="1" applyBorder="1"/>
    <xf numFmtId="0" fontId="23" fillId="8" borderId="2" xfId="0" applyFont="1" applyFill="1" applyBorder="1"/>
    <xf numFmtId="0" fontId="23" fillId="8" borderId="32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23" fillId="0" borderId="0" xfId="0" applyFont="1" applyFill="1"/>
    <xf numFmtId="0" fontId="23" fillId="0" borderId="3" xfId="0" applyFont="1" applyBorder="1"/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3" fillId="0" borderId="8" xfId="0" applyFont="1" applyBorder="1" applyAlignment="1">
      <alignment horizontal="left" vertical="center"/>
    </xf>
    <xf numFmtId="0" fontId="23" fillId="8" borderId="5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3" borderId="7" xfId="0" applyFill="1" applyBorder="1"/>
    <xf numFmtId="0" fontId="0" fillId="3" borderId="20" xfId="0" applyFill="1" applyBorder="1"/>
    <xf numFmtId="0" fontId="0" fillId="3" borderId="8" xfId="0" applyFill="1" applyBorder="1"/>
    <xf numFmtId="0" fontId="24" fillId="6" borderId="5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3" fillId="16" borderId="3" xfId="0" applyFont="1" applyFill="1" applyBorder="1"/>
    <xf numFmtId="0" fontId="0" fillId="0" borderId="0" xfId="0" applyFill="1" applyBorder="1"/>
    <xf numFmtId="0" fontId="4" fillId="0" borderId="2" xfId="0" applyFont="1" applyBorder="1" applyAlignment="1">
      <alignment horizontal="left" vertical="center"/>
    </xf>
    <xf numFmtId="0" fontId="8" fillId="3" borderId="27" xfId="0" applyFont="1" applyFill="1" applyBorder="1" applyAlignment="1">
      <alignment horizontal="right" vertical="center"/>
    </xf>
    <xf numFmtId="0" fontId="1" fillId="15" borderId="1" xfId="0" applyFont="1" applyFill="1" applyBorder="1" applyAlignment="1">
      <alignment horizontal="right" vertical="center"/>
    </xf>
    <xf numFmtId="0" fontId="0" fillId="17" borderId="35" xfId="0" applyFill="1" applyBorder="1"/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3" xfId="0" applyFill="1" applyBorder="1"/>
    <xf numFmtId="0" fontId="8" fillId="3" borderId="31" xfId="0" applyFont="1" applyFill="1" applyBorder="1" applyAlignment="1">
      <alignment horizontal="center"/>
    </xf>
    <xf numFmtId="0" fontId="40" fillId="17" borderId="31" xfId="0" applyFont="1" applyFill="1" applyBorder="1" applyAlignment="1">
      <alignment horizontal="left" vertical="center"/>
    </xf>
    <xf numFmtId="0" fontId="41" fillId="17" borderId="27" xfId="0" applyFont="1" applyFill="1" applyBorder="1" applyAlignment="1">
      <alignment horizontal="center"/>
    </xf>
    <xf numFmtId="0" fontId="0" fillId="4" borderId="0" xfId="0" applyFill="1"/>
    <xf numFmtId="0" fontId="16" fillId="18" borderId="32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0" fillId="18" borderId="1" xfId="0" applyFill="1" applyBorder="1"/>
    <xf numFmtId="0" fontId="0" fillId="18" borderId="2" xfId="0" applyFill="1" applyBorder="1"/>
    <xf numFmtId="0" fontId="0" fillId="18" borderId="2" xfId="0" applyFill="1" applyBorder="1" applyAlignment="1">
      <alignment horizontal="center" vertical="center"/>
    </xf>
    <xf numFmtId="0" fontId="16" fillId="18" borderId="1" xfId="0" applyFont="1" applyFill="1" applyBorder="1" applyAlignment="1">
      <alignment horizontal="center" vertical="center"/>
    </xf>
    <xf numFmtId="0" fontId="4" fillId="19" borderId="32" xfId="0" applyFont="1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/>
    </xf>
    <xf numFmtId="0" fontId="19" fillId="19" borderId="1" xfId="0" applyFont="1" applyFill="1" applyBorder="1" applyAlignment="1">
      <alignment horizontal="center" vertical="center"/>
    </xf>
    <xf numFmtId="0" fontId="0" fillId="19" borderId="2" xfId="0" applyFill="1" applyBorder="1"/>
    <xf numFmtId="0" fontId="0" fillId="18" borderId="3" xfId="0" applyFill="1" applyBorder="1"/>
    <xf numFmtId="0" fontId="0" fillId="5" borderId="3" xfId="0" applyFill="1" applyBorder="1"/>
    <xf numFmtId="0" fontId="0" fillId="19" borderId="3" xfId="0" applyFill="1" applyBorder="1" applyAlignment="1">
      <alignment horizontal="center" vertical="center"/>
    </xf>
    <xf numFmtId="0" fontId="1" fillId="19" borderId="2" xfId="0" applyFont="1" applyFill="1" applyBorder="1"/>
    <xf numFmtId="0" fontId="5" fillId="18" borderId="32" xfId="0" applyFont="1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2" xfId="0" applyFont="1" applyFill="1" applyBorder="1" applyAlignment="1">
      <alignment horizontal="center" vertical="center"/>
    </xf>
    <xf numFmtId="0" fontId="0" fillId="18" borderId="2" xfId="0" applyFont="1" applyFill="1" applyBorder="1"/>
    <xf numFmtId="0" fontId="0" fillId="18" borderId="32" xfId="0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37" fillId="19" borderId="32" xfId="0" applyFont="1" applyFill="1" applyBorder="1" applyAlignment="1">
      <alignment horizontal="center" vertical="center"/>
    </xf>
    <xf numFmtId="0" fontId="4" fillId="19" borderId="2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/>
    </xf>
    <xf numFmtId="0" fontId="0" fillId="19" borderId="3" xfId="0" applyFill="1" applyBorder="1"/>
    <xf numFmtId="0" fontId="0" fillId="19" borderId="2" xfId="0" applyFont="1" applyFill="1" applyBorder="1"/>
    <xf numFmtId="0" fontId="5" fillId="19" borderId="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34" fillId="0" borderId="14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34" fillId="0" borderId="15" xfId="0" applyFont="1" applyBorder="1"/>
    <xf numFmtId="0" fontId="23" fillId="0" borderId="14" xfId="0" applyFont="1" applyBorder="1"/>
    <xf numFmtId="0" fontId="23" fillId="0" borderId="7" xfId="0" applyFont="1" applyBorder="1"/>
    <xf numFmtId="0" fontId="23" fillId="0" borderId="20" xfId="0" applyFont="1" applyBorder="1"/>
    <xf numFmtId="0" fontId="23" fillId="0" borderId="20" xfId="0" applyFont="1" applyBorder="1" applyAlignment="1">
      <alignment horizontal="center"/>
    </xf>
    <xf numFmtId="0" fontId="23" fillId="0" borderId="8" xfId="0" applyFont="1" applyBorder="1"/>
    <xf numFmtId="0" fontId="45" fillId="3" borderId="32" xfId="0" applyFont="1" applyFill="1" applyBorder="1"/>
    <xf numFmtId="0" fontId="0" fillId="3" borderId="3" xfId="0" applyFill="1" applyBorder="1"/>
    <xf numFmtId="0" fontId="8" fillId="3" borderId="19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15" xfId="0" applyFont="1" applyFill="1" applyBorder="1"/>
    <xf numFmtId="0" fontId="5" fillId="1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4" borderId="0" xfId="0" applyFill="1" applyBorder="1"/>
    <xf numFmtId="0" fontId="0" fillId="10" borderId="19" xfId="0" applyFill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0" fillId="13" borderId="20" xfId="0" applyFill="1" applyBorder="1" applyAlignment="1">
      <alignment horizontal="center"/>
    </xf>
    <xf numFmtId="0" fontId="1" fillId="0" borderId="32" xfId="0" applyFont="1" applyFill="1" applyBorder="1"/>
    <xf numFmtId="0" fontId="0" fillId="10" borderId="7" xfId="0" applyFill="1" applyBorder="1" applyAlignment="1">
      <alignment horizontal="center"/>
    </xf>
    <xf numFmtId="0" fontId="25" fillId="0" borderId="2" xfId="0" applyFont="1" applyBorder="1" applyAlignment="1">
      <alignment horizontal="left" vertical="center"/>
    </xf>
    <xf numFmtId="0" fontId="42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0" fillId="4" borderId="15" xfId="0" applyFill="1" applyBorder="1"/>
    <xf numFmtId="0" fontId="0" fillId="3" borderId="19" xfId="0" applyFill="1" applyBorder="1"/>
    <xf numFmtId="0" fontId="0" fillId="3" borderId="6" xfId="0" applyFill="1" applyBorder="1"/>
    <xf numFmtId="0" fontId="0" fillId="3" borderId="15" xfId="0" applyFill="1" applyBorder="1"/>
    <xf numFmtId="0" fontId="8" fillId="3" borderId="0" xfId="0" applyFont="1" applyFill="1" applyBorder="1"/>
    <xf numFmtId="0" fontId="8" fillId="3" borderId="35" xfId="0" applyFont="1" applyFill="1" applyBorder="1"/>
    <xf numFmtId="0" fontId="48" fillId="3" borderId="1" xfId="0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47" fillId="3" borderId="31" xfId="0" applyFont="1" applyFill="1" applyBorder="1" applyAlignment="1">
      <alignment horizontal="center"/>
    </xf>
    <xf numFmtId="0" fontId="47" fillId="3" borderId="14" xfId="0" applyFont="1" applyFill="1" applyBorder="1" applyAlignment="1">
      <alignment horizontal="center"/>
    </xf>
    <xf numFmtId="0" fontId="47" fillId="3" borderId="27" xfId="0" applyFont="1" applyFill="1" applyBorder="1"/>
    <xf numFmtId="0" fontId="53" fillId="3" borderId="0" xfId="0" applyFont="1" applyFill="1" applyBorder="1" applyAlignment="1">
      <alignment horizontal="left"/>
    </xf>
    <xf numFmtId="0" fontId="50" fillId="3" borderId="19" xfId="0" applyFont="1" applyFill="1" applyBorder="1" applyAlignment="1">
      <alignment horizontal="center"/>
    </xf>
    <xf numFmtId="0" fontId="51" fillId="4" borderId="14" xfId="0" applyFont="1" applyFill="1" applyBorder="1" applyAlignment="1">
      <alignment horizontal="right"/>
    </xf>
    <xf numFmtId="0" fontId="48" fillId="3" borderId="1" xfId="0" applyFont="1" applyFill="1" applyBorder="1" applyAlignment="1">
      <alignment horizontal="center"/>
    </xf>
    <xf numFmtId="49" fontId="23" fillId="0" borderId="5" xfId="0" applyNumberFormat="1" applyFont="1" applyBorder="1" applyAlignment="1">
      <alignment horizontal="right"/>
    </xf>
    <xf numFmtId="0" fontId="54" fillId="0" borderId="6" xfId="0" applyFont="1" applyFill="1" applyBorder="1"/>
    <xf numFmtId="0" fontId="54" fillId="0" borderId="15" xfId="0" applyFont="1" applyBorder="1"/>
    <xf numFmtId="0" fontId="55" fillId="0" borderId="15" xfId="0" applyFont="1" applyBorder="1"/>
    <xf numFmtId="0" fontId="54" fillId="0" borderId="15" xfId="0" applyFont="1" applyFill="1" applyBorder="1"/>
    <xf numFmtId="0" fontId="14" fillId="0" borderId="7" xfId="0" applyFont="1" applyBorder="1"/>
    <xf numFmtId="0" fontId="54" fillId="0" borderId="8" xfId="0" applyFont="1" applyFill="1" applyBorder="1"/>
    <xf numFmtId="0" fontId="56" fillId="11" borderId="31" xfId="0" applyFont="1" applyFill="1" applyBorder="1"/>
    <xf numFmtId="0" fontId="2" fillId="11" borderId="35" xfId="0" applyFont="1" applyFill="1" applyBorder="1"/>
    <xf numFmtId="0" fontId="2" fillId="11" borderId="27" xfId="0" applyFont="1" applyFill="1" applyBorder="1"/>
    <xf numFmtId="0" fontId="56" fillId="11" borderId="31" xfId="0" applyFont="1" applyFill="1" applyBorder="1" applyAlignment="1">
      <alignment horizontal="left" vertical="center"/>
    </xf>
    <xf numFmtId="0" fontId="56" fillId="11" borderId="35" xfId="0" applyFont="1" applyFill="1" applyBorder="1"/>
    <xf numFmtId="0" fontId="56" fillId="11" borderId="35" xfId="0" applyFont="1" applyFill="1" applyBorder="1" applyAlignment="1">
      <alignment horizontal="center" vertical="center"/>
    </xf>
    <xf numFmtId="0" fontId="56" fillId="11" borderId="27" xfId="0" applyFont="1" applyFill="1" applyBorder="1"/>
    <xf numFmtId="0" fontId="20" fillId="11" borderId="1" xfId="1" applyFill="1" applyBorder="1" applyAlignment="1" applyProtection="1">
      <alignment horizontal="center" vertical="center"/>
    </xf>
    <xf numFmtId="0" fontId="56" fillId="0" borderId="0" xfId="0" applyFont="1" applyFill="1" applyBorder="1"/>
    <xf numFmtId="0" fontId="56" fillId="11" borderId="32" xfId="0" applyFont="1" applyFill="1" applyBorder="1"/>
    <xf numFmtId="0" fontId="56" fillId="11" borderId="3" xfId="0" applyFont="1" applyFill="1" applyBorder="1"/>
    <xf numFmtId="0" fontId="39" fillId="3" borderId="32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horizontal="center" vertical="center"/>
    </xf>
    <xf numFmtId="0" fontId="1" fillId="18" borderId="8" xfId="0" applyFont="1" applyFill="1" applyBorder="1" applyAlignment="1">
      <alignment horizontal="center" vertical="center"/>
    </xf>
    <xf numFmtId="0" fontId="57" fillId="0" borderId="0" xfId="0" applyFont="1"/>
    <xf numFmtId="0" fontId="51" fillId="2" borderId="14" xfId="0" applyFont="1" applyFill="1" applyBorder="1" applyAlignment="1">
      <alignment horizontal="center" vertical="center"/>
    </xf>
    <xf numFmtId="0" fontId="51" fillId="6" borderId="14" xfId="0" applyFont="1" applyFill="1" applyBorder="1" applyAlignment="1">
      <alignment horizontal="center" vertical="center"/>
    </xf>
    <xf numFmtId="0" fontId="51" fillId="20" borderId="14" xfId="0" applyFont="1" applyFill="1" applyBorder="1" applyAlignment="1">
      <alignment horizontal="center" vertical="center"/>
    </xf>
    <xf numFmtId="0" fontId="51" fillId="21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20" borderId="15" xfId="0" applyFont="1" applyFill="1" applyBorder="1" applyAlignment="1">
      <alignment horizontal="center" vertical="center"/>
    </xf>
    <xf numFmtId="0" fontId="1" fillId="21" borderId="8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/>
    </xf>
    <xf numFmtId="0" fontId="0" fillId="4" borderId="3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5" xfId="0" applyFont="1" applyFill="1" applyBorder="1"/>
    <xf numFmtId="0" fontId="0" fillId="4" borderId="14" xfId="0" applyFont="1" applyFill="1" applyBorder="1"/>
    <xf numFmtId="0" fontId="0" fillId="4" borderId="7" xfId="0" applyFont="1" applyFill="1" applyBorder="1"/>
    <xf numFmtId="0" fontId="23" fillId="9" borderId="38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0" fillId="0" borderId="15" xfId="0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34" fillId="0" borderId="32" xfId="0" applyFont="1" applyBorder="1"/>
    <xf numFmtId="0" fontId="34" fillId="0" borderId="2" xfId="0" applyFont="1" applyBorder="1"/>
    <xf numFmtId="0" fontId="34" fillId="0" borderId="3" xfId="0" applyFont="1" applyBorder="1"/>
    <xf numFmtId="0" fontId="33" fillId="22" borderId="9" xfId="0" applyFont="1" applyFill="1" applyBorder="1" applyAlignment="1">
      <alignment horizontal="right" vertical="top"/>
    </xf>
    <xf numFmtId="0" fontId="33" fillId="22" borderId="10" xfId="0" applyFont="1" applyFill="1" applyBorder="1" applyAlignment="1">
      <alignment horizontal="right" vertical="top"/>
    </xf>
    <xf numFmtId="0" fontId="33" fillId="22" borderId="9" xfId="0" applyFont="1" applyFill="1" applyBorder="1" applyAlignment="1">
      <alignment horizontal="left" vertical="center"/>
    </xf>
    <xf numFmtId="0" fontId="33" fillId="22" borderId="10" xfId="0" applyFont="1" applyFill="1" applyBorder="1" applyAlignment="1">
      <alignment horizontal="left" vertical="center"/>
    </xf>
    <xf numFmtId="0" fontId="33" fillId="22" borderId="3" xfId="0" applyFont="1" applyFill="1" applyBorder="1" applyAlignment="1">
      <alignment horizontal="left" vertical="center"/>
    </xf>
    <xf numFmtId="0" fontId="24" fillId="24" borderId="9" xfId="0" applyFont="1" applyFill="1" applyBorder="1" applyAlignment="1">
      <alignment horizontal="left" vertical="center"/>
    </xf>
    <xf numFmtId="0" fontId="23" fillId="24" borderId="9" xfId="0" applyFont="1" applyFill="1" applyBorder="1" applyAlignment="1">
      <alignment horizontal="left" vertical="center"/>
    </xf>
    <xf numFmtId="0" fontId="23" fillId="24" borderId="9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left" vertical="center"/>
    </xf>
    <xf numFmtId="0" fontId="23" fillId="24" borderId="37" xfId="0" applyFont="1" applyFill="1" applyBorder="1" applyAlignment="1">
      <alignment horizontal="left" vertical="center"/>
    </xf>
    <xf numFmtId="0" fontId="23" fillId="22" borderId="9" xfId="0" applyFont="1" applyFill="1" applyBorder="1" applyAlignment="1">
      <alignment horizontal="right" vertical="top"/>
    </xf>
    <xf numFmtId="0" fontId="33" fillId="22" borderId="32" xfId="0" applyFont="1" applyFill="1" applyBorder="1" applyAlignment="1">
      <alignment horizontal="right" vertical="top"/>
    </xf>
    <xf numFmtId="0" fontId="23" fillId="22" borderId="3" xfId="0" applyFont="1" applyFill="1" applyBorder="1" applyAlignment="1">
      <alignment horizontal="right" vertical="top"/>
    </xf>
    <xf numFmtId="0" fontId="33" fillId="22" borderId="2" xfId="0" applyFont="1" applyFill="1" applyBorder="1" applyAlignment="1">
      <alignment horizontal="right" vertical="top"/>
    </xf>
    <xf numFmtId="0" fontId="1" fillId="4" borderId="0" xfId="0" applyFont="1" applyFill="1" applyAlignment="1">
      <alignment horizontal="center" vertical="center"/>
    </xf>
    <xf numFmtId="0" fontId="7" fillId="4" borderId="1" xfId="0" applyFont="1" applyFill="1" applyBorder="1"/>
    <xf numFmtId="0" fontId="5" fillId="4" borderId="35" xfId="0" applyFont="1" applyFill="1" applyBorder="1"/>
    <xf numFmtId="0" fontId="5" fillId="4" borderId="27" xfId="0" applyFont="1" applyFill="1" applyBorder="1" applyAlignment="1"/>
    <xf numFmtId="0" fontId="2" fillId="11" borderId="19" xfId="0" applyFont="1" applyFill="1" applyBorder="1"/>
    <xf numFmtId="0" fontId="2" fillId="11" borderId="19" xfId="0" applyFont="1" applyFill="1" applyBorder="1" applyAlignment="1">
      <alignment horizontal="center" vertical="center"/>
    </xf>
    <xf numFmtId="0" fontId="0" fillId="11" borderId="0" xfId="0" applyFill="1" applyBorder="1"/>
    <xf numFmtId="0" fontId="0" fillId="11" borderId="0" xfId="0" applyFill="1" applyBorder="1" applyAlignment="1">
      <alignment horizontal="center" vertical="center"/>
    </xf>
    <xf numFmtId="0" fontId="0" fillId="11" borderId="15" xfId="0" applyFill="1" applyBorder="1"/>
    <xf numFmtId="0" fontId="23" fillId="8" borderId="15" xfId="0" applyFont="1" applyFill="1" applyBorder="1"/>
    <xf numFmtId="0" fontId="23" fillId="5" borderId="15" xfId="0" applyFont="1" applyFill="1" applyBorder="1"/>
    <xf numFmtId="0" fontId="23" fillId="0" borderId="32" xfId="0" applyFont="1" applyBorder="1" applyAlignment="1">
      <alignment horizontal="left" vertical="center"/>
    </xf>
    <xf numFmtId="0" fontId="32" fillId="6" borderId="1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/>
    </xf>
    <xf numFmtId="0" fontId="23" fillId="8" borderId="13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3" fillId="0" borderId="0" xfId="0" applyFont="1" applyFill="1" applyBorder="1" applyAlignment="1">
      <alignment horizontal="left" vertical="center"/>
    </xf>
    <xf numFmtId="0" fontId="35" fillId="3" borderId="5" xfId="0" applyFont="1" applyFill="1" applyBorder="1" applyAlignment="1">
      <alignment horizontal="center"/>
    </xf>
    <xf numFmtId="0" fontId="0" fillId="0" borderId="19" xfId="0" applyBorder="1"/>
    <xf numFmtId="0" fontId="0" fillId="0" borderId="6" xfId="0" applyBorder="1"/>
    <xf numFmtId="0" fontId="35" fillId="3" borderId="14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0" fillId="0" borderId="20" xfId="0" applyBorder="1"/>
    <xf numFmtId="0" fontId="0" fillId="0" borderId="8" xfId="0" applyBorder="1"/>
    <xf numFmtId="0" fontId="23" fillId="8" borderId="0" xfId="0" applyFont="1" applyFill="1" applyBorder="1"/>
    <xf numFmtId="0" fontId="23" fillId="8" borderId="0" xfId="0" applyFont="1" applyFill="1" applyBorder="1" applyAlignment="1">
      <alignment horizontal="left"/>
    </xf>
    <xf numFmtId="0" fontId="23" fillId="8" borderId="19" xfId="0" applyFont="1" applyFill="1" applyBorder="1"/>
    <xf numFmtId="0" fontId="23" fillId="8" borderId="20" xfId="0" applyFont="1" applyFill="1" applyBorder="1"/>
    <xf numFmtId="0" fontId="23" fillId="25" borderId="0" xfId="0" applyFont="1" applyFill="1" applyBorder="1" applyAlignment="1">
      <alignment horizontal="left" vertical="center"/>
    </xf>
    <xf numFmtId="0" fontId="23" fillId="5" borderId="0" xfId="0" applyFont="1" applyFill="1" applyBorder="1"/>
    <xf numFmtId="0" fontId="0" fillId="5" borderId="0" xfId="0" applyFill="1" applyBorder="1"/>
    <xf numFmtId="0" fontId="23" fillId="25" borderId="19" xfId="0" applyFont="1" applyFill="1" applyBorder="1"/>
    <xf numFmtId="0" fontId="23" fillId="25" borderId="15" xfId="0" applyFont="1" applyFill="1" applyBorder="1" applyAlignment="1">
      <alignment horizontal="left" vertical="center"/>
    </xf>
    <xf numFmtId="0" fontId="23" fillId="5" borderId="20" xfId="0" applyFont="1" applyFill="1" applyBorder="1"/>
    <xf numFmtId="0" fontId="23" fillId="23" borderId="0" xfId="0" applyFont="1" applyFill="1" applyBorder="1"/>
    <xf numFmtId="0" fontId="23" fillId="23" borderId="19" xfId="0" applyFont="1" applyFill="1" applyBorder="1"/>
    <xf numFmtId="0" fontId="23" fillId="0" borderId="19" xfId="0" applyFont="1" applyBorder="1"/>
    <xf numFmtId="0" fontId="23" fillId="23" borderId="15" xfId="0" applyFont="1" applyFill="1" applyBorder="1"/>
    <xf numFmtId="0" fontId="23" fillId="23" borderId="20" xfId="0" applyFont="1" applyFill="1" applyBorder="1"/>
    <xf numFmtId="0" fontId="8" fillId="3" borderId="7" xfId="0" applyFont="1" applyFill="1" applyBorder="1" applyAlignment="1">
      <alignment horizontal="center"/>
    </xf>
    <xf numFmtId="0" fontId="0" fillId="23" borderId="20" xfId="0" applyFill="1" applyBorder="1"/>
    <xf numFmtId="0" fontId="32" fillId="8" borderId="1" xfId="0" applyFont="1" applyFill="1" applyBorder="1" applyAlignment="1">
      <alignment horizontal="center"/>
    </xf>
    <xf numFmtId="0" fontId="32" fillId="0" borderId="31" xfId="0" applyFont="1" applyFill="1" applyBorder="1" applyAlignment="1">
      <alignment horizontal="center"/>
    </xf>
    <xf numFmtId="0" fontId="32" fillId="0" borderId="35" xfId="0" applyFont="1" applyFill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24" fillId="18" borderId="1" xfId="0" applyFont="1" applyFill="1" applyBorder="1" applyAlignment="1">
      <alignment horizontal="center"/>
    </xf>
    <xf numFmtId="0" fontId="24" fillId="0" borderId="35" xfId="0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18" borderId="15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 vertical="center"/>
    </xf>
    <xf numFmtId="0" fontId="61" fillId="4" borderId="0" xfId="0" applyFont="1" applyFill="1"/>
    <xf numFmtId="0" fontId="60" fillId="4" borderId="35" xfId="0" applyFont="1" applyFill="1" applyBorder="1" applyAlignment="1">
      <alignment horizontal="center" vertical="center"/>
    </xf>
    <xf numFmtId="0" fontId="60" fillId="4" borderId="1" xfId="0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62" fillId="0" borderId="3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2" fillId="0" borderId="29" xfId="0" applyFont="1" applyFill="1" applyBorder="1" applyAlignment="1">
      <alignment horizontal="center" vertical="center"/>
    </xf>
    <xf numFmtId="0" fontId="61" fillId="3" borderId="5" xfId="0" applyFont="1" applyFill="1" applyBorder="1"/>
    <xf numFmtId="0" fontId="61" fillId="3" borderId="19" xfId="0" applyFont="1" applyFill="1" applyBorder="1"/>
    <xf numFmtId="0" fontId="49" fillId="3" borderId="19" xfId="0" applyFont="1" applyFill="1" applyBorder="1" applyAlignment="1">
      <alignment horizontal="center"/>
    </xf>
    <xf numFmtId="0" fontId="61" fillId="3" borderId="6" xfId="0" applyFont="1" applyFill="1" applyBorder="1"/>
    <xf numFmtId="0" fontId="57" fillId="0" borderId="5" xfId="0" applyFont="1" applyFill="1" applyBorder="1" applyAlignment="1">
      <alignment horizontal="center" vertical="center"/>
    </xf>
    <xf numFmtId="0" fontId="61" fillId="0" borderId="19" xfId="0" applyFont="1" applyFill="1" applyBorder="1"/>
    <xf numFmtId="0" fontId="61" fillId="0" borderId="19" xfId="0" applyFont="1" applyFill="1" applyBorder="1" applyAlignment="1">
      <alignment horizontal="center"/>
    </xf>
    <xf numFmtId="0" fontId="61" fillId="0" borderId="6" xfId="0" applyFont="1" applyFill="1" applyBorder="1"/>
    <xf numFmtId="0" fontId="61" fillId="0" borderId="14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7" xfId="0" applyFont="1" applyFill="1" applyBorder="1" applyAlignment="1">
      <alignment horizontal="center" vertical="center"/>
    </xf>
    <xf numFmtId="0" fontId="61" fillId="0" borderId="8" xfId="0" applyFont="1" applyFill="1" applyBorder="1" applyAlignment="1">
      <alignment horizontal="center"/>
    </xf>
    <xf numFmtId="0" fontId="61" fillId="0" borderId="20" xfId="0" applyFont="1" applyFill="1" applyBorder="1" applyAlignment="1">
      <alignment horizontal="center"/>
    </xf>
    <xf numFmtId="0" fontId="63" fillId="0" borderId="2" xfId="0" applyFont="1" applyFill="1" applyBorder="1"/>
    <xf numFmtId="0" fontId="63" fillId="0" borderId="2" xfId="0" applyFont="1" applyFill="1" applyBorder="1" applyAlignment="1">
      <alignment horizontal="center" vertical="center"/>
    </xf>
    <xf numFmtId="0" fontId="9" fillId="0" borderId="2" xfId="0" applyFont="1" applyBorder="1"/>
    <xf numFmtId="0" fontId="63" fillId="0" borderId="2" xfId="0" applyFont="1" applyBorder="1"/>
    <xf numFmtId="0" fontId="9" fillId="0" borderId="2" xfId="0" applyFont="1" applyFill="1" applyBorder="1"/>
    <xf numFmtId="0" fontId="60" fillId="0" borderId="14" xfId="0" applyFont="1" applyFill="1" applyBorder="1" applyAlignment="1">
      <alignment horizontal="left" vertical="center"/>
    </xf>
    <xf numFmtId="0" fontId="63" fillId="0" borderId="3" xfId="0" applyFont="1" applyFill="1" applyBorder="1"/>
    <xf numFmtId="0" fontId="63" fillId="0" borderId="3" xfId="0" applyFont="1" applyFill="1" applyBorder="1" applyAlignment="1">
      <alignment horizontal="center" vertical="center"/>
    </xf>
    <xf numFmtId="0" fontId="63" fillId="0" borderId="3" xfId="0" applyFont="1" applyBorder="1"/>
    <xf numFmtId="0" fontId="49" fillId="3" borderId="31" xfId="0" applyFont="1" applyFill="1" applyBorder="1" applyAlignment="1">
      <alignment horizontal="center" vertical="center"/>
    </xf>
    <xf numFmtId="0" fontId="46" fillId="3" borderId="35" xfId="0" applyFont="1" applyFill="1" applyBorder="1" applyAlignment="1">
      <alignment horizontal="right" vertical="center"/>
    </xf>
    <xf numFmtId="0" fontId="49" fillId="3" borderId="35" xfId="0" applyFont="1" applyFill="1" applyBorder="1" applyAlignment="1">
      <alignment horizontal="center" vertical="center"/>
    </xf>
    <xf numFmtId="0" fontId="49" fillId="3" borderId="27" xfId="0" applyFont="1" applyFill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7" xfId="0" applyFont="1" applyFill="1" applyBorder="1" applyAlignment="1">
      <alignment horizontal="center"/>
    </xf>
    <xf numFmtId="0" fontId="61" fillId="0" borderId="5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left"/>
    </xf>
    <xf numFmtId="0" fontId="61" fillId="0" borderId="19" xfId="0" applyFont="1" applyFill="1" applyBorder="1" applyAlignment="1">
      <alignment horizontal="left"/>
    </xf>
    <xf numFmtId="0" fontId="64" fillId="0" borderId="32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0" fontId="66" fillId="3" borderId="5" xfId="0" applyFont="1" applyFill="1" applyBorder="1"/>
    <xf numFmtId="0" fontId="8" fillId="11" borderId="1" xfId="0" applyFont="1" applyFill="1" applyBorder="1" applyAlignment="1">
      <alignment horizontal="center"/>
    </xf>
    <xf numFmtId="0" fontId="8" fillId="26" borderId="11" xfId="0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8" fillId="3" borderId="31" xfId="0" applyFont="1" applyFill="1" applyBorder="1" applyAlignment="1">
      <alignment horizontal="center"/>
    </xf>
    <xf numFmtId="0" fontId="58" fillId="3" borderId="27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18" borderId="31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67" fillId="4" borderId="7" xfId="0" applyFont="1" applyFill="1" applyBorder="1" applyAlignment="1">
      <alignment horizontal="left"/>
    </xf>
    <xf numFmtId="0" fontId="67" fillId="4" borderId="20" xfId="0" applyFont="1" applyFill="1" applyBorder="1" applyAlignment="1">
      <alignment horizontal="left"/>
    </xf>
    <xf numFmtId="0" fontId="67" fillId="4" borderId="8" xfId="0" applyFont="1" applyFill="1" applyBorder="1" applyAlignment="1">
      <alignment horizontal="left"/>
    </xf>
    <xf numFmtId="0" fontId="61" fillId="4" borderId="5" xfId="0" applyFont="1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57" fillId="4" borderId="5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9" fillId="4" borderId="5" xfId="0" applyFont="1" applyFill="1" applyBorder="1" applyAlignment="1">
      <alignment horizontal="center" vertical="center"/>
    </xf>
    <xf numFmtId="0" fontId="59" fillId="4" borderId="6" xfId="0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center" vertical="center"/>
    </xf>
    <xf numFmtId="0" fontId="60" fillId="4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60" fillId="4" borderId="31" xfId="0" applyFont="1" applyFill="1" applyBorder="1" applyAlignment="1">
      <alignment horizontal="center"/>
    </xf>
    <xf numFmtId="0" fontId="60" fillId="4" borderId="35" xfId="0" applyFont="1" applyFill="1" applyBorder="1" applyAlignment="1">
      <alignment horizontal="center"/>
    </xf>
    <xf numFmtId="0" fontId="60" fillId="4" borderId="27" xfId="0" applyFont="1" applyFill="1" applyBorder="1" applyAlignment="1">
      <alignment horizontal="center"/>
    </xf>
    <xf numFmtId="0" fontId="48" fillId="3" borderId="5" xfId="0" applyFont="1" applyFill="1" applyBorder="1" applyAlignment="1">
      <alignment horizontal="center" vertical="center"/>
    </xf>
    <xf numFmtId="0" fontId="48" fillId="3" borderId="19" xfId="0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2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58" fillId="11" borderId="5" xfId="0" applyFont="1" applyFill="1" applyBorder="1" applyAlignment="1">
      <alignment horizontal="center"/>
    </xf>
    <xf numFmtId="0" fontId="58" fillId="11" borderId="19" xfId="0" applyFont="1" applyFill="1" applyBorder="1" applyAlignment="1">
      <alignment horizontal="center"/>
    </xf>
    <xf numFmtId="0" fontId="58" fillId="11" borderId="6" xfId="0" applyFont="1" applyFill="1" applyBorder="1" applyAlignment="1">
      <alignment horizontal="center"/>
    </xf>
    <xf numFmtId="0" fontId="23" fillId="0" borderId="14" xfId="0" applyFont="1" applyFill="1" applyBorder="1"/>
    <xf numFmtId="0" fontId="0" fillId="0" borderId="7" xfId="0" applyFill="1" applyBorder="1"/>
    <xf numFmtId="0" fontId="0" fillId="0" borderId="20" xfId="0" applyFill="1" applyBorder="1"/>
    <xf numFmtId="0" fontId="1" fillId="10" borderId="3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0" fillId="10" borderId="6" xfId="0" applyNumberFormat="1" applyFill="1" applyBorder="1"/>
    <xf numFmtId="0" fontId="0" fillId="10" borderId="1" xfId="0" applyNumberFormat="1" applyFill="1" applyBorder="1"/>
    <xf numFmtId="0" fontId="0" fillId="10" borderId="1" xfId="0" applyFill="1" applyBorder="1"/>
    <xf numFmtId="0" fontId="1" fillId="27" borderId="2" xfId="0" applyFont="1" applyFill="1" applyBorder="1" applyAlignment="1">
      <alignment horizontal="center"/>
    </xf>
    <xf numFmtId="0" fontId="1" fillId="27" borderId="15" xfId="0" applyFont="1" applyFill="1" applyBorder="1" applyAlignment="1">
      <alignment horizontal="center"/>
    </xf>
    <xf numFmtId="0" fontId="1" fillId="27" borderId="3" xfId="0" applyFont="1" applyFill="1" applyBorder="1" applyAlignment="1">
      <alignment horizontal="center"/>
    </xf>
    <xf numFmtId="0" fontId="1" fillId="27" borderId="8" xfId="0" applyFont="1" applyFill="1" applyBorder="1" applyAlignment="1">
      <alignment horizontal="center"/>
    </xf>
    <xf numFmtId="0" fontId="0" fillId="27" borderId="5" xfId="0" applyFill="1" applyBorder="1"/>
    <xf numFmtId="0" fontId="0" fillId="27" borderId="6" xfId="0" applyFill="1" applyBorder="1"/>
    <xf numFmtId="0" fontId="0" fillId="27" borderId="14" xfId="0" applyFill="1" applyBorder="1"/>
    <xf numFmtId="0" fontId="0" fillId="27" borderId="15" xfId="0" applyFill="1" applyBorder="1"/>
    <xf numFmtId="0" fontId="0" fillId="27" borderId="7" xfId="0" applyFill="1" applyBorder="1"/>
    <xf numFmtId="0" fontId="0" fillId="27" borderId="8" xfId="0" applyFill="1" applyBorder="1"/>
    <xf numFmtId="0" fontId="1" fillId="0" borderId="3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23" fillId="10" borderId="35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Fill="1" applyBorder="1"/>
    <xf numFmtId="0" fontId="0" fillId="0" borderId="8" xfId="0" applyFill="1" applyBorder="1"/>
    <xf numFmtId="0" fontId="8" fillId="3" borderId="35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19" xfId="0" applyFont="1" applyFill="1" applyBorder="1" applyAlignment="1">
      <alignment horizontal="center"/>
    </xf>
    <xf numFmtId="0" fontId="2" fillId="3" borderId="6" xfId="0" applyFont="1" applyFill="1" applyBorder="1"/>
    <xf numFmtId="0" fontId="35" fillId="11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/>
    <xf numFmtId="0" fontId="23" fillId="0" borderId="20" xfId="0" applyFont="1" applyFill="1" applyBorder="1" applyAlignment="1"/>
    <xf numFmtId="0" fontId="45" fillId="3" borderId="35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3" borderId="35" xfId="0" applyFont="1" applyFill="1" applyBorder="1" applyAlignment="1">
      <alignment horizontal="right" vertical="center"/>
    </xf>
    <xf numFmtId="0" fontId="0" fillId="0" borderId="2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2" borderId="19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57" fillId="4" borderId="1" xfId="0" applyFont="1" applyFill="1" applyBorder="1" applyAlignment="1">
      <alignment horizontal="center"/>
    </xf>
    <xf numFmtId="0" fontId="70" fillId="4" borderId="31" xfId="0" applyFont="1" applyFill="1" applyBorder="1" applyAlignment="1">
      <alignment horizontal="center"/>
    </xf>
    <xf numFmtId="0" fontId="70" fillId="4" borderId="27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8">
    <dxf>
      <font>
        <color theme="0"/>
      </font>
    </dxf>
    <dxf>
      <font>
        <color theme="0"/>
      </font>
    </dxf>
    <dxf>
      <font>
        <condense val="0"/>
        <extend val="0"/>
        <color rgb="FF9C0006"/>
      </font>
    </dxf>
    <dxf>
      <font>
        <color rgb="FFFFFF9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1323976</xdr:colOff>
      <xdr:row>0</xdr:row>
      <xdr:rowOff>180976</xdr:rowOff>
    </xdr:from>
    <xdr:to>
      <xdr:col>4</xdr:col>
      <xdr:colOff>685800</xdr:colOff>
      <xdr:row>9</xdr:row>
      <xdr:rowOff>17396</xdr:rowOff>
    </xdr:to>
    <xdr:pic>
      <xdr:nvPicPr>
        <xdr:cNvPr id="2049" name="il_fi" descr="http://www.matagot.com/metal-adventures/IMG/jpg/MA-LOGO-LR-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6" y="180976"/>
          <a:ext cx="2943224" cy="155092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609601</xdr:colOff>
      <xdr:row>18</xdr:row>
      <xdr:rowOff>28575</xdr:rowOff>
    </xdr:from>
    <xdr:to>
      <xdr:col>4</xdr:col>
      <xdr:colOff>1371601</xdr:colOff>
      <xdr:row>30</xdr:row>
      <xdr:rowOff>94022</xdr:rowOff>
    </xdr:to>
    <xdr:pic>
      <xdr:nvPicPr>
        <xdr:cNvPr id="2052" name="il_fi" descr="http://p5.storage.canalblog.com/51/68/495393/42563815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71601" y="3486150"/>
          <a:ext cx="4343400" cy="235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552450</xdr:colOff>
      <xdr:row>0</xdr:row>
      <xdr:rowOff>96525</xdr:rowOff>
    </xdr:from>
    <xdr:to>
      <xdr:col>1</xdr:col>
      <xdr:colOff>971550</xdr:colOff>
      <xdr:row>10</xdr:row>
      <xdr:rowOff>46865</xdr:rowOff>
    </xdr:to>
    <xdr:pic>
      <xdr:nvPicPr>
        <xdr:cNvPr id="3073" name="Picture 1" descr="http://www.matagot.com/metal-adventures/local/cache-vignettes/L501xH787/Constantin_couleur01_copie2-6cf76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2450" y="96525"/>
          <a:ext cx="1181100" cy="18553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762001</xdr:colOff>
      <xdr:row>0</xdr:row>
      <xdr:rowOff>180976</xdr:rowOff>
    </xdr:from>
    <xdr:to>
      <xdr:col>5</xdr:col>
      <xdr:colOff>104776</xdr:colOff>
      <xdr:row>10</xdr:row>
      <xdr:rowOff>36404</xdr:rowOff>
    </xdr:to>
    <xdr:pic>
      <xdr:nvPicPr>
        <xdr:cNvPr id="3074" name="Picture 2" descr="http://www.matagot.com/metal-adventures/local/cache-vignettes/L550xH591/Ramon_couleur01_copie2-f8eb1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05401" y="180976"/>
          <a:ext cx="1638300" cy="176042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1175496</xdr:colOff>
      <xdr:row>1</xdr:row>
      <xdr:rowOff>109256</xdr:rowOff>
    </xdr:from>
    <xdr:to>
      <xdr:col>25</xdr:col>
      <xdr:colOff>185439</xdr:colOff>
      <xdr:row>8</xdr:row>
      <xdr:rowOff>184896</xdr:rowOff>
    </xdr:to>
    <xdr:pic>
      <xdr:nvPicPr>
        <xdr:cNvPr id="2" name="il_fi" descr="http://www.matagot.com/metal-adventures/IMG/jpg/MA-LOGO-LR-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51408" y="299756"/>
          <a:ext cx="3524792" cy="1868581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E24" sqref="E24"/>
    </sheetView>
  </sheetViews>
  <sheetFormatPr baseColWidth="10" defaultRowHeight="15"/>
  <cols>
    <col min="2" max="2" width="30.85546875" customWidth="1"/>
    <col min="5" max="5" width="34.42578125" customWidth="1"/>
    <col min="6" max="6" width="10.42578125" customWidth="1"/>
    <col min="7" max="7" width="11.85546875" customWidth="1"/>
  </cols>
  <sheetData>
    <row r="1" spans="1:6">
      <c r="A1" s="219"/>
      <c r="B1" s="219"/>
      <c r="C1" s="219"/>
      <c r="D1" s="219"/>
      <c r="E1" s="219"/>
      <c r="F1" s="219"/>
    </row>
    <row r="2" spans="1:6">
      <c r="A2" s="219"/>
      <c r="B2" s="219"/>
      <c r="C2" s="219"/>
      <c r="D2" s="219"/>
      <c r="E2" s="219"/>
      <c r="F2" s="219"/>
    </row>
    <row r="3" spans="1:6">
      <c r="A3" s="219"/>
      <c r="B3" s="219"/>
      <c r="C3" s="219"/>
      <c r="D3" s="219"/>
      <c r="E3" s="219"/>
      <c r="F3" s="219"/>
    </row>
    <row r="4" spans="1:6">
      <c r="A4" s="219"/>
      <c r="B4" s="219"/>
      <c r="C4" s="219"/>
      <c r="D4" s="219"/>
      <c r="E4" s="219"/>
      <c r="F4" s="385"/>
    </row>
    <row r="5" spans="1:6">
      <c r="A5" s="219"/>
      <c r="B5" s="219"/>
      <c r="C5" s="219"/>
      <c r="D5" s="219"/>
      <c r="E5" s="219"/>
      <c r="F5" s="219"/>
    </row>
    <row r="6" spans="1:6">
      <c r="A6" s="219"/>
      <c r="B6" s="219"/>
      <c r="C6" s="219"/>
      <c r="D6" s="219"/>
      <c r="E6" s="219"/>
      <c r="F6" s="219"/>
    </row>
    <row r="7" spans="1:6">
      <c r="A7" s="219"/>
      <c r="B7" s="219"/>
      <c r="C7" s="219"/>
      <c r="D7" s="219"/>
      <c r="E7" s="219"/>
      <c r="F7" s="219"/>
    </row>
    <row r="8" spans="1:6">
      <c r="A8" s="219"/>
      <c r="B8" s="219"/>
      <c r="C8" s="219"/>
      <c r="D8" s="219"/>
      <c r="E8" s="219"/>
      <c r="F8" s="219"/>
    </row>
    <row r="9" spans="1:6">
      <c r="A9" s="219"/>
      <c r="B9" s="219"/>
      <c r="C9" s="219"/>
      <c r="D9" s="219"/>
      <c r="E9" s="219"/>
      <c r="F9" s="219"/>
    </row>
    <row r="10" spans="1:6">
      <c r="A10" s="219"/>
      <c r="B10" s="219"/>
      <c r="C10" s="219"/>
      <c r="D10" s="219"/>
      <c r="E10" s="219"/>
      <c r="F10" s="219"/>
    </row>
    <row r="11" spans="1:6">
      <c r="A11" s="219"/>
      <c r="B11" s="385" t="s">
        <v>202</v>
      </c>
      <c r="C11" s="219"/>
      <c r="D11" s="219"/>
      <c r="E11" s="219"/>
      <c r="F11" s="219"/>
    </row>
    <row r="12" spans="1:6" ht="15.75" thickBot="1">
      <c r="A12" s="219"/>
      <c r="B12" s="219"/>
      <c r="C12" s="219"/>
      <c r="D12" s="219"/>
      <c r="E12" s="219"/>
      <c r="F12" s="219"/>
    </row>
    <row r="13" spans="1:6">
      <c r="A13" s="219"/>
      <c r="B13" s="89" t="s">
        <v>210</v>
      </c>
      <c r="C13" s="86"/>
      <c r="D13" s="219"/>
      <c r="E13" s="82" t="s">
        <v>211</v>
      </c>
      <c r="F13" s="96" t="s">
        <v>213</v>
      </c>
    </row>
    <row r="14" spans="1:6" ht="15.75" thickBot="1">
      <c r="A14" s="219"/>
      <c r="B14" s="90" t="s">
        <v>207</v>
      </c>
      <c r="C14" s="95" t="s">
        <v>203</v>
      </c>
      <c r="D14" s="219"/>
      <c r="E14" s="83" t="s">
        <v>212</v>
      </c>
      <c r="F14" s="88"/>
    </row>
    <row r="15" spans="1:6">
      <c r="A15" s="219"/>
      <c r="B15" s="90" t="s">
        <v>208</v>
      </c>
      <c r="C15" s="87"/>
      <c r="D15" s="219"/>
      <c r="E15" s="219"/>
      <c r="F15" s="219"/>
    </row>
    <row r="16" spans="1:6" ht="15.75" thickBot="1">
      <c r="A16" s="219"/>
      <c r="B16" s="91" t="s">
        <v>209</v>
      </c>
      <c r="C16" s="88"/>
      <c r="D16" s="219"/>
      <c r="E16" s="219"/>
      <c r="F16" s="219"/>
    </row>
    <row r="17" spans="1:6">
      <c r="A17" s="219"/>
      <c r="B17" s="219"/>
      <c r="C17" s="219"/>
      <c r="D17" s="219"/>
      <c r="E17" s="219"/>
      <c r="F17" s="219"/>
    </row>
    <row r="18" spans="1:6">
      <c r="A18" s="219"/>
      <c r="B18" s="219"/>
      <c r="C18" s="219"/>
      <c r="D18" s="219"/>
      <c r="E18" s="219"/>
      <c r="F18" s="219"/>
    </row>
    <row r="19" spans="1:6">
      <c r="A19" s="219"/>
      <c r="B19" s="219"/>
      <c r="C19" s="219"/>
      <c r="D19" s="219"/>
      <c r="E19" s="219"/>
      <c r="F19" s="219"/>
    </row>
    <row r="20" spans="1:6">
      <c r="A20" s="219"/>
      <c r="B20" s="219"/>
      <c r="C20" s="219"/>
      <c r="D20" s="219"/>
      <c r="E20" s="219"/>
      <c r="F20" s="219"/>
    </row>
    <row r="21" spans="1:6">
      <c r="A21" s="219"/>
      <c r="B21" s="219"/>
      <c r="C21" s="219"/>
      <c r="D21" s="219"/>
      <c r="E21" s="219"/>
      <c r="F21" s="219"/>
    </row>
    <row r="22" spans="1:6">
      <c r="A22" s="219"/>
      <c r="B22" s="219"/>
      <c r="C22" s="219"/>
      <c r="D22" s="219"/>
      <c r="E22" s="219"/>
      <c r="F22" s="219"/>
    </row>
    <row r="23" spans="1:6">
      <c r="A23" s="219"/>
      <c r="B23" s="219"/>
      <c r="C23" s="219"/>
      <c r="D23" s="219"/>
      <c r="E23" s="219"/>
      <c r="F23" s="219"/>
    </row>
    <row r="24" spans="1:6">
      <c r="A24" s="219"/>
      <c r="B24" s="219"/>
      <c r="C24" s="219"/>
      <c r="D24" s="219"/>
      <c r="E24" s="219"/>
      <c r="F24" s="219"/>
    </row>
    <row r="25" spans="1:6">
      <c r="A25" s="219"/>
      <c r="B25" s="219"/>
      <c r="C25" s="219"/>
      <c r="D25" s="219"/>
      <c r="E25" s="219"/>
      <c r="F25" s="219"/>
    </row>
    <row r="26" spans="1:6">
      <c r="A26" s="219"/>
      <c r="B26" s="219"/>
      <c r="C26" s="219"/>
      <c r="D26" s="219"/>
      <c r="E26" s="219"/>
      <c r="F26" s="219"/>
    </row>
    <row r="27" spans="1:6">
      <c r="A27" s="219"/>
      <c r="B27" s="219"/>
      <c r="C27" s="219"/>
      <c r="D27" s="219"/>
      <c r="E27" s="219"/>
      <c r="F27" s="219"/>
    </row>
    <row r="28" spans="1:6">
      <c r="A28" s="219"/>
      <c r="B28" s="219"/>
      <c r="C28" s="219"/>
      <c r="D28" s="219"/>
      <c r="E28" s="219"/>
      <c r="F28" s="219"/>
    </row>
    <row r="29" spans="1:6">
      <c r="A29" s="219"/>
      <c r="B29" s="219"/>
      <c r="C29" s="219"/>
      <c r="D29" s="219"/>
      <c r="E29" s="219"/>
      <c r="F29" s="219"/>
    </row>
    <row r="30" spans="1:6">
      <c r="A30" s="219"/>
      <c r="B30" s="219"/>
      <c r="C30" s="219"/>
      <c r="D30" s="219"/>
      <c r="E30" s="219"/>
      <c r="F30" s="219"/>
    </row>
    <row r="31" spans="1:6">
      <c r="A31" s="219"/>
      <c r="B31" s="219"/>
      <c r="C31" s="219"/>
      <c r="D31" s="219"/>
      <c r="E31" s="219"/>
      <c r="F31" s="219"/>
    </row>
    <row r="32" spans="1:6">
      <c r="A32" s="219"/>
      <c r="B32" s="219"/>
      <c r="C32" s="219"/>
      <c r="D32" s="219"/>
      <c r="E32" s="219"/>
    </row>
  </sheetData>
  <hyperlinks>
    <hyperlink ref="C14" location="Etape1!A1" display="Etape 1"/>
    <hyperlink ref="F13" location="Etape2!A1" display="Etape 2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X107"/>
  <sheetViews>
    <sheetView tabSelected="1" zoomScale="85" zoomScaleNormal="85" workbookViewId="0">
      <selection activeCell="AA18" sqref="AA18"/>
    </sheetView>
  </sheetViews>
  <sheetFormatPr baseColWidth="10" defaultRowHeight="15" outlineLevelCol="1"/>
  <cols>
    <col min="1" max="1" width="13.28515625" customWidth="1"/>
    <col min="2" max="2" width="15.28515625" customWidth="1"/>
    <col min="3" max="3" width="23.42578125" customWidth="1"/>
    <col min="4" max="4" width="4" customWidth="1"/>
    <col min="5" max="5" width="4" style="1" customWidth="1"/>
    <col min="6" max="6" width="4" customWidth="1"/>
    <col min="7" max="7" width="23.5703125" customWidth="1"/>
    <col min="8" max="8" width="4" customWidth="1"/>
    <col min="9" max="9" width="4" style="1" customWidth="1"/>
    <col min="10" max="10" width="3.7109375" customWidth="1"/>
    <col min="11" max="11" width="16.140625" customWidth="1"/>
    <col min="12" max="12" width="4" customWidth="1"/>
    <col min="13" max="13" width="4" style="1" customWidth="1"/>
    <col min="14" max="14" width="3.7109375" customWidth="1"/>
    <col min="15" max="15" width="7.42578125" customWidth="1"/>
    <col min="16" max="16" width="19.140625" hidden="1" customWidth="1" outlineLevel="1"/>
    <col min="17" max="17" width="26.85546875" hidden="1" customWidth="1" outlineLevel="1"/>
    <col min="18" max="19" width="11.42578125" hidden="1" customWidth="1" outlineLevel="1"/>
    <col min="20" max="20" width="20.28515625" hidden="1" customWidth="1" outlineLevel="1"/>
    <col min="21" max="21" width="20.5703125" hidden="1" customWidth="1" outlineLevel="1"/>
    <col min="22" max="22" width="11.42578125" collapsed="1"/>
    <col min="23" max="23" width="13" customWidth="1"/>
    <col min="24" max="24" width="14.28515625" customWidth="1"/>
  </cols>
  <sheetData>
    <row r="1" spans="2:24" ht="15.75" thickBot="1"/>
    <row r="2" spans="2:24" ht="19.5" thickBot="1">
      <c r="C2" s="324" t="s">
        <v>669</v>
      </c>
      <c r="D2" s="325"/>
      <c r="E2" s="389"/>
      <c r="F2" s="390"/>
      <c r="G2" s="326"/>
      <c r="I2"/>
      <c r="J2" s="1"/>
      <c r="M2"/>
      <c r="N2" s="1"/>
    </row>
    <row r="3" spans="2:24" ht="19.5" thickBot="1">
      <c r="B3" s="92" t="s">
        <v>79</v>
      </c>
      <c r="C3" s="224" t="s">
        <v>77</v>
      </c>
      <c r="D3" s="391"/>
      <c r="E3" s="489" t="s">
        <v>651</v>
      </c>
      <c r="F3" s="490"/>
      <c r="G3" s="239" t="s">
        <v>898</v>
      </c>
      <c r="J3" s="1"/>
      <c r="K3" s="8" t="s">
        <v>119</v>
      </c>
      <c r="L3" s="39">
        <f>SUM(H9,L25)</f>
        <v>4</v>
      </c>
      <c r="N3" s="1"/>
      <c r="Q3" s="48" t="s">
        <v>187</v>
      </c>
      <c r="R3" s="49" t="s">
        <v>183</v>
      </c>
      <c r="S3" s="50" t="s">
        <v>184</v>
      </c>
      <c r="U3" s="56" t="s">
        <v>193</v>
      </c>
    </row>
    <row r="4" spans="2:24" ht="19.5" customHeight="1" thickBot="1">
      <c r="B4" s="234" t="s">
        <v>0</v>
      </c>
      <c r="C4" s="224" t="s">
        <v>20</v>
      </c>
      <c r="D4" s="391"/>
      <c r="E4" s="497" t="s">
        <v>729</v>
      </c>
      <c r="F4" s="498"/>
      <c r="G4" s="438"/>
      <c r="J4" s="1"/>
      <c r="K4" s="9" t="s">
        <v>182</v>
      </c>
      <c r="L4" s="40">
        <f>IF(C3="MUTANT",SUM(L9,D25),0)</f>
        <v>0</v>
      </c>
      <c r="N4" s="1"/>
      <c r="Q4" s="41" t="s">
        <v>185</v>
      </c>
      <c r="R4" s="43" t="s">
        <v>185</v>
      </c>
      <c r="S4" s="19"/>
      <c r="U4" s="58" t="str">
        <f>VLOOKUP(C4,Tables!B4:E51,2)</f>
        <v>Connaissance (Barrens)</v>
      </c>
    </row>
    <row r="5" spans="2:24" ht="19.5" thickBot="1">
      <c r="B5" s="234" t="s">
        <v>120</v>
      </c>
      <c r="C5" s="224" t="s">
        <v>160</v>
      </c>
      <c r="D5" s="391"/>
      <c r="E5" s="499" t="s">
        <v>730</v>
      </c>
      <c r="F5" s="500"/>
      <c r="G5" s="439"/>
      <c r="J5" s="1"/>
      <c r="M5"/>
      <c r="N5" s="1"/>
      <c r="Q5" s="42" t="s">
        <v>186</v>
      </c>
      <c r="R5" s="44" t="s">
        <v>185</v>
      </c>
      <c r="S5" s="20">
        <v>1</v>
      </c>
      <c r="U5" s="58" t="str">
        <f>VLOOKUP(C4,Tables!B4:E51,3)</f>
        <v>Carrure</v>
      </c>
    </row>
    <row r="6" spans="2:24" ht="15.75" thickBot="1">
      <c r="B6" s="93" t="s">
        <v>180</v>
      </c>
      <c r="C6" s="501" t="s">
        <v>164</v>
      </c>
      <c r="D6" s="502"/>
      <c r="E6" s="503"/>
      <c r="F6" s="392"/>
      <c r="G6" s="393"/>
      <c r="H6" s="16"/>
      <c r="I6"/>
      <c r="J6" s="1"/>
      <c r="M6"/>
      <c r="N6" s="1"/>
      <c r="Q6" s="47" t="s">
        <v>181</v>
      </c>
      <c r="R6" s="43" t="s">
        <v>186</v>
      </c>
      <c r="S6" s="21"/>
      <c r="U6" s="59" t="str">
        <f>VLOOKUP(C4,Tables!B4:E51,4)</f>
        <v>Environnement 2 (              )</v>
      </c>
    </row>
    <row r="7" spans="2:24" ht="26.25" customHeight="1" thickBot="1">
      <c r="C7" s="327" t="s">
        <v>670</v>
      </c>
      <c r="D7" s="328"/>
      <c r="E7" s="328"/>
      <c r="F7" s="329"/>
      <c r="G7" s="330"/>
      <c r="H7" s="16"/>
      <c r="I7" s="16"/>
      <c r="J7" s="1"/>
      <c r="K7" s="331" t="s">
        <v>204</v>
      </c>
      <c r="M7"/>
      <c r="N7" s="1"/>
      <c r="Q7" s="14" t="str">
        <f>VLOOKUP(C5,Tables!B55:E60,2)</f>
        <v>Techniques</v>
      </c>
      <c r="R7" s="43" t="s">
        <v>186</v>
      </c>
      <c r="S7" s="19">
        <v>1</v>
      </c>
      <c r="U7" s="62" t="s">
        <v>194</v>
      </c>
    </row>
    <row r="8" spans="2:24" ht="21" customHeight="1" thickBot="1">
      <c r="D8" s="36" t="s">
        <v>190</v>
      </c>
      <c r="E8" s="75" t="s">
        <v>188</v>
      </c>
      <c r="F8" s="37" t="s">
        <v>189</v>
      </c>
      <c r="H8" s="36" t="s">
        <v>190</v>
      </c>
      <c r="I8" s="75" t="s">
        <v>188</v>
      </c>
      <c r="J8" s="37" t="s">
        <v>189</v>
      </c>
      <c r="L8" s="36" t="s">
        <v>190</v>
      </c>
      <c r="M8" s="75" t="s">
        <v>188</v>
      </c>
      <c r="N8" s="37" t="s">
        <v>189</v>
      </c>
      <c r="Q8" s="14" t="str">
        <f>VLOOKUP(C5,Tables!B55:E60,3)</f>
        <v>Espionnage</v>
      </c>
      <c r="R8" s="43" t="s">
        <v>186</v>
      </c>
      <c r="S8" s="19">
        <v>2</v>
      </c>
      <c r="U8" s="63" t="str">
        <f>VLOOKUP($C$5,Tables!$B$55:$Q$60,7)</f>
        <v>[Armes emb.]</v>
      </c>
    </row>
    <row r="9" spans="2:24" ht="16.5" thickBot="1">
      <c r="C9" s="5" t="s">
        <v>3</v>
      </c>
      <c r="D9" s="220">
        <v>2</v>
      </c>
      <c r="E9" s="226">
        <f>T16</f>
        <v>0</v>
      </c>
      <c r="F9" s="70">
        <f>D9+E9</f>
        <v>2</v>
      </c>
      <c r="G9" s="5" t="s">
        <v>17</v>
      </c>
      <c r="H9" s="225">
        <v>2</v>
      </c>
      <c r="I9" s="228">
        <f>T17</f>
        <v>1</v>
      </c>
      <c r="J9" s="70">
        <f>H9+I9</f>
        <v>3</v>
      </c>
      <c r="K9" s="5" t="s">
        <v>9</v>
      </c>
      <c r="L9" s="225">
        <v>2</v>
      </c>
      <c r="M9" s="229">
        <f>T18</f>
        <v>0</v>
      </c>
      <c r="N9" s="70">
        <f>L9+M9</f>
        <v>2</v>
      </c>
      <c r="Q9" s="15" t="str">
        <f>VLOOKUP(C5,Tables!B55:E60,4)</f>
        <v>Sciences</v>
      </c>
      <c r="R9" s="45" t="s">
        <v>186</v>
      </c>
      <c r="S9" s="22">
        <v>3</v>
      </c>
      <c r="U9" s="63" t="str">
        <f>VLOOKUP($C$5,Tables!$B$55:$Q$60,8)</f>
        <v>[Pilotage1  (                  )]</v>
      </c>
    </row>
    <row r="10" spans="2:24" ht="15.75" thickBot="1">
      <c r="C10" s="28" t="s">
        <v>113</v>
      </c>
      <c r="D10" s="30"/>
      <c r="E10" s="31" t="str">
        <f>IF(OR(C10=Q7,C10=Q8,C10=Q9),"n","o")</f>
        <v>n</v>
      </c>
      <c r="F10" s="69"/>
      <c r="G10" s="29" t="s">
        <v>114</v>
      </c>
      <c r="H10" s="32"/>
      <c r="I10" s="33" t="str">
        <f>IF(OR(G10=Q7,G10=Q8,G10=Q9),"n","o")</f>
        <v>o</v>
      </c>
      <c r="J10" s="34"/>
      <c r="K10" s="26" t="s">
        <v>115</v>
      </c>
      <c r="L10" s="32"/>
      <c r="M10" s="33" t="str">
        <f>IF(OR(K10=Q7,K10=Q8,K10=Q9),"n","o")</f>
        <v>n</v>
      </c>
      <c r="N10" s="35"/>
      <c r="U10" s="63" t="str">
        <f>VLOOKUP($C$5,Tables!$B$55:$Q$60,9)</f>
        <v>[Pilotage2  (                  )]</v>
      </c>
    </row>
    <row r="11" spans="2:24" ht="15.75" thickBot="1">
      <c r="C11" s="2" t="s">
        <v>80</v>
      </c>
      <c r="D11" s="221"/>
      <c r="E11" s="227">
        <f>VLOOKUP(C11,$Q$22:$T$82,4)</f>
        <v>0</v>
      </c>
      <c r="F11" s="38">
        <f>D11+E11</f>
        <v>0</v>
      </c>
      <c r="G11" s="3" t="s">
        <v>85</v>
      </c>
      <c r="H11" s="221"/>
      <c r="I11" s="227">
        <f>VLOOKUP(G11,$Q$22:$T$82,4)</f>
        <v>0</v>
      </c>
      <c r="J11" s="38">
        <f>H11+I11</f>
        <v>0</v>
      </c>
      <c r="K11" s="2" t="s">
        <v>89</v>
      </c>
      <c r="L11" s="221"/>
      <c r="M11" s="227">
        <f>VLOOKUP(K11,$Q$22:$T$82,4)</f>
        <v>0</v>
      </c>
      <c r="N11" s="38">
        <f>L11+M11</f>
        <v>0</v>
      </c>
      <c r="U11" s="63" t="str">
        <f>VLOOKUP($C$5,Tables!$B$55:$Q$60,10)</f>
        <v>Environnement 1 (              )</v>
      </c>
      <c r="W11" s="222"/>
      <c r="X11" s="76" t="s">
        <v>199</v>
      </c>
    </row>
    <row r="12" spans="2:24" ht="15.75" thickBot="1">
      <c r="C12" s="3" t="s">
        <v>81</v>
      </c>
      <c r="D12" s="221"/>
      <c r="E12" s="227">
        <f t="shared" ref="E12:E22" si="0">VLOOKUP(C12,$Q$22:$T$82,4)</f>
        <v>0</v>
      </c>
      <c r="F12" s="38">
        <f t="shared" ref="F12:F22" si="1">D12+E12</f>
        <v>0</v>
      </c>
      <c r="G12" s="3" t="s">
        <v>86</v>
      </c>
      <c r="H12" s="221"/>
      <c r="I12" s="227">
        <f t="shared" ref="I12:I18" si="2">VLOOKUP(G12,$Q$22:$T$82,4)</f>
        <v>0</v>
      </c>
      <c r="J12" s="38">
        <f t="shared" ref="J12:J18" si="3">H12+I12</f>
        <v>0</v>
      </c>
      <c r="K12" s="2" t="s">
        <v>90</v>
      </c>
      <c r="L12" s="221"/>
      <c r="M12" s="227">
        <f t="shared" ref="M12:M18" si="4">VLOOKUP(K12,$Q$22:$T$82,4)</f>
        <v>0</v>
      </c>
      <c r="N12" s="38">
        <f t="shared" ref="N12:N18" si="5">L12+M12</f>
        <v>0</v>
      </c>
      <c r="U12" s="63" t="str">
        <f>VLOOKUP($C$5,Tables!$B$55:$Q$60,11)</f>
        <v>[Senseurs]</v>
      </c>
      <c r="W12" s="77"/>
      <c r="X12" s="76" t="s">
        <v>200</v>
      </c>
    </row>
    <row r="13" spans="2:24" ht="15.75" thickBot="1">
      <c r="C13" s="3" t="s">
        <v>82</v>
      </c>
      <c r="D13" s="221"/>
      <c r="E13" s="227">
        <f t="shared" si="0"/>
        <v>0</v>
      </c>
      <c r="F13" s="38">
        <f t="shared" si="1"/>
        <v>0</v>
      </c>
      <c r="G13" s="2" t="s">
        <v>87</v>
      </c>
      <c r="H13" s="221"/>
      <c r="I13" s="227">
        <f t="shared" si="2"/>
        <v>0</v>
      </c>
      <c r="J13" s="38">
        <f t="shared" si="3"/>
        <v>0</v>
      </c>
      <c r="K13" s="2" t="s">
        <v>72</v>
      </c>
      <c r="L13" s="221"/>
      <c r="M13" s="227">
        <f t="shared" si="4"/>
        <v>0</v>
      </c>
      <c r="N13" s="38">
        <f t="shared" si="5"/>
        <v>0</v>
      </c>
      <c r="U13" s="63" t="str">
        <f>VLOOKUP($C$5,Tables!$B$55:$Q$60,12)</f>
        <v>[Ingénierie]</v>
      </c>
    </row>
    <row r="14" spans="2:24" ht="15.75" thickBot="1">
      <c r="C14" s="3" t="s">
        <v>83</v>
      </c>
      <c r="D14" s="221"/>
      <c r="E14" s="227">
        <f t="shared" si="0"/>
        <v>0</v>
      </c>
      <c r="F14" s="38">
        <f t="shared" si="1"/>
        <v>0</v>
      </c>
      <c r="G14" s="2" t="s">
        <v>88</v>
      </c>
      <c r="H14" s="224"/>
      <c r="I14" s="227">
        <f t="shared" si="2"/>
        <v>0</v>
      </c>
      <c r="J14" s="38">
        <f t="shared" si="3"/>
        <v>0</v>
      </c>
      <c r="K14" s="2" t="s">
        <v>91</v>
      </c>
      <c r="L14" s="221"/>
      <c r="M14" s="227">
        <f t="shared" si="4"/>
        <v>0</v>
      </c>
      <c r="N14" s="38">
        <f t="shared" si="5"/>
        <v>0</v>
      </c>
      <c r="Q14" s="68" t="s">
        <v>192</v>
      </c>
      <c r="R14" s="52" t="s">
        <v>0</v>
      </c>
      <c r="S14" s="53" t="s">
        <v>191</v>
      </c>
      <c r="T14" s="74" t="s">
        <v>189</v>
      </c>
      <c r="U14" s="63" t="str">
        <f>VLOOKUP($C$5,Tables!$B$55:$Q$60,13)</f>
        <v>Navigation</v>
      </c>
      <c r="W14" s="272" t="s">
        <v>644</v>
      </c>
    </row>
    <row r="15" spans="2:24" ht="15.75" thickBot="1">
      <c r="C15" s="3" t="s">
        <v>84</v>
      </c>
      <c r="D15" s="221"/>
      <c r="E15" s="227">
        <f t="shared" si="0"/>
        <v>1</v>
      </c>
      <c r="F15" s="38">
        <f t="shared" si="1"/>
        <v>1</v>
      </c>
      <c r="G15" s="3" t="s">
        <v>70</v>
      </c>
      <c r="H15" s="221"/>
      <c r="I15" s="227">
        <f t="shared" si="2"/>
        <v>0</v>
      </c>
      <c r="J15" s="38">
        <f t="shared" si="3"/>
        <v>0</v>
      </c>
      <c r="K15" s="2" t="s">
        <v>59</v>
      </c>
      <c r="L15" s="221"/>
      <c r="M15" s="227">
        <f t="shared" si="4"/>
        <v>0</v>
      </c>
      <c r="N15" s="38">
        <f t="shared" si="5"/>
        <v>0</v>
      </c>
      <c r="Q15" s="46"/>
      <c r="R15" s="54"/>
      <c r="S15" s="55"/>
      <c r="T15" s="73"/>
      <c r="U15" s="63" t="str">
        <f>VLOOKUP($C$5,Tables!$B$55:$Q$60,14)</f>
        <v>[Sciences Stellaires]</v>
      </c>
      <c r="W15" s="272" t="s">
        <v>645</v>
      </c>
      <c r="X15" s="271" t="s">
        <v>646</v>
      </c>
    </row>
    <row r="16" spans="2:24" ht="15.75" thickBot="1">
      <c r="C16" s="7" t="s">
        <v>647</v>
      </c>
      <c r="D16" s="221"/>
      <c r="E16" s="227">
        <f t="shared" si="0"/>
        <v>0</v>
      </c>
      <c r="F16" s="38">
        <f t="shared" si="1"/>
        <v>0</v>
      </c>
      <c r="G16" s="2" t="s">
        <v>132</v>
      </c>
      <c r="H16" s="224"/>
      <c r="I16" s="227">
        <f t="shared" si="2"/>
        <v>0</v>
      </c>
      <c r="J16" s="38">
        <f t="shared" si="3"/>
        <v>0</v>
      </c>
      <c r="K16" s="2" t="s">
        <v>92</v>
      </c>
      <c r="L16" s="221"/>
      <c r="M16" s="227">
        <f t="shared" si="4"/>
        <v>1</v>
      </c>
      <c r="N16" s="38">
        <f t="shared" si="5"/>
        <v>1</v>
      </c>
      <c r="Q16" s="60" t="s">
        <v>3</v>
      </c>
      <c r="R16" s="64">
        <f>IF(U5=Q16,1,0)</f>
        <v>0</v>
      </c>
      <c r="S16" s="66"/>
      <c r="T16" s="72">
        <f t="shared" ref="T16:T21" si="6">R16+S16</f>
        <v>0</v>
      </c>
      <c r="U16" s="277" t="str">
        <f>VLOOKUP($C$5,Tables!$B$55:$Q$60,15)</f>
        <v>Baratin</v>
      </c>
      <c r="V16" s="18"/>
      <c r="W16" s="278" t="str">
        <f>IF(SUM(D9,H9,L9,D25,H25,L25)=18,"OK","ERREUR")</f>
        <v>ERREUR</v>
      </c>
      <c r="X16" s="279" t="str">
        <f>IF(SUM(D11:D24,H11:H24,L11:L24,D27:D45,H27:H45,L27:L45)=20,"OK","ERREUR")</f>
        <v>ERREUR</v>
      </c>
    </row>
    <row r="17" spans="3:24" ht="15.75" thickBot="1">
      <c r="C17" s="223" t="s">
        <v>177</v>
      </c>
      <c r="D17" s="221"/>
      <c r="E17" s="227">
        <f t="shared" si="0"/>
        <v>0</v>
      </c>
      <c r="F17" s="38">
        <f t="shared" si="1"/>
        <v>0</v>
      </c>
      <c r="G17" s="78" t="s">
        <v>197</v>
      </c>
      <c r="H17" s="224"/>
      <c r="I17" s="227">
        <f t="shared" si="2"/>
        <v>1</v>
      </c>
      <c r="J17" s="38">
        <f t="shared" si="3"/>
        <v>1</v>
      </c>
      <c r="K17" s="2" t="s">
        <v>93</v>
      </c>
      <c r="L17" s="221"/>
      <c r="M17" s="227">
        <f t="shared" si="4"/>
        <v>0</v>
      </c>
      <c r="N17" s="38">
        <f t="shared" si="5"/>
        <v>0</v>
      </c>
      <c r="Q17" s="61" t="s">
        <v>17</v>
      </c>
      <c r="R17" s="65">
        <f>IF($U$5=$Q$17,1,0)</f>
        <v>1</v>
      </c>
      <c r="S17" s="67"/>
      <c r="T17" s="57">
        <f t="shared" si="6"/>
        <v>1</v>
      </c>
      <c r="U17" s="71" t="str">
        <f>VLOOKUP($C$5,Tables!$B$55:$Q$60,16)</f>
        <v>/</v>
      </c>
    </row>
    <row r="18" spans="3:24" ht="15.75" thickBot="1">
      <c r="C18" s="223" t="s">
        <v>177</v>
      </c>
      <c r="D18" s="221"/>
      <c r="E18" s="227">
        <f t="shared" si="0"/>
        <v>0</v>
      </c>
      <c r="F18" s="38">
        <f t="shared" si="1"/>
        <v>0</v>
      </c>
      <c r="G18" s="78" t="s">
        <v>198</v>
      </c>
      <c r="H18" s="224"/>
      <c r="I18" s="227">
        <f t="shared" si="2"/>
        <v>3</v>
      </c>
      <c r="J18" s="38">
        <f t="shared" si="3"/>
        <v>3</v>
      </c>
      <c r="K18" s="2" t="s">
        <v>94</v>
      </c>
      <c r="L18" s="221"/>
      <c r="M18" s="227">
        <f t="shared" si="4"/>
        <v>0</v>
      </c>
      <c r="N18" s="38">
        <f t="shared" si="5"/>
        <v>0</v>
      </c>
      <c r="Q18" s="61" t="s">
        <v>9</v>
      </c>
      <c r="R18" s="65">
        <f>IF($U$5=Q18,1,0)</f>
        <v>0</v>
      </c>
      <c r="S18" s="67"/>
      <c r="T18" s="57">
        <f t="shared" si="6"/>
        <v>0</v>
      </c>
      <c r="U18" s="81" t="s">
        <v>180</v>
      </c>
    </row>
    <row r="19" spans="3:24" ht="16.5" thickBot="1">
      <c r="C19" s="51" t="s">
        <v>104</v>
      </c>
      <c r="D19" s="221"/>
      <c r="E19" s="227">
        <f t="shared" si="0"/>
        <v>0</v>
      </c>
      <c r="F19" s="38">
        <f t="shared" si="1"/>
        <v>0</v>
      </c>
      <c r="G19" s="2"/>
      <c r="H19" s="223"/>
      <c r="I19" s="227"/>
      <c r="J19" s="27"/>
      <c r="K19" s="2"/>
      <c r="L19" s="223"/>
      <c r="M19" s="227"/>
      <c r="N19" s="27"/>
      <c r="Q19" s="61" t="s">
        <v>6</v>
      </c>
      <c r="R19" s="65">
        <f>IF($U$5=Q19,1,0)</f>
        <v>0</v>
      </c>
      <c r="S19" s="67"/>
      <c r="T19" s="57">
        <f t="shared" si="6"/>
        <v>0</v>
      </c>
      <c r="U19" s="58" t="str">
        <f>VLOOKUP($C$5,Tables!$B$55:$Q$60,5)</f>
        <v>Afterburner</v>
      </c>
      <c r="W19" s="495" t="s">
        <v>728</v>
      </c>
      <c r="X19" s="496"/>
    </row>
    <row r="20" spans="3:24" ht="15.75" thickBot="1">
      <c r="C20" s="79" t="s">
        <v>195</v>
      </c>
      <c r="D20" s="221"/>
      <c r="E20" s="227">
        <f t="shared" si="0"/>
        <v>1</v>
      </c>
      <c r="F20" s="38">
        <f t="shared" si="1"/>
        <v>1</v>
      </c>
      <c r="G20" s="2"/>
      <c r="H20" s="223"/>
      <c r="I20" s="227"/>
      <c r="J20" s="27"/>
      <c r="K20" s="2"/>
      <c r="L20" s="223"/>
      <c r="M20" s="227"/>
      <c r="N20" s="27"/>
      <c r="Q20" s="61" t="s">
        <v>16</v>
      </c>
      <c r="R20" s="65">
        <f>IF($U$5=Q20,1,0)</f>
        <v>0</v>
      </c>
      <c r="S20" s="67"/>
      <c r="T20" s="57">
        <f t="shared" si="6"/>
        <v>0</v>
      </c>
      <c r="U20" s="59" t="str">
        <f>VLOOKUP($C$5,Tables!$B$55:$Q$60,6)</f>
        <v>Style coulé</v>
      </c>
      <c r="W20" s="491" t="str">
        <f>VLOOKUP(C6,Tables!G40:H51,2)</f>
        <v>Le PNJ ciblé tombe amoureux du personnage</v>
      </c>
      <c r="X20" s="492"/>
    </row>
    <row r="21" spans="3:24" ht="15.75" thickBot="1">
      <c r="C21" s="79" t="s">
        <v>196</v>
      </c>
      <c r="D21" s="221"/>
      <c r="E21" s="227">
        <f t="shared" si="0"/>
        <v>1</v>
      </c>
      <c r="F21" s="38">
        <f t="shared" si="1"/>
        <v>1</v>
      </c>
      <c r="G21" s="2"/>
      <c r="H21" s="223"/>
      <c r="I21" s="227"/>
      <c r="J21" s="27"/>
      <c r="K21" s="2"/>
      <c r="L21" s="223"/>
      <c r="M21" s="227"/>
      <c r="N21" s="27"/>
      <c r="Q21" s="61" t="s">
        <v>22</v>
      </c>
      <c r="R21" s="65">
        <f>IF($U$5=Q21,1,0)</f>
        <v>0</v>
      </c>
      <c r="S21" s="67"/>
      <c r="T21" s="57">
        <f t="shared" si="6"/>
        <v>0</v>
      </c>
      <c r="W21" s="491"/>
      <c r="X21" s="492"/>
    </row>
    <row r="22" spans="3:24" ht="15.75" thickBot="1">
      <c r="C22" s="2" t="s">
        <v>27</v>
      </c>
      <c r="D22" s="221"/>
      <c r="E22" s="227">
        <f t="shared" si="0"/>
        <v>0</v>
      </c>
      <c r="F22" s="38">
        <f t="shared" si="1"/>
        <v>0</v>
      </c>
      <c r="G22" s="2"/>
      <c r="H22" s="223"/>
      <c r="I22" s="227"/>
      <c r="J22" s="27"/>
      <c r="K22" s="2"/>
      <c r="L22" s="223"/>
      <c r="M22" s="227"/>
      <c r="N22" s="27"/>
      <c r="Q22" s="289" t="s">
        <v>84</v>
      </c>
      <c r="R22" s="283">
        <f>IF(($U$6=Q22),3,0)</f>
        <v>0</v>
      </c>
      <c r="S22" s="284">
        <f t="shared" ref="S22:S53" si="7">IF(OR(Q22=$U$8,Q22=$U$9,Q22=$U$10,Q22=$U$11,Q22=$U$12,Q22=$U$13,Q22=$U$14,Q22=$U$15,Q22=$U$16,Q22=$U$17,),1,0)</f>
        <v>1</v>
      </c>
      <c r="T22" s="285">
        <f t="shared" ref="T22:T53" si="8">R22+S22</f>
        <v>1</v>
      </c>
      <c r="W22" s="493"/>
      <c r="X22" s="494"/>
    </row>
    <row r="23" spans="3:24">
      <c r="C23" s="2"/>
      <c r="D23" s="221"/>
      <c r="E23" s="227"/>
      <c r="F23" s="38"/>
      <c r="G23" s="2"/>
      <c r="H23" s="223"/>
      <c r="I23" s="227"/>
      <c r="J23" s="27"/>
      <c r="K23" s="2"/>
      <c r="L23" s="223"/>
      <c r="M23" s="227"/>
      <c r="N23" s="27"/>
      <c r="Q23" s="79" t="s">
        <v>86</v>
      </c>
      <c r="R23" s="280">
        <f>IF(($U$6=Q23),3,0)</f>
        <v>0</v>
      </c>
      <c r="S23" s="281">
        <f t="shared" si="7"/>
        <v>0</v>
      </c>
      <c r="T23" s="286">
        <f t="shared" si="8"/>
        <v>0</v>
      </c>
    </row>
    <row r="24" spans="3:24" ht="21" customHeight="1" thickBot="1">
      <c r="C24" s="2"/>
      <c r="D24" s="221"/>
      <c r="E24" s="227"/>
      <c r="F24" s="38"/>
      <c r="G24" s="2"/>
      <c r="H24" s="223"/>
      <c r="I24" s="227"/>
      <c r="J24" s="27"/>
      <c r="K24" s="2"/>
      <c r="L24" s="223"/>
      <c r="M24" s="227"/>
      <c r="N24" s="27"/>
      <c r="Q24" s="78" t="s">
        <v>96</v>
      </c>
      <c r="R24" s="280">
        <f>IF(($U$6=Q24),3,0)</f>
        <v>0</v>
      </c>
      <c r="S24" s="281">
        <f t="shared" si="7"/>
        <v>0</v>
      </c>
      <c r="T24" s="286">
        <f t="shared" si="8"/>
        <v>0</v>
      </c>
    </row>
    <row r="25" spans="3:24" ht="16.5" thickBot="1">
      <c r="C25" s="5" t="s">
        <v>6</v>
      </c>
      <c r="D25" s="225">
        <v>2</v>
      </c>
      <c r="E25" s="228">
        <f>T19</f>
        <v>0</v>
      </c>
      <c r="F25" s="70">
        <f>D25+E25</f>
        <v>2</v>
      </c>
      <c r="G25" s="5" t="s">
        <v>16</v>
      </c>
      <c r="H25" s="225">
        <v>2</v>
      </c>
      <c r="I25" s="228">
        <f>T20</f>
        <v>0</v>
      </c>
      <c r="J25" s="70">
        <f>H25+I25</f>
        <v>2</v>
      </c>
      <c r="K25" s="5" t="s">
        <v>22</v>
      </c>
      <c r="L25" s="225">
        <v>2</v>
      </c>
      <c r="M25" s="229">
        <f>T21</f>
        <v>0</v>
      </c>
      <c r="N25" s="70">
        <f>L25+M25</f>
        <v>2</v>
      </c>
      <c r="Q25" s="79" t="s">
        <v>103</v>
      </c>
      <c r="R25" s="280">
        <f>IF(($U$6=Q25),3,0)</f>
        <v>0</v>
      </c>
      <c r="S25" s="281">
        <f t="shared" si="7"/>
        <v>0</v>
      </c>
      <c r="T25" s="286">
        <f t="shared" si="8"/>
        <v>0</v>
      </c>
    </row>
    <row r="26" spans="3:24" ht="15.75" thickBot="1">
      <c r="C26" s="6" t="s">
        <v>116</v>
      </c>
      <c r="D26" s="23"/>
      <c r="E26" s="24" t="str">
        <f>IF(OR(C26=Q7,C26=Q8,C26=Q9),"n","o")</f>
        <v>n</v>
      </c>
      <c r="F26" s="25"/>
      <c r="G26" s="6" t="s">
        <v>117</v>
      </c>
      <c r="H26" s="23"/>
      <c r="I26" s="24" t="str">
        <f>IF(OR(G26=Q7,G26=Q8,G26=Q9),"n","o")</f>
        <v>o</v>
      </c>
      <c r="J26" s="25"/>
      <c r="K26" s="6" t="s">
        <v>118</v>
      </c>
      <c r="L26" s="32"/>
      <c r="M26" s="33" t="str">
        <f>IF(OR(K26=Q7,K26=Q8,K26=Q9),"n","o")</f>
        <v>o</v>
      </c>
      <c r="N26" s="35"/>
      <c r="Q26" s="78" t="s">
        <v>97</v>
      </c>
      <c r="R26" s="280">
        <f>IF(($U$6=Q26),3,0)</f>
        <v>0</v>
      </c>
      <c r="S26" s="281">
        <f t="shared" si="7"/>
        <v>0</v>
      </c>
      <c r="T26" s="286">
        <f t="shared" si="8"/>
        <v>0</v>
      </c>
    </row>
    <row r="27" spans="3:24">
      <c r="C27" s="2" t="s">
        <v>52</v>
      </c>
      <c r="D27" s="221"/>
      <c r="E27" s="227">
        <f>VLOOKUP(C27,$Q$22:$T$82,4)</f>
        <v>0</v>
      </c>
      <c r="F27" s="38">
        <f>D27+E27</f>
        <v>0</v>
      </c>
      <c r="G27" s="2" t="s">
        <v>105</v>
      </c>
      <c r="H27" s="221"/>
      <c r="I27" s="227">
        <f t="shared" ref="I27:I35" si="9">VLOOKUP(G27,$Q$22:$T$82,4)</f>
        <v>1</v>
      </c>
      <c r="J27" s="38">
        <f>H27+I27</f>
        <v>1</v>
      </c>
      <c r="K27" s="2" t="s">
        <v>19</v>
      </c>
      <c r="L27" s="221"/>
      <c r="M27" s="227">
        <f t="shared" ref="M27:M34" si="10">VLOOKUP(K27,$Q$22:$T$82,4)</f>
        <v>0</v>
      </c>
      <c r="N27" s="38">
        <f>L27+M27</f>
        <v>0</v>
      </c>
      <c r="Q27" s="78" t="s">
        <v>91</v>
      </c>
      <c r="R27" s="280">
        <f>IF($U$4=Q27,3,0)</f>
        <v>0</v>
      </c>
      <c r="S27" s="281">
        <f t="shared" si="7"/>
        <v>0</v>
      </c>
      <c r="T27" s="286">
        <f t="shared" si="8"/>
        <v>0</v>
      </c>
    </row>
    <row r="28" spans="3:24">
      <c r="C28" s="223" t="s">
        <v>95</v>
      </c>
      <c r="D28" s="221"/>
      <c r="E28" s="227">
        <f t="shared" ref="E28:E43" si="11">VLOOKUP(C28,$Q$22:$T$82,4)</f>
        <v>0</v>
      </c>
      <c r="F28" s="38">
        <f t="shared" ref="F28:F43" si="12">D28+E28</f>
        <v>0</v>
      </c>
      <c r="G28" s="2" t="s">
        <v>4</v>
      </c>
      <c r="H28" s="221"/>
      <c r="I28" s="227">
        <f t="shared" si="9"/>
        <v>0</v>
      </c>
      <c r="J28" s="38">
        <f t="shared" ref="J28:J35" si="13">H28+I28</f>
        <v>0</v>
      </c>
      <c r="K28" s="3" t="s">
        <v>103</v>
      </c>
      <c r="L28" s="221"/>
      <c r="M28" s="227">
        <f t="shared" si="10"/>
        <v>0</v>
      </c>
      <c r="N28" s="38">
        <f t="shared" ref="N28:N34" si="14">L28+M28</f>
        <v>0</v>
      </c>
      <c r="Q28" s="78" t="s">
        <v>99</v>
      </c>
      <c r="R28" s="280">
        <f t="shared" ref="R28:R59" si="15">IF(($U$6=Q28),3,0)</f>
        <v>0</v>
      </c>
      <c r="S28" s="281">
        <f t="shared" si="7"/>
        <v>1</v>
      </c>
      <c r="T28" s="286">
        <f t="shared" si="8"/>
        <v>1</v>
      </c>
    </row>
    <row r="29" spans="3:24">
      <c r="C29" s="2" t="s">
        <v>96</v>
      </c>
      <c r="D29" s="221"/>
      <c r="E29" s="227">
        <f t="shared" si="11"/>
        <v>0</v>
      </c>
      <c r="F29" s="38">
        <f t="shared" si="12"/>
        <v>0</v>
      </c>
      <c r="G29" s="2" t="s">
        <v>106</v>
      </c>
      <c r="H29" s="221"/>
      <c r="I29" s="227">
        <f t="shared" si="9"/>
        <v>0</v>
      </c>
      <c r="J29" s="38">
        <f t="shared" si="13"/>
        <v>0</v>
      </c>
      <c r="K29" s="3" t="s">
        <v>71</v>
      </c>
      <c r="L29" s="221"/>
      <c r="M29" s="227">
        <f t="shared" si="10"/>
        <v>0</v>
      </c>
      <c r="N29" s="38">
        <f t="shared" si="14"/>
        <v>0</v>
      </c>
      <c r="Q29" s="78" t="s">
        <v>178</v>
      </c>
      <c r="R29" s="280">
        <f t="shared" si="15"/>
        <v>0</v>
      </c>
      <c r="S29" s="281">
        <f t="shared" si="7"/>
        <v>0</v>
      </c>
      <c r="T29" s="286">
        <f t="shared" si="8"/>
        <v>0</v>
      </c>
    </row>
    <row r="30" spans="3:24">
      <c r="C30" s="27" t="str">
        <f>VLOOKUP($C$4,Tables!B4:E51,2)</f>
        <v>Connaissance (Barrens)</v>
      </c>
      <c r="D30" s="221"/>
      <c r="E30" s="227">
        <v>3</v>
      </c>
      <c r="F30" s="38">
        <f t="shared" si="12"/>
        <v>3</v>
      </c>
      <c r="G30" s="2" t="s">
        <v>7</v>
      </c>
      <c r="H30" s="221"/>
      <c r="I30" s="227">
        <f t="shared" si="9"/>
        <v>0</v>
      </c>
      <c r="J30" s="38">
        <f t="shared" si="13"/>
        <v>0</v>
      </c>
      <c r="K30" s="2" t="s">
        <v>109</v>
      </c>
      <c r="L30" s="221"/>
      <c r="M30" s="227">
        <f t="shared" si="10"/>
        <v>0</v>
      </c>
      <c r="N30" s="38">
        <f t="shared" si="14"/>
        <v>0</v>
      </c>
      <c r="Q30" s="78" t="s">
        <v>100</v>
      </c>
      <c r="R30" s="280">
        <f t="shared" si="15"/>
        <v>0</v>
      </c>
      <c r="S30" s="281">
        <f t="shared" si="7"/>
        <v>0</v>
      </c>
      <c r="T30" s="286">
        <f t="shared" si="8"/>
        <v>0</v>
      </c>
    </row>
    <row r="31" spans="3:24">
      <c r="C31" s="223" t="s">
        <v>176</v>
      </c>
      <c r="D31" s="221"/>
      <c r="E31" s="227">
        <f t="shared" si="11"/>
        <v>0</v>
      </c>
      <c r="F31" s="38">
        <f t="shared" si="12"/>
        <v>0</v>
      </c>
      <c r="G31" s="2" t="s">
        <v>107</v>
      </c>
      <c r="H31" s="221"/>
      <c r="I31" s="227">
        <f t="shared" si="9"/>
        <v>0</v>
      </c>
      <c r="J31" s="38">
        <f t="shared" si="13"/>
        <v>0</v>
      </c>
      <c r="K31" s="2" t="s">
        <v>110</v>
      </c>
      <c r="L31" s="221"/>
      <c r="M31" s="227">
        <f t="shared" si="10"/>
        <v>0</v>
      </c>
      <c r="N31" s="38">
        <f t="shared" si="14"/>
        <v>0</v>
      </c>
      <c r="Q31" s="287" t="s">
        <v>104</v>
      </c>
      <c r="R31" s="280">
        <f t="shared" si="15"/>
        <v>0</v>
      </c>
      <c r="S31" s="281">
        <f t="shared" si="7"/>
        <v>0</v>
      </c>
      <c r="T31" s="286">
        <f t="shared" si="8"/>
        <v>0</v>
      </c>
    </row>
    <row r="32" spans="3:24">
      <c r="C32" s="223" t="s">
        <v>176</v>
      </c>
      <c r="D32" s="221"/>
      <c r="E32" s="227">
        <f t="shared" si="11"/>
        <v>0</v>
      </c>
      <c r="F32" s="38">
        <f t="shared" si="12"/>
        <v>0</v>
      </c>
      <c r="G32" s="2" t="s">
        <v>41</v>
      </c>
      <c r="H32" s="221"/>
      <c r="I32" s="227">
        <f t="shared" si="9"/>
        <v>0</v>
      </c>
      <c r="J32" s="38">
        <f t="shared" si="13"/>
        <v>0</v>
      </c>
      <c r="K32" s="3" t="s">
        <v>23</v>
      </c>
      <c r="L32" s="221"/>
      <c r="M32" s="227">
        <f t="shared" si="10"/>
        <v>0</v>
      </c>
      <c r="N32" s="38">
        <f t="shared" si="14"/>
        <v>0</v>
      </c>
      <c r="Q32" s="79" t="s">
        <v>195</v>
      </c>
      <c r="R32" s="280">
        <f t="shared" si="15"/>
        <v>0</v>
      </c>
      <c r="S32" s="281">
        <f t="shared" si="7"/>
        <v>1</v>
      </c>
      <c r="T32" s="286">
        <f t="shared" si="8"/>
        <v>1</v>
      </c>
    </row>
    <row r="33" spans="3:20">
      <c r="C33" s="2" t="s">
        <v>97</v>
      </c>
      <c r="D33" s="221"/>
      <c r="E33" s="227">
        <f t="shared" si="11"/>
        <v>0</v>
      </c>
      <c r="F33" s="38">
        <f t="shared" si="12"/>
        <v>0</v>
      </c>
      <c r="G33" s="2" t="s">
        <v>39</v>
      </c>
      <c r="H33" s="221"/>
      <c r="I33" s="227">
        <f t="shared" si="9"/>
        <v>0</v>
      </c>
      <c r="J33" s="38">
        <f t="shared" si="13"/>
        <v>0</v>
      </c>
      <c r="K33" s="2" t="s">
        <v>111</v>
      </c>
      <c r="L33" s="221"/>
      <c r="M33" s="227">
        <f t="shared" si="10"/>
        <v>0</v>
      </c>
      <c r="N33" s="38">
        <f t="shared" si="14"/>
        <v>0</v>
      </c>
      <c r="Q33" s="79" t="s">
        <v>196</v>
      </c>
      <c r="R33" s="280">
        <f t="shared" si="15"/>
        <v>0</v>
      </c>
      <c r="S33" s="281">
        <f t="shared" si="7"/>
        <v>1</v>
      </c>
      <c r="T33" s="286">
        <f t="shared" si="8"/>
        <v>1</v>
      </c>
    </row>
    <row r="34" spans="3:20">
      <c r="C34" s="2" t="s">
        <v>98</v>
      </c>
      <c r="D34" s="221"/>
      <c r="E34" s="227">
        <f t="shared" si="11"/>
        <v>0</v>
      </c>
      <c r="F34" s="38">
        <f t="shared" si="12"/>
        <v>0</v>
      </c>
      <c r="G34" s="2" t="s">
        <v>108</v>
      </c>
      <c r="H34" s="221"/>
      <c r="I34" s="227">
        <f t="shared" si="9"/>
        <v>0</v>
      </c>
      <c r="J34" s="38">
        <f t="shared" si="13"/>
        <v>0</v>
      </c>
      <c r="K34" s="2" t="s">
        <v>18</v>
      </c>
      <c r="L34" s="221"/>
      <c r="M34" s="227">
        <f t="shared" si="10"/>
        <v>0</v>
      </c>
      <c r="N34" s="38">
        <f t="shared" si="14"/>
        <v>0</v>
      </c>
      <c r="Q34" s="78" t="s">
        <v>112</v>
      </c>
      <c r="R34" s="280">
        <f t="shared" si="15"/>
        <v>0</v>
      </c>
      <c r="S34" s="281">
        <f t="shared" si="7"/>
        <v>0</v>
      </c>
      <c r="T34" s="286">
        <f t="shared" si="8"/>
        <v>0</v>
      </c>
    </row>
    <row r="35" spans="3:20">
      <c r="C35" s="2" t="s">
        <v>99</v>
      </c>
      <c r="D35" s="221"/>
      <c r="E35" s="227">
        <f t="shared" si="11"/>
        <v>1</v>
      </c>
      <c r="F35" s="38">
        <f t="shared" si="12"/>
        <v>1</v>
      </c>
      <c r="G35" s="3" t="s">
        <v>40</v>
      </c>
      <c r="H35" s="221"/>
      <c r="I35" s="227">
        <f t="shared" si="9"/>
        <v>0</v>
      </c>
      <c r="J35" s="38">
        <f t="shared" si="13"/>
        <v>0</v>
      </c>
      <c r="K35" s="2"/>
      <c r="L35" s="223"/>
      <c r="M35" s="227"/>
      <c r="N35" s="27"/>
      <c r="Q35" s="78" t="s">
        <v>102</v>
      </c>
      <c r="R35" s="280">
        <f t="shared" si="15"/>
        <v>0</v>
      </c>
      <c r="S35" s="281">
        <f t="shared" si="7"/>
        <v>1</v>
      </c>
      <c r="T35" s="286">
        <f t="shared" si="8"/>
        <v>1</v>
      </c>
    </row>
    <row r="36" spans="3:20">
      <c r="C36" s="223" t="s">
        <v>178</v>
      </c>
      <c r="D36" s="221"/>
      <c r="E36" s="227">
        <f t="shared" si="11"/>
        <v>0</v>
      </c>
      <c r="F36" s="38">
        <f t="shared" si="12"/>
        <v>0</v>
      </c>
      <c r="G36" s="2"/>
      <c r="H36" s="223"/>
      <c r="I36" s="227"/>
      <c r="J36" s="27"/>
      <c r="K36" s="2"/>
      <c r="L36" s="223"/>
      <c r="M36" s="227"/>
      <c r="N36" s="27"/>
      <c r="Q36" s="78" t="s">
        <v>92</v>
      </c>
      <c r="R36" s="280">
        <f t="shared" si="15"/>
        <v>0</v>
      </c>
      <c r="S36" s="281">
        <f t="shared" si="7"/>
        <v>1</v>
      </c>
      <c r="T36" s="286">
        <f t="shared" si="8"/>
        <v>1</v>
      </c>
    </row>
    <row r="37" spans="3:20">
      <c r="C37" s="2" t="s">
        <v>100</v>
      </c>
      <c r="D37" s="221"/>
      <c r="E37" s="227">
        <f t="shared" si="11"/>
        <v>0</v>
      </c>
      <c r="F37" s="38">
        <f t="shared" si="12"/>
        <v>0</v>
      </c>
      <c r="G37" s="2"/>
      <c r="H37" s="223"/>
      <c r="I37" s="227"/>
      <c r="J37" s="27"/>
      <c r="K37" s="2"/>
      <c r="L37" s="223"/>
      <c r="M37" s="227"/>
      <c r="N37" s="27"/>
      <c r="Q37" s="78" t="s">
        <v>179</v>
      </c>
      <c r="R37" s="280">
        <f t="shared" si="15"/>
        <v>0</v>
      </c>
      <c r="S37" s="281">
        <f t="shared" si="7"/>
        <v>0</v>
      </c>
      <c r="T37" s="286">
        <f t="shared" si="8"/>
        <v>0</v>
      </c>
    </row>
    <row r="38" spans="3:20">
      <c r="C38" s="2" t="s">
        <v>51</v>
      </c>
      <c r="D38" s="221"/>
      <c r="E38" s="227">
        <f t="shared" si="11"/>
        <v>1</v>
      </c>
      <c r="F38" s="38">
        <f t="shared" si="12"/>
        <v>1</v>
      </c>
      <c r="G38" s="2"/>
      <c r="H38" s="223"/>
      <c r="I38" s="227"/>
      <c r="J38" s="27"/>
      <c r="K38" s="2"/>
      <c r="L38" s="223"/>
      <c r="M38" s="227"/>
      <c r="N38" s="27"/>
      <c r="Q38" s="78" t="s">
        <v>93</v>
      </c>
      <c r="R38" s="280">
        <f t="shared" si="15"/>
        <v>0</v>
      </c>
      <c r="S38" s="281">
        <f t="shared" si="7"/>
        <v>0</v>
      </c>
      <c r="T38" s="286">
        <f t="shared" si="8"/>
        <v>0</v>
      </c>
    </row>
    <row r="39" spans="3:20">
      <c r="C39" s="2" t="s">
        <v>112</v>
      </c>
      <c r="D39" s="221"/>
      <c r="E39" s="227">
        <f t="shared" si="11"/>
        <v>0</v>
      </c>
      <c r="F39" s="38">
        <f t="shared" si="12"/>
        <v>0</v>
      </c>
      <c r="G39" s="2"/>
      <c r="H39" s="223"/>
      <c r="I39" s="227"/>
      <c r="J39" s="27"/>
      <c r="K39" s="2"/>
      <c r="L39" s="223"/>
      <c r="M39" s="227"/>
      <c r="N39" s="27"/>
      <c r="Q39" s="78" t="s">
        <v>101</v>
      </c>
      <c r="R39" s="280">
        <f t="shared" si="15"/>
        <v>0</v>
      </c>
      <c r="S39" s="281">
        <f t="shared" si="7"/>
        <v>0</v>
      </c>
      <c r="T39" s="286">
        <f t="shared" si="8"/>
        <v>0</v>
      </c>
    </row>
    <row r="40" spans="3:20">
      <c r="C40" s="2" t="s">
        <v>102</v>
      </c>
      <c r="D40" s="221"/>
      <c r="E40" s="227">
        <f t="shared" si="11"/>
        <v>1</v>
      </c>
      <c r="F40" s="38">
        <f t="shared" si="12"/>
        <v>1</v>
      </c>
      <c r="G40" s="2"/>
      <c r="H40" s="223"/>
      <c r="I40" s="227"/>
      <c r="J40" s="27"/>
      <c r="K40" s="2"/>
      <c r="L40" s="223"/>
      <c r="M40" s="227"/>
      <c r="N40" s="27"/>
      <c r="Q40" s="78" t="s">
        <v>80</v>
      </c>
      <c r="R40" s="280">
        <f t="shared" si="15"/>
        <v>0</v>
      </c>
      <c r="S40" s="281">
        <f t="shared" si="7"/>
        <v>0</v>
      </c>
      <c r="T40" s="286">
        <f t="shared" si="8"/>
        <v>0</v>
      </c>
    </row>
    <row r="41" spans="3:20">
      <c r="C41" s="223" t="s">
        <v>179</v>
      </c>
      <c r="D41" s="221"/>
      <c r="E41" s="227">
        <f t="shared" si="11"/>
        <v>0</v>
      </c>
      <c r="F41" s="38">
        <f t="shared" si="12"/>
        <v>0</v>
      </c>
      <c r="G41" s="2"/>
      <c r="H41" s="223"/>
      <c r="I41" s="227"/>
      <c r="J41" s="27"/>
      <c r="K41" s="2"/>
      <c r="L41" s="223"/>
      <c r="M41" s="227"/>
      <c r="N41" s="27"/>
      <c r="Q41" s="78" t="s">
        <v>52</v>
      </c>
      <c r="R41" s="280">
        <f t="shared" si="15"/>
        <v>0</v>
      </c>
      <c r="S41" s="281">
        <f t="shared" si="7"/>
        <v>0</v>
      </c>
      <c r="T41" s="286">
        <f t="shared" si="8"/>
        <v>0</v>
      </c>
    </row>
    <row r="42" spans="3:20">
      <c r="C42" s="2" t="s">
        <v>11</v>
      </c>
      <c r="D42" s="221"/>
      <c r="E42" s="227">
        <f t="shared" si="11"/>
        <v>0</v>
      </c>
      <c r="F42" s="38">
        <f t="shared" si="12"/>
        <v>0</v>
      </c>
      <c r="G42" s="2"/>
      <c r="H42" s="223"/>
      <c r="I42" s="227"/>
      <c r="J42" s="27"/>
      <c r="K42" s="2"/>
      <c r="L42" s="223"/>
      <c r="M42" s="227"/>
      <c r="N42" s="27"/>
      <c r="Q42" s="79" t="s">
        <v>85</v>
      </c>
      <c r="R42" s="280">
        <f t="shared" si="15"/>
        <v>0</v>
      </c>
      <c r="S42" s="281">
        <f t="shared" si="7"/>
        <v>0</v>
      </c>
      <c r="T42" s="286">
        <f t="shared" si="8"/>
        <v>0</v>
      </c>
    </row>
    <row r="43" spans="3:20">
      <c r="C43" s="2" t="s">
        <v>101</v>
      </c>
      <c r="D43" s="221"/>
      <c r="E43" s="227">
        <f t="shared" si="11"/>
        <v>0</v>
      </c>
      <c r="F43" s="38">
        <f t="shared" si="12"/>
        <v>0</v>
      </c>
      <c r="G43" s="2"/>
      <c r="H43" s="223"/>
      <c r="I43" s="227"/>
      <c r="J43" s="27"/>
      <c r="K43" s="2"/>
      <c r="L43" s="223"/>
      <c r="M43" s="227"/>
      <c r="N43" s="27"/>
      <c r="Q43" s="79" t="s">
        <v>81</v>
      </c>
      <c r="R43" s="280">
        <f t="shared" si="15"/>
        <v>0</v>
      </c>
      <c r="S43" s="281">
        <f t="shared" si="7"/>
        <v>0</v>
      </c>
      <c r="T43" s="286">
        <f t="shared" si="8"/>
        <v>0</v>
      </c>
    </row>
    <row r="44" spans="3:20" ht="15.75" thickBot="1">
      <c r="C44" s="2"/>
      <c r="D44" s="223"/>
      <c r="E44" s="227"/>
      <c r="F44" s="27"/>
      <c r="G44" s="2"/>
      <c r="H44" s="223"/>
      <c r="I44" s="227"/>
      <c r="J44" s="27"/>
      <c r="K44" s="2"/>
      <c r="L44" s="223"/>
      <c r="M44" s="227"/>
      <c r="N44" s="27"/>
      <c r="Q44" s="79" t="s">
        <v>82</v>
      </c>
      <c r="R44" s="280">
        <f t="shared" si="15"/>
        <v>0</v>
      </c>
      <c r="S44" s="281">
        <f t="shared" si="7"/>
        <v>0</v>
      </c>
      <c r="T44" s="286">
        <f t="shared" si="8"/>
        <v>0</v>
      </c>
    </row>
    <row r="45" spans="3:20" ht="15.75" thickBot="1">
      <c r="C45" s="4"/>
      <c r="D45" s="231"/>
      <c r="E45" s="233"/>
      <c r="F45" s="232"/>
      <c r="G45" s="4"/>
      <c r="H45" s="231"/>
      <c r="I45" s="233"/>
      <c r="J45" s="232"/>
      <c r="K45" s="4"/>
      <c r="L45" s="231"/>
      <c r="M45" s="233"/>
      <c r="N45" s="232"/>
      <c r="O45" s="94" t="s">
        <v>204</v>
      </c>
      <c r="Q45" s="79" t="s">
        <v>83</v>
      </c>
      <c r="R45" s="280">
        <f t="shared" si="15"/>
        <v>0</v>
      </c>
      <c r="S45" s="281">
        <f t="shared" si="7"/>
        <v>0</v>
      </c>
      <c r="T45" s="286">
        <f t="shared" si="8"/>
        <v>0</v>
      </c>
    </row>
    <row r="46" spans="3:20">
      <c r="E46"/>
      <c r="F46" s="1"/>
      <c r="I46"/>
      <c r="J46" s="1"/>
      <c r="M46"/>
      <c r="N46" s="1"/>
      <c r="Q46" s="78" t="s">
        <v>177</v>
      </c>
      <c r="R46" s="280">
        <f t="shared" si="15"/>
        <v>0</v>
      </c>
      <c r="S46" s="281">
        <f t="shared" si="7"/>
        <v>0</v>
      </c>
      <c r="T46" s="286">
        <f t="shared" si="8"/>
        <v>0</v>
      </c>
    </row>
    <row r="47" spans="3:20">
      <c r="E47"/>
      <c r="F47" s="1"/>
      <c r="I47"/>
      <c r="J47" s="1"/>
      <c r="M47"/>
      <c r="N47" s="1"/>
      <c r="Q47" s="78" t="s">
        <v>177</v>
      </c>
      <c r="R47" s="280">
        <f t="shared" si="15"/>
        <v>0</v>
      </c>
      <c r="S47" s="281">
        <f t="shared" si="7"/>
        <v>0</v>
      </c>
      <c r="T47" s="286">
        <f t="shared" si="8"/>
        <v>0</v>
      </c>
    </row>
    <row r="48" spans="3:20">
      <c r="E48"/>
      <c r="F48" s="1"/>
      <c r="I48"/>
      <c r="J48" s="1"/>
      <c r="M48"/>
      <c r="N48" s="1"/>
      <c r="Q48" s="78" t="s">
        <v>647</v>
      </c>
      <c r="R48" s="280">
        <f t="shared" si="15"/>
        <v>0</v>
      </c>
      <c r="S48" s="281">
        <f t="shared" si="7"/>
        <v>0</v>
      </c>
      <c r="T48" s="286">
        <f t="shared" si="8"/>
        <v>0</v>
      </c>
    </row>
    <row r="49" spans="5:20">
      <c r="E49"/>
      <c r="F49" s="1"/>
      <c r="I49"/>
      <c r="J49" s="1"/>
      <c r="M49"/>
      <c r="N49" s="1"/>
      <c r="Q49" s="78" t="s">
        <v>95</v>
      </c>
      <c r="R49" s="280">
        <f t="shared" si="15"/>
        <v>0</v>
      </c>
      <c r="S49" s="281">
        <f t="shared" si="7"/>
        <v>0</v>
      </c>
      <c r="T49" s="286">
        <f t="shared" si="8"/>
        <v>0</v>
      </c>
    </row>
    <row r="50" spans="5:20">
      <c r="E50"/>
      <c r="F50" s="1"/>
      <c r="I50"/>
      <c r="J50" s="1"/>
      <c r="M50"/>
      <c r="N50" s="1"/>
      <c r="Q50" s="78" t="s">
        <v>87</v>
      </c>
      <c r="R50" s="280">
        <f t="shared" si="15"/>
        <v>0</v>
      </c>
      <c r="S50" s="281">
        <f t="shared" si="7"/>
        <v>0</v>
      </c>
      <c r="T50" s="286">
        <f t="shared" si="8"/>
        <v>0</v>
      </c>
    </row>
    <row r="51" spans="5:20">
      <c r="E51"/>
      <c r="F51" s="1"/>
      <c r="I51"/>
      <c r="J51" s="1"/>
      <c r="M51"/>
      <c r="N51" s="1"/>
      <c r="Q51" s="78" t="s">
        <v>105</v>
      </c>
      <c r="R51" s="280">
        <f t="shared" si="15"/>
        <v>0</v>
      </c>
      <c r="S51" s="281">
        <f t="shared" si="7"/>
        <v>1</v>
      </c>
      <c r="T51" s="286">
        <f t="shared" si="8"/>
        <v>1</v>
      </c>
    </row>
    <row r="52" spans="5:20">
      <c r="E52"/>
      <c r="F52" s="1"/>
      <c r="I52"/>
      <c r="J52" s="1"/>
      <c r="M52"/>
      <c r="N52" s="1"/>
      <c r="Q52" s="78" t="s">
        <v>4</v>
      </c>
      <c r="R52" s="280">
        <f t="shared" si="15"/>
        <v>0</v>
      </c>
      <c r="S52" s="281">
        <f t="shared" si="7"/>
        <v>0</v>
      </c>
      <c r="T52" s="286">
        <f t="shared" si="8"/>
        <v>0</v>
      </c>
    </row>
    <row r="53" spans="5:20">
      <c r="E53"/>
      <c r="F53" s="1"/>
      <c r="I53"/>
      <c r="J53" s="1"/>
      <c r="M53"/>
      <c r="N53" s="1"/>
      <c r="Q53" s="78" t="s">
        <v>106</v>
      </c>
      <c r="R53" s="280">
        <f t="shared" si="15"/>
        <v>0</v>
      </c>
      <c r="S53" s="281">
        <f t="shared" si="7"/>
        <v>0</v>
      </c>
      <c r="T53" s="286">
        <f t="shared" si="8"/>
        <v>0</v>
      </c>
    </row>
    <row r="54" spans="5:20">
      <c r="E54"/>
      <c r="F54" s="1"/>
      <c r="I54"/>
      <c r="J54" s="1"/>
      <c r="M54"/>
      <c r="N54" s="1"/>
      <c r="Q54" s="78" t="s">
        <v>19</v>
      </c>
      <c r="R54" s="280">
        <f t="shared" si="15"/>
        <v>0</v>
      </c>
      <c r="S54" s="281">
        <f t="shared" ref="S54:S82" si="16">IF(OR(Q54=$U$8,Q54=$U$9,Q54=$U$10,Q54=$U$11,Q54=$U$12,Q54=$U$13,Q54=$U$14,Q54=$U$15,Q54=$U$16,Q54=$U$17,),1,0)</f>
        <v>0</v>
      </c>
      <c r="T54" s="286">
        <f t="shared" ref="T54:T82" si="17">R54+S54</f>
        <v>0</v>
      </c>
    </row>
    <row r="55" spans="5:20">
      <c r="E55"/>
      <c r="F55" s="1"/>
      <c r="I55"/>
      <c r="J55" s="1"/>
      <c r="M55"/>
      <c r="N55" s="1"/>
      <c r="Q55" s="78" t="s">
        <v>7</v>
      </c>
      <c r="R55" s="280">
        <f t="shared" si="15"/>
        <v>0</v>
      </c>
      <c r="S55" s="281">
        <f t="shared" si="16"/>
        <v>0</v>
      </c>
      <c r="T55" s="286">
        <f t="shared" si="17"/>
        <v>0</v>
      </c>
    </row>
    <row r="56" spans="5:20">
      <c r="E56"/>
      <c r="F56" s="1"/>
      <c r="I56"/>
      <c r="J56" s="1"/>
      <c r="M56"/>
      <c r="N56" s="1"/>
      <c r="Q56" s="78" t="s">
        <v>176</v>
      </c>
      <c r="R56" s="280">
        <f t="shared" si="15"/>
        <v>0</v>
      </c>
      <c r="S56" s="281">
        <f t="shared" si="16"/>
        <v>0</v>
      </c>
      <c r="T56" s="286">
        <f t="shared" si="17"/>
        <v>0</v>
      </c>
    </row>
    <row r="57" spans="5:20">
      <c r="E57"/>
      <c r="F57" s="1"/>
      <c r="I57"/>
      <c r="J57" s="1"/>
      <c r="M57"/>
      <c r="N57" s="1"/>
      <c r="Q57" s="78" t="s">
        <v>176</v>
      </c>
      <c r="R57" s="280">
        <f t="shared" si="15"/>
        <v>0</v>
      </c>
      <c r="S57" s="281">
        <f t="shared" si="16"/>
        <v>0</v>
      </c>
      <c r="T57" s="286">
        <f t="shared" si="17"/>
        <v>0</v>
      </c>
    </row>
    <row r="58" spans="5:20">
      <c r="E58"/>
      <c r="F58" s="1"/>
      <c r="I58"/>
      <c r="J58" s="1"/>
      <c r="M58"/>
      <c r="N58" s="1"/>
      <c r="Q58" s="78" t="str">
        <f>U10</f>
        <v>[Pilotage2  (                  )]</v>
      </c>
      <c r="R58" s="280">
        <f t="shared" si="15"/>
        <v>0</v>
      </c>
      <c r="S58" s="281">
        <f t="shared" si="16"/>
        <v>1</v>
      </c>
      <c r="T58" s="286">
        <f t="shared" si="17"/>
        <v>1</v>
      </c>
    </row>
    <row r="59" spans="5:20">
      <c r="E59"/>
      <c r="F59" s="1"/>
      <c r="I59"/>
      <c r="J59" s="1"/>
      <c r="M59"/>
      <c r="N59" s="1"/>
      <c r="Q59" s="78" t="s">
        <v>107</v>
      </c>
      <c r="R59" s="280">
        <f t="shared" si="15"/>
        <v>0</v>
      </c>
      <c r="S59" s="281">
        <f t="shared" si="16"/>
        <v>0</v>
      </c>
      <c r="T59" s="286">
        <f t="shared" si="17"/>
        <v>0</v>
      </c>
    </row>
    <row r="60" spans="5:20">
      <c r="E60"/>
      <c r="F60" s="1"/>
      <c r="I60"/>
      <c r="J60" s="1"/>
      <c r="M60"/>
      <c r="N60" s="1"/>
      <c r="Q60" s="78" t="s">
        <v>89</v>
      </c>
      <c r="R60" s="280">
        <f t="shared" ref="R60:R82" si="18">IF(($U$6=Q60),3,0)</f>
        <v>0</v>
      </c>
      <c r="S60" s="281">
        <f t="shared" si="16"/>
        <v>0</v>
      </c>
      <c r="T60" s="286">
        <f t="shared" si="17"/>
        <v>0</v>
      </c>
    </row>
    <row r="61" spans="5:20">
      <c r="E61"/>
      <c r="F61" s="1"/>
      <c r="I61"/>
      <c r="J61" s="1"/>
      <c r="M61"/>
      <c r="N61" s="1"/>
      <c r="Q61" s="79" t="s">
        <v>71</v>
      </c>
      <c r="R61" s="280">
        <f t="shared" si="18"/>
        <v>0</v>
      </c>
      <c r="S61" s="281">
        <f t="shared" si="16"/>
        <v>0</v>
      </c>
      <c r="T61" s="286">
        <f t="shared" si="17"/>
        <v>0</v>
      </c>
    </row>
    <row r="62" spans="5:20">
      <c r="E62"/>
      <c r="F62" s="1"/>
      <c r="I62"/>
      <c r="J62" s="1"/>
      <c r="M62"/>
      <c r="N62" s="1"/>
      <c r="Q62" s="78" t="s">
        <v>90</v>
      </c>
      <c r="R62" s="280">
        <f t="shared" si="18"/>
        <v>0</v>
      </c>
      <c r="S62" s="281">
        <f t="shared" si="16"/>
        <v>0</v>
      </c>
      <c r="T62" s="286">
        <f t="shared" si="17"/>
        <v>0</v>
      </c>
    </row>
    <row r="63" spans="5:20">
      <c r="E63"/>
      <c r="F63" s="1"/>
      <c r="I63"/>
      <c r="J63" s="1"/>
      <c r="M63"/>
      <c r="N63" s="1"/>
      <c r="Q63" s="78" t="s">
        <v>109</v>
      </c>
      <c r="R63" s="280">
        <f t="shared" si="18"/>
        <v>0</v>
      </c>
      <c r="S63" s="281">
        <f t="shared" si="16"/>
        <v>0</v>
      </c>
      <c r="T63" s="286">
        <f t="shared" si="17"/>
        <v>0</v>
      </c>
    </row>
    <row r="64" spans="5:20">
      <c r="E64"/>
      <c r="F64" s="1"/>
      <c r="I64"/>
      <c r="J64" s="1"/>
      <c r="M64"/>
      <c r="N64" s="1"/>
      <c r="Q64" s="78" t="s">
        <v>41</v>
      </c>
      <c r="R64" s="280">
        <f t="shared" si="18"/>
        <v>0</v>
      </c>
      <c r="S64" s="281">
        <f t="shared" si="16"/>
        <v>0</v>
      </c>
      <c r="T64" s="286">
        <f t="shared" si="17"/>
        <v>0</v>
      </c>
    </row>
    <row r="65" spans="16:20">
      <c r="P65" s="16"/>
      <c r="Q65" s="78" t="s">
        <v>72</v>
      </c>
      <c r="R65" s="280">
        <f t="shared" si="18"/>
        <v>0</v>
      </c>
      <c r="S65" s="281">
        <f t="shared" si="16"/>
        <v>0</v>
      </c>
      <c r="T65" s="286">
        <f t="shared" si="17"/>
        <v>0</v>
      </c>
    </row>
    <row r="66" spans="16:20">
      <c r="P66" s="16"/>
      <c r="Q66" s="78" t="s">
        <v>132</v>
      </c>
      <c r="R66" s="280">
        <f t="shared" si="18"/>
        <v>0</v>
      </c>
      <c r="S66" s="281">
        <f t="shared" si="16"/>
        <v>0</v>
      </c>
      <c r="T66" s="286">
        <f t="shared" si="17"/>
        <v>0</v>
      </c>
    </row>
    <row r="67" spans="16:20">
      <c r="P67" s="16"/>
      <c r="Q67" s="78" t="s">
        <v>197</v>
      </c>
      <c r="R67" s="280">
        <f t="shared" si="18"/>
        <v>0</v>
      </c>
      <c r="S67" s="281">
        <f t="shared" si="16"/>
        <v>1</v>
      </c>
      <c r="T67" s="286">
        <f t="shared" si="17"/>
        <v>1</v>
      </c>
    </row>
    <row r="68" spans="16:20">
      <c r="P68" s="16"/>
      <c r="Q68" s="78" t="s">
        <v>198</v>
      </c>
      <c r="R68" s="280">
        <f t="shared" si="18"/>
        <v>3</v>
      </c>
      <c r="S68" s="281">
        <f t="shared" si="16"/>
        <v>0</v>
      </c>
      <c r="T68" s="286">
        <f t="shared" si="17"/>
        <v>3</v>
      </c>
    </row>
    <row r="69" spans="16:20">
      <c r="P69" s="16"/>
      <c r="Q69" s="78" t="s">
        <v>88</v>
      </c>
      <c r="R69" s="280">
        <f t="shared" si="18"/>
        <v>0</v>
      </c>
      <c r="S69" s="281">
        <f t="shared" si="16"/>
        <v>0</v>
      </c>
      <c r="T69" s="286">
        <f t="shared" si="17"/>
        <v>0</v>
      </c>
    </row>
    <row r="70" spans="16:20">
      <c r="P70" s="16"/>
      <c r="Q70" s="78" t="s">
        <v>39</v>
      </c>
      <c r="R70" s="280">
        <f t="shared" si="18"/>
        <v>0</v>
      </c>
      <c r="S70" s="281">
        <f t="shared" si="16"/>
        <v>0</v>
      </c>
      <c r="T70" s="286">
        <f t="shared" si="17"/>
        <v>0</v>
      </c>
    </row>
    <row r="71" spans="16:20">
      <c r="P71" s="16"/>
      <c r="Q71" s="78" t="s">
        <v>98</v>
      </c>
      <c r="R71" s="280">
        <f t="shared" si="18"/>
        <v>0</v>
      </c>
      <c r="S71" s="281">
        <f t="shared" si="16"/>
        <v>0</v>
      </c>
      <c r="T71" s="286">
        <f t="shared" si="17"/>
        <v>0</v>
      </c>
    </row>
    <row r="72" spans="16:20">
      <c r="P72" s="16"/>
      <c r="Q72" s="78" t="s">
        <v>110</v>
      </c>
      <c r="R72" s="280">
        <f t="shared" si="18"/>
        <v>0</v>
      </c>
      <c r="S72" s="281">
        <f t="shared" si="16"/>
        <v>0</v>
      </c>
      <c r="T72" s="286">
        <f t="shared" si="17"/>
        <v>0</v>
      </c>
    </row>
    <row r="73" spans="16:20">
      <c r="P73" s="16"/>
      <c r="Q73" s="79" t="s">
        <v>23</v>
      </c>
      <c r="R73" s="280">
        <f t="shared" si="18"/>
        <v>0</v>
      </c>
      <c r="S73" s="281">
        <f t="shared" si="16"/>
        <v>0</v>
      </c>
      <c r="T73" s="286">
        <f t="shared" si="17"/>
        <v>0</v>
      </c>
    </row>
    <row r="74" spans="16:20">
      <c r="P74" s="16"/>
      <c r="Q74" s="78" t="s">
        <v>108</v>
      </c>
      <c r="R74" s="280">
        <f t="shared" si="18"/>
        <v>0</v>
      </c>
      <c r="S74" s="281">
        <f t="shared" si="16"/>
        <v>0</v>
      </c>
      <c r="T74" s="286">
        <f t="shared" si="17"/>
        <v>0</v>
      </c>
    </row>
    <row r="75" spans="16:20">
      <c r="P75" s="16"/>
      <c r="Q75" s="79" t="s">
        <v>70</v>
      </c>
      <c r="R75" s="280">
        <f t="shared" si="18"/>
        <v>0</v>
      </c>
      <c r="S75" s="281">
        <f t="shared" si="16"/>
        <v>0</v>
      </c>
      <c r="T75" s="286">
        <f t="shared" si="17"/>
        <v>0</v>
      </c>
    </row>
    <row r="76" spans="16:20">
      <c r="P76" s="16"/>
      <c r="Q76" s="78" t="s">
        <v>51</v>
      </c>
      <c r="R76" s="280">
        <f t="shared" si="18"/>
        <v>0</v>
      </c>
      <c r="S76" s="281">
        <f t="shared" si="16"/>
        <v>1</v>
      </c>
      <c r="T76" s="286">
        <f t="shared" si="17"/>
        <v>1</v>
      </c>
    </row>
    <row r="77" spans="16:20">
      <c r="P77" s="16"/>
      <c r="Q77" s="78" t="s">
        <v>111</v>
      </c>
      <c r="R77" s="280">
        <f t="shared" si="18"/>
        <v>0</v>
      </c>
      <c r="S77" s="281">
        <f t="shared" si="16"/>
        <v>0</v>
      </c>
      <c r="T77" s="286">
        <f t="shared" si="17"/>
        <v>0</v>
      </c>
    </row>
    <row r="78" spans="16:20">
      <c r="P78" s="16"/>
      <c r="Q78" s="78" t="s">
        <v>59</v>
      </c>
      <c r="R78" s="280">
        <f t="shared" si="18"/>
        <v>0</v>
      </c>
      <c r="S78" s="281">
        <f t="shared" si="16"/>
        <v>0</v>
      </c>
      <c r="T78" s="286">
        <f t="shared" si="17"/>
        <v>0</v>
      </c>
    </row>
    <row r="79" spans="16:20">
      <c r="P79" s="16"/>
      <c r="Q79" s="79" t="s">
        <v>40</v>
      </c>
      <c r="R79" s="280">
        <f t="shared" si="18"/>
        <v>0</v>
      </c>
      <c r="S79" s="281">
        <f t="shared" si="16"/>
        <v>0</v>
      </c>
      <c r="T79" s="286">
        <f t="shared" si="17"/>
        <v>0</v>
      </c>
    </row>
    <row r="80" spans="16:20">
      <c r="P80" s="16"/>
      <c r="Q80" s="78" t="s">
        <v>11</v>
      </c>
      <c r="R80" s="280">
        <f t="shared" si="18"/>
        <v>0</v>
      </c>
      <c r="S80" s="281">
        <f t="shared" si="16"/>
        <v>0</v>
      </c>
      <c r="T80" s="286">
        <f t="shared" si="17"/>
        <v>0</v>
      </c>
    </row>
    <row r="81" spans="16:20">
      <c r="P81" s="16"/>
      <c r="Q81" s="78" t="s">
        <v>18</v>
      </c>
      <c r="R81" s="280">
        <f t="shared" si="18"/>
        <v>0</v>
      </c>
      <c r="S81" s="281">
        <f t="shared" si="16"/>
        <v>0</v>
      </c>
      <c r="T81" s="286">
        <f t="shared" si="17"/>
        <v>0</v>
      </c>
    </row>
    <row r="82" spans="16:20" ht="15.75" thickBot="1">
      <c r="P82" s="16"/>
      <c r="Q82" s="215" t="s">
        <v>94</v>
      </c>
      <c r="R82" s="290">
        <f t="shared" si="18"/>
        <v>0</v>
      </c>
      <c r="S82" s="288">
        <f t="shared" si="16"/>
        <v>0</v>
      </c>
      <c r="T82" s="279">
        <f t="shared" si="17"/>
        <v>0</v>
      </c>
    </row>
    <row r="83" spans="16:20">
      <c r="P83" s="16"/>
    </row>
    <row r="84" spans="16:20">
      <c r="P84" s="16"/>
    </row>
    <row r="85" spans="16:20">
      <c r="P85" s="16"/>
    </row>
    <row r="86" spans="16:20">
      <c r="P86" s="16"/>
    </row>
    <row r="87" spans="16:20">
      <c r="P87" s="16"/>
    </row>
    <row r="88" spans="16:20">
      <c r="P88" s="16"/>
    </row>
    <row r="89" spans="16:20">
      <c r="P89" s="16"/>
    </row>
    <row r="90" spans="16:20">
      <c r="P90" s="16"/>
    </row>
    <row r="91" spans="16:20">
      <c r="P91" s="16"/>
    </row>
    <row r="92" spans="16:20">
      <c r="P92" s="16"/>
    </row>
    <row r="93" spans="16:20">
      <c r="P93" s="16"/>
    </row>
    <row r="94" spans="16:20">
      <c r="P94" s="16"/>
    </row>
    <row r="95" spans="16:20">
      <c r="P95" s="16"/>
    </row>
    <row r="96" spans="16:20">
      <c r="P96" s="16"/>
    </row>
    <row r="97" spans="16:16">
      <c r="P97" s="16"/>
    </row>
    <row r="98" spans="16:16">
      <c r="P98" s="16"/>
    </row>
    <row r="99" spans="16:16">
      <c r="P99" s="16"/>
    </row>
    <row r="100" spans="16:16">
      <c r="P100" s="16"/>
    </row>
    <row r="101" spans="16:16">
      <c r="P101" s="16"/>
    </row>
    <row r="102" spans="16:16">
      <c r="P102" s="16"/>
    </row>
    <row r="103" spans="16:16">
      <c r="P103" s="16"/>
    </row>
    <row r="104" spans="16:16">
      <c r="P104" s="16"/>
    </row>
    <row r="105" spans="16:16">
      <c r="P105" s="16"/>
    </row>
    <row r="106" spans="16:16">
      <c r="P106" s="16"/>
    </row>
    <row r="107" spans="16:16">
      <c r="P107" s="16"/>
    </row>
  </sheetData>
  <protectedRanges>
    <protectedRange password="CBEB" sqref="C8:X44 H1:Z8 C9:Z45" name="Plage1"/>
  </protectedRanges>
  <sortState ref="Q22:T82">
    <sortCondition ref="Q22:Q82"/>
    <sortCondition ref="R22:R82"/>
    <sortCondition ref="S22:S82"/>
    <sortCondition ref="T22:T82"/>
  </sortState>
  <dataConsolidate>
    <dataRefs count="1">
      <dataRef name="$D$10;$E$10"/>
    </dataRefs>
  </dataConsolidate>
  <mergeCells count="6">
    <mergeCell ref="E3:F3"/>
    <mergeCell ref="W20:X22"/>
    <mergeCell ref="W19:X19"/>
    <mergeCell ref="E4:F4"/>
    <mergeCell ref="E5:F5"/>
    <mergeCell ref="C6:E6"/>
  </mergeCells>
  <conditionalFormatting sqref="W16">
    <cfRule type="cellIs" dxfId="7" priority="4" operator="equal">
      <formula>"ERREUR"</formula>
    </cfRule>
    <cfRule type="containsText" dxfId="6" priority="5" operator="containsText" text="OK">
      <formula>NOT(ISERROR(SEARCH("OK",W16)))</formula>
    </cfRule>
  </conditionalFormatting>
  <conditionalFormatting sqref="X16">
    <cfRule type="containsText" dxfId="5" priority="2" operator="containsText" text="OK">
      <formula>NOT(ISERROR(SEARCH("OK",X16)))</formula>
    </cfRule>
    <cfRule type="containsText" dxfId="4" priority="3" operator="containsText" text="ERREUR">
      <formula>NOT(ISERROR(SEARCH("ERREUR",X16)))</formula>
    </cfRule>
  </conditionalFormatting>
  <conditionalFormatting sqref="G4:G5">
    <cfRule type="containsText" dxfId="3" priority="1" operator="containsText" text="0">
      <formula>NOT(ISERROR(SEARCH("0",G4)))</formula>
    </cfRule>
  </conditionalFormatting>
  <dataValidations count="23">
    <dataValidation type="list" allowBlank="1" showInputMessage="1" showErrorMessage="1" sqref="L27:L34">
      <formula1>OFFSET(colv,MATCH($M$26,cold,0)-1,0,COUNTIF(cold,$M$26))</formula1>
    </dataValidation>
    <dataValidation type="list" allowBlank="1" showInputMessage="1" showErrorMessage="1" sqref="L25 H9 H25 D25 D9 L9">
      <formula1>Tables!$G$7:$G$9</formula1>
    </dataValidation>
    <dataValidation showDropDown="1" showInputMessage="1" showErrorMessage="1" sqref="M10 I10:J10"/>
    <dataValidation type="list" allowBlank="1" showInputMessage="1" showErrorMessage="1" sqref="L11:L18">
      <formula1>OFFSET(colv,MATCH($M$10,cold,0)-1,0,COUNTIF(cold,$M$10))</formula1>
    </dataValidation>
    <dataValidation type="list" allowBlank="1" showInputMessage="1" showErrorMessage="1" sqref="H27:H35">
      <formula1>OFFSET(colv,MATCH($I$26,cold,0)-1,0,COUNTIF(cold,$I$26))</formula1>
    </dataValidation>
    <dataValidation type="list" allowBlank="1" showInputMessage="1" showErrorMessage="1" sqref="H11:H18">
      <formula1>OFFSET(colv,MATCH($I$10,cold,0)-1,0,COUNTIF(cold,$I$10))</formula1>
    </dataValidation>
    <dataValidation type="list" allowBlank="1" showInputMessage="1" showErrorMessage="1" sqref="D11:D22">
      <formula1>OFFSET(colv,MATCH($E$10,cold,0)-1,0,COUNTIF(cold,$E$10))</formula1>
    </dataValidation>
    <dataValidation type="list" allowBlank="1" showInputMessage="1" showErrorMessage="1" sqref="C31:C32">
      <formula1>Tables!$H$5:$H$11</formula1>
    </dataValidation>
    <dataValidation type="list" allowBlank="1" showInputMessage="1" showErrorMessage="1" sqref="C36">
      <formula1>Tables!$J$12:$J$13</formula1>
    </dataValidation>
    <dataValidation type="list" allowBlank="1" showInputMessage="1" showErrorMessage="1" sqref="C41">
      <formula1>Tables!$J$15:$J$18</formula1>
    </dataValidation>
    <dataValidation type="list" allowBlank="1" showInputMessage="1" showErrorMessage="1" sqref="C28">
      <formula1>Tables!$J$5:$J$10</formula1>
    </dataValidation>
    <dataValidation type="list" allowBlank="1" showInputMessage="1" showErrorMessage="1" sqref="C17:C18">
      <formula1>Tables!$H$13:$H$19</formula1>
    </dataValidation>
    <dataValidation allowBlank="1" showDropDown="1" showInputMessage="1" showErrorMessage="1" sqref="C16"/>
    <dataValidation type="list" showDropDown="1" showInputMessage="1" showErrorMessage="1" sqref="E10">
      <formula1>colc</formula1>
    </dataValidation>
    <dataValidation type="list" allowBlank="1" showInputMessage="1" showErrorMessage="1" sqref="D27:D43">
      <formula1>OFFSET(colv,MATCH($E$26,cold,0)-1,0,COUNTIF(cold,$E$26))</formula1>
    </dataValidation>
    <dataValidation type="list" allowBlank="1" showInputMessage="1" showErrorMessage="1" sqref="C5">
      <formula1>Tables!$B$55:$B$60</formula1>
    </dataValidation>
    <dataValidation type="list" allowBlank="1" showInputMessage="1" showErrorMessage="1" sqref="C3">
      <formula1>Tables!$G$1:$G$2</formula1>
    </dataValidation>
    <dataValidation type="list" allowBlank="1" showInputMessage="1" showErrorMessage="1" sqref="C4">
      <formula1>Tables!$B$4:$B$51</formula1>
    </dataValidation>
    <dataValidation type="list" allowBlank="1" showInputMessage="1" showErrorMessage="1" sqref="C6">
      <formula1>$U$19:$U$20</formula1>
    </dataValidation>
    <dataValidation type="list" allowBlank="1" showInputMessage="1" showErrorMessage="1" sqref="O5">
      <formula1>Tables!$G$5:$G$6</formula1>
    </dataValidation>
    <dataValidation type="list" allowBlank="1" showInputMessage="1" showErrorMessage="1" sqref="G3">
      <formula1>Tables!$H$1:$H$2</formula1>
    </dataValidation>
    <dataValidation type="list" allowBlank="1" showInputMessage="1" showErrorMessage="1" sqref="G4">
      <formula1>Tables2!$B$31:$AU$31</formula1>
    </dataValidation>
    <dataValidation type="list" allowBlank="1" showInputMessage="1" showErrorMessage="1" sqref="G5">
      <formula1>Tables2!$B$32:$BT$32</formula1>
    </dataValidation>
  </dataValidations>
  <hyperlinks>
    <hyperlink ref="K7" location="Etape2!A1" display="Etape Suivante !"/>
    <hyperlink ref="O45" location="Etape2!A1" display="Etape Suivante !"/>
  </hyperlink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46"/>
  <sheetViews>
    <sheetView workbookViewId="0">
      <selection activeCell="D38" sqref="D38"/>
    </sheetView>
  </sheetViews>
  <sheetFormatPr baseColWidth="10" defaultRowHeight="15"/>
  <cols>
    <col min="1" max="1" width="10.42578125" customWidth="1"/>
    <col min="2" max="2" width="22.85546875" customWidth="1"/>
    <col min="3" max="3" width="8.5703125" customWidth="1"/>
    <col min="4" max="4" width="87" customWidth="1"/>
    <col min="5" max="5" width="4.85546875" customWidth="1"/>
    <col min="6" max="6" width="24.85546875" customWidth="1"/>
    <col min="7" max="7" width="4.7109375" customWidth="1"/>
    <col min="8" max="8" width="4" customWidth="1"/>
    <col min="9" max="9" width="3.7109375" customWidth="1"/>
    <col min="10" max="10" width="21" customWidth="1"/>
    <col min="11" max="11" width="5" customWidth="1"/>
    <col min="12" max="12" width="4.42578125" customWidth="1"/>
    <col min="13" max="13" width="4.85546875" customWidth="1"/>
    <col min="14" max="14" width="18.7109375" customWidth="1"/>
    <col min="15" max="15" width="4" customWidth="1"/>
    <col min="16" max="16" width="3.7109375" customWidth="1"/>
    <col min="17" max="17" width="5.28515625" customWidth="1"/>
    <col min="18" max="18" width="19.28515625" customWidth="1"/>
    <col min="19" max="19" width="15" customWidth="1"/>
    <col min="20" max="20" width="22.28515625" customWidth="1"/>
    <col min="21" max="21" width="8.5703125" customWidth="1"/>
    <col min="22" max="22" width="31.140625" customWidth="1"/>
  </cols>
  <sheetData>
    <row r="1" spans="2:17" ht="19.5" thickBot="1">
      <c r="B1" s="331" t="s">
        <v>205</v>
      </c>
      <c r="D1" s="333" t="s">
        <v>671</v>
      </c>
      <c r="E1" s="332"/>
      <c r="F1" s="332"/>
      <c r="G1" s="332"/>
      <c r="H1" s="332"/>
      <c r="I1" s="332"/>
    </row>
    <row r="2" spans="2:17" ht="19.5" thickBot="1">
      <c r="D2" s="334" t="s">
        <v>672</v>
      </c>
      <c r="E2" s="332"/>
      <c r="F2" s="331" t="s">
        <v>206</v>
      </c>
      <c r="G2" s="332"/>
      <c r="H2" s="332"/>
      <c r="I2" s="332"/>
      <c r="Q2" s="17"/>
    </row>
    <row r="3" spans="2:17" ht="15.75" thickBot="1">
      <c r="B3" s="77" t="str">
        <f>Etape1!C3</f>
        <v>Humain</v>
      </c>
      <c r="Q3" s="198"/>
    </row>
    <row r="4" spans="2:17" ht="15.75" thickBot="1">
      <c r="B4" s="77" t="str">
        <f>Etape1!C4</f>
        <v>Barrens (Esclave)</v>
      </c>
      <c r="O4" s="197"/>
      <c r="P4" s="199"/>
    </row>
    <row r="5" spans="2:17" ht="15.75" thickBot="1">
      <c r="B5" s="335" t="s">
        <v>119</v>
      </c>
      <c r="C5" s="339">
        <f>SUM(M5,Q19)</f>
        <v>5</v>
      </c>
      <c r="F5" s="5" t="s">
        <v>3</v>
      </c>
      <c r="G5" s="241">
        <f>Etape1!$F$9</f>
        <v>2</v>
      </c>
      <c r="H5" s="235" t="s">
        <v>175</v>
      </c>
      <c r="I5" s="247">
        <f>SUM(G5,H5)</f>
        <v>2</v>
      </c>
      <c r="J5" s="5" t="s">
        <v>17</v>
      </c>
      <c r="K5" s="241">
        <f>Etape1!$J$9</f>
        <v>3</v>
      </c>
      <c r="L5" s="235" t="s">
        <v>175</v>
      </c>
      <c r="M5" s="247">
        <f>SUM(K5,L5)</f>
        <v>3</v>
      </c>
      <c r="N5" s="5" t="s">
        <v>9</v>
      </c>
      <c r="O5" s="241">
        <f>Etape1!$N$9</f>
        <v>2</v>
      </c>
      <c r="P5" s="235" t="s">
        <v>175</v>
      </c>
      <c r="Q5" s="254">
        <f>SUM(O5,P5)</f>
        <v>2</v>
      </c>
    </row>
    <row r="6" spans="2:17" ht="16.5" thickBot="1">
      <c r="B6" s="336" t="s">
        <v>182</v>
      </c>
      <c r="C6" s="340">
        <f>IF(B3="MUTANT",SUM(I19,Q5),0)</f>
        <v>0</v>
      </c>
      <c r="D6" s="343" t="s">
        <v>711</v>
      </c>
      <c r="F6" s="213" t="s">
        <v>113</v>
      </c>
      <c r="G6" s="251" t="str">
        <f>Etape1!$E$10</f>
        <v>n</v>
      </c>
      <c r="H6" s="252"/>
      <c r="I6" s="248"/>
      <c r="J6" s="214" t="s">
        <v>114</v>
      </c>
      <c r="K6" s="251" t="str">
        <f>Etape1!$I$10</f>
        <v>o</v>
      </c>
      <c r="L6" s="252"/>
      <c r="M6" s="253"/>
      <c r="N6" s="214" t="s">
        <v>115</v>
      </c>
      <c r="O6" s="251" t="str">
        <f>Etape1!$M$10</f>
        <v>n</v>
      </c>
      <c r="P6" s="252"/>
      <c r="Q6" s="248"/>
    </row>
    <row r="7" spans="2:17" ht="15.75">
      <c r="B7" s="337" t="s">
        <v>577</v>
      </c>
      <c r="C7" s="341">
        <v>0</v>
      </c>
      <c r="D7" s="343" t="s">
        <v>713</v>
      </c>
      <c r="F7" s="78" t="str">
        <f>Etape1!C11</f>
        <v>Acrobaties</v>
      </c>
      <c r="G7" s="242">
        <f>Etape1!F11</f>
        <v>0</v>
      </c>
      <c r="H7" s="224" t="s">
        <v>175</v>
      </c>
      <c r="I7" s="247">
        <f t="shared" ref="I7:I37" si="0">SUM(G7,H7)</f>
        <v>0</v>
      </c>
      <c r="J7" s="79" t="str">
        <f>Etape1!G11</f>
        <v>Armes de jet</v>
      </c>
      <c r="K7" s="242">
        <f>Etape1!J11</f>
        <v>0</v>
      </c>
      <c r="L7" s="237"/>
      <c r="M7" s="38">
        <f t="shared" ref="M7:M13" si="1">SUM(K7,L7)</f>
        <v>0</v>
      </c>
      <c r="N7" s="106" t="str">
        <f>Etape1!K11</f>
        <v>Déguisement</v>
      </c>
      <c r="O7" s="226">
        <f>Etape1!N11</f>
        <v>0</v>
      </c>
      <c r="P7" s="239" t="s">
        <v>175</v>
      </c>
      <c r="Q7" s="249">
        <f t="shared" ref="Q7:Q28" si="2">SUM(O7,P7)</f>
        <v>0</v>
      </c>
    </row>
    <row r="8" spans="2:17" ht="16.5" thickBot="1">
      <c r="B8" s="338" t="s">
        <v>578</v>
      </c>
      <c r="C8" s="342">
        <v>3</v>
      </c>
      <c r="D8" s="343" t="s">
        <v>712</v>
      </c>
      <c r="F8" s="79" t="str">
        <f>Etape1!C12</f>
        <v>Armes de poing</v>
      </c>
      <c r="G8" s="242">
        <f>Etape1!F12</f>
        <v>0</v>
      </c>
      <c r="H8" s="224" t="s">
        <v>175</v>
      </c>
      <c r="I8" s="249">
        <f t="shared" si="0"/>
        <v>0</v>
      </c>
      <c r="J8" s="79" t="str">
        <f>Etape1!G12</f>
        <v>[Armes lourdes]</v>
      </c>
      <c r="K8" s="242">
        <f>Etape1!J12</f>
        <v>0</v>
      </c>
      <c r="L8" s="237"/>
      <c r="M8" s="38">
        <f t="shared" si="1"/>
        <v>0</v>
      </c>
      <c r="N8" s="106" t="str">
        <f>Etape1!K12</f>
        <v>Discretion</v>
      </c>
      <c r="O8" s="242">
        <f>Etape1!N12</f>
        <v>0</v>
      </c>
      <c r="P8" s="224"/>
      <c r="Q8" s="249">
        <f t="shared" si="2"/>
        <v>0</v>
      </c>
    </row>
    <row r="9" spans="2:17" ht="15.75" thickBot="1">
      <c r="D9" s="99" t="s">
        <v>189</v>
      </c>
      <c r="F9" s="79" t="str">
        <f>Etape1!C13</f>
        <v>Armes de trait</v>
      </c>
      <c r="G9" s="242">
        <f>Etape1!F13</f>
        <v>0</v>
      </c>
      <c r="H9" s="224"/>
      <c r="I9" s="249">
        <f t="shared" si="0"/>
        <v>0</v>
      </c>
      <c r="J9" s="80" t="str">
        <f>Etape1!G13</f>
        <v>Athélisme</v>
      </c>
      <c r="K9" s="242">
        <f>Etape1!J13</f>
        <v>0</v>
      </c>
      <c r="L9" s="237"/>
      <c r="M9" s="38">
        <f t="shared" si="1"/>
        <v>0</v>
      </c>
      <c r="N9" s="106" t="str">
        <f>Etape1!K13</f>
        <v>Empathie</v>
      </c>
      <c r="O9" s="242">
        <f>Etape1!N13</f>
        <v>0</v>
      </c>
      <c r="P9" s="224"/>
      <c r="Q9" s="249">
        <f t="shared" si="2"/>
        <v>0</v>
      </c>
    </row>
    <row r="10" spans="2:17" ht="15.75" thickBot="1">
      <c r="B10" s="84" t="s">
        <v>574</v>
      </c>
      <c r="C10" s="97"/>
      <c r="D10" s="210">
        <f>SUM(C12:C22)</f>
        <v>0</v>
      </c>
      <c r="F10" s="79" t="str">
        <f>Etape1!C14</f>
        <v>Armes d'épaule</v>
      </c>
      <c r="G10" s="242">
        <f>Etape1!F14</f>
        <v>0</v>
      </c>
      <c r="H10" s="224"/>
      <c r="I10" s="249">
        <f t="shared" si="0"/>
        <v>0</v>
      </c>
      <c r="J10" s="80" t="str">
        <f>Etape1!G14</f>
        <v>Equitation</v>
      </c>
      <c r="K10" s="242">
        <f>Etape1!J14</f>
        <v>0</v>
      </c>
      <c r="L10" s="237"/>
      <c r="M10" s="38">
        <f t="shared" si="1"/>
        <v>0</v>
      </c>
      <c r="N10" s="106" t="str">
        <f>Etape1!K14</f>
        <v>[Falsification]</v>
      </c>
      <c r="O10" s="242">
        <f>Etape1!N14</f>
        <v>0</v>
      </c>
      <c r="P10" s="224"/>
      <c r="Q10" s="249">
        <f t="shared" si="2"/>
        <v>0</v>
      </c>
    </row>
    <row r="11" spans="2:17" ht="15.75" thickBot="1">
      <c r="B11" s="85" t="s">
        <v>287</v>
      </c>
      <c r="C11" s="98" t="s">
        <v>201</v>
      </c>
      <c r="D11" s="85" t="s">
        <v>286</v>
      </c>
      <c r="F11" s="79" t="str">
        <f>Etape1!C15</f>
        <v>[Armes emb.]</v>
      </c>
      <c r="G11" s="242">
        <f>Etape1!F15</f>
        <v>1</v>
      </c>
      <c r="H11" s="224"/>
      <c r="I11" s="249">
        <f t="shared" si="0"/>
        <v>1</v>
      </c>
      <c r="J11" s="79" t="str">
        <f>Etape1!G15</f>
        <v>Mêlée</v>
      </c>
      <c r="K11" s="242">
        <f>Etape1!J15</f>
        <v>0</v>
      </c>
      <c r="L11" s="237"/>
      <c r="M11" s="38">
        <f t="shared" si="1"/>
        <v>0</v>
      </c>
      <c r="N11" s="106" t="str">
        <f>Etape1!K15</f>
        <v>Recherche</v>
      </c>
      <c r="O11" s="242">
        <f>Etape1!N15</f>
        <v>0</v>
      </c>
      <c r="P11" s="224"/>
      <c r="Q11" s="249">
        <f t="shared" si="2"/>
        <v>0</v>
      </c>
    </row>
    <row r="12" spans="2:17">
      <c r="B12" s="255" t="str">
        <f>IF(B3="Humain","(0) Violent","")</f>
        <v>(0) Violent</v>
      </c>
      <c r="C12" s="100">
        <f>IF(B12="(0) Violent",0,"")</f>
        <v>0</v>
      </c>
      <c r="D12" s="257" t="str">
        <f>IF(B12="(0) Violent","1D MF Gratuit en toute circonstance","")</f>
        <v>1D MF Gratuit en toute circonstance</v>
      </c>
      <c r="F12" s="78" t="str">
        <f>Etape1!C16</f>
        <v>Artisanat 1 (                  )</v>
      </c>
      <c r="G12" s="242">
        <f>Etape1!F16</f>
        <v>0</v>
      </c>
      <c r="H12" s="224"/>
      <c r="I12" s="249">
        <f t="shared" si="0"/>
        <v>0</v>
      </c>
      <c r="J12" s="80" t="str">
        <f>Etape1!G16</f>
        <v>Environnement (Espace)</v>
      </c>
      <c r="K12" s="242">
        <f>Etape1!J16</f>
        <v>0</v>
      </c>
      <c r="L12" s="237"/>
      <c r="M12" s="38">
        <f t="shared" si="1"/>
        <v>0</v>
      </c>
      <c r="N12" s="106" t="str">
        <f>Etape1!K16</f>
        <v>[Senseurs]</v>
      </c>
      <c r="O12" s="242">
        <f>Etape1!N16</f>
        <v>1</v>
      </c>
      <c r="P12" s="224"/>
      <c r="Q12" s="249">
        <f t="shared" si="2"/>
        <v>1</v>
      </c>
    </row>
    <row r="13" spans="2:17">
      <c r="B13" s="114">
        <v>0</v>
      </c>
      <c r="C13" s="100">
        <f>VLOOKUP(B13,Tables!$B$63:$D$154,2)</f>
        <v>0</v>
      </c>
      <c r="D13" s="114" t="str">
        <f>VLOOKUP(B13,Tables!$B$63:$D$154,3)</f>
        <v>/</v>
      </c>
      <c r="F13" s="78" t="str">
        <f>Etape1!C17</f>
        <v>Artisanat  (            )</v>
      </c>
      <c r="G13" s="242">
        <f>Etape1!F17</f>
        <v>0</v>
      </c>
      <c r="H13" s="224"/>
      <c r="I13" s="249">
        <f t="shared" si="0"/>
        <v>0</v>
      </c>
      <c r="J13" s="80" t="str">
        <f>Etape1!G17</f>
        <v>Environnement 1 (              )</v>
      </c>
      <c r="K13" s="242">
        <f>Etape1!J17</f>
        <v>1</v>
      </c>
      <c r="L13" s="237"/>
      <c r="M13" s="38">
        <f t="shared" si="1"/>
        <v>1</v>
      </c>
      <c r="N13" s="106" t="str">
        <f>Etape1!K17</f>
        <v>[Syst. Sécu]</v>
      </c>
      <c r="O13" s="242">
        <f>Etape1!N17</f>
        <v>0</v>
      </c>
      <c r="P13" s="224"/>
      <c r="Q13" s="249">
        <f t="shared" si="2"/>
        <v>0</v>
      </c>
    </row>
    <row r="14" spans="2:17">
      <c r="B14" s="114">
        <v>0</v>
      </c>
      <c r="C14" s="100">
        <f>VLOOKUP(B14,Tables!$B$63:$D$154,2)</f>
        <v>0</v>
      </c>
      <c r="D14" s="114" t="str">
        <f>VLOOKUP(B14,Tables!$B$63:$D$154,3)</f>
        <v>/</v>
      </c>
      <c r="F14" s="78" t="str">
        <f>Etape1!C18</f>
        <v>Artisanat  (            )</v>
      </c>
      <c r="G14" s="242">
        <f>Etape1!F18</f>
        <v>0</v>
      </c>
      <c r="H14" s="224"/>
      <c r="I14" s="249">
        <f t="shared" si="0"/>
        <v>0</v>
      </c>
      <c r="J14" s="80" t="str">
        <f>Etape1!G18</f>
        <v>Environnement 2 (              )</v>
      </c>
      <c r="K14" s="242">
        <f>Etape1!J18</f>
        <v>3</v>
      </c>
      <c r="L14" s="237"/>
      <c r="M14" s="38">
        <f t="shared" ref="M11:M14" si="3">SUM(K14,L14)</f>
        <v>3</v>
      </c>
      <c r="N14" s="106" t="str">
        <f>Etape1!K18</f>
        <v>Vigilance</v>
      </c>
      <c r="O14" s="242">
        <f>Etape1!N18</f>
        <v>0</v>
      </c>
      <c r="P14" s="224"/>
      <c r="Q14" s="249">
        <f t="shared" si="2"/>
        <v>0</v>
      </c>
    </row>
    <row r="15" spans="2:17">
      <c r="B15" s="114">
        <v>0</v>
      </c>
      <c r="C15" s="100">
        <f>VLOOKUP(B15,Tables!$B$63:$D$154,2)</f>
        <v>0</v>
      </c>
      <c r="D15" s="114" t="str">
        <f>VLOOKUP(B15,Tables!$B$63:$D$154,3)</f>
        <v>/</v>
      </c>
      <c r="F15" s="79" t="str">
        <f>Etape1!C19</f>
        <v>[Pilotage (Voile)]</v>
      </c>
      <c r="G15" s="242">
        <f>Etape1!F19</f>
        <v>0</v>
      </c>
      <c r="H15" s="224"/>
      <c r="I15" s="249">
        <f t="shared" si="0"/>
        <v>0</v>
      </c>
      <c r="J15" s="78"/>
      <c r="K15" s="245"/>
      <c r="L15" s="238"/>
      <c r="M15" s="38"/>
      <c r="N15" s="208"/>
      <c r="O15" s="230"/>
      <c r="P15" s="223"/>
      <c r="Q15" s="249"/>
    </row>
    <row r="16" spans="2:17">
      <c r="B16" s="114">
        <v>0</v>
      </c>
      <c r="C16" s="100">
        <f>VLOOKUP(B16,Tables!$B$63:$D$154,2)</f>
        <v>0</v>
      </c>
      <c r="D16" s="114" t="str">
        <f>VLOOKUP(B16,Tables!$B$63:$D$154,3)</f>
        <v>/</v>
      </c>
      <c r="F16" s="79" t="str">
        <f>Etape1!C20</f>
        <v>[Pilotage1  (                  )]</v>
      </c>
      <c r="G16" s="242">
        <f>Etape1!F20</f>
        <v>1</v>
      </c>
      <c r="H16" s="224"/>
      <c r="I16" s="249">
        <f t="shared" si="0"/>
        <v>1</v>
      </c>
      <c r="J16" s="78"/>
      <c r="K16" s="245"/>
      <c r="L16" s="238"/>
      <c r="M16" s="38"/>
      <c r="N16" s="208"/>
      <c r="O16" s="230"/>
      <c r="P16" s="223"/>
      <c r="Q16" s="249"/>
    </row>
    <row r="17" spans="2:17">
      <c r="B17" s="114">
        <v>0</v>
      </c>
      <c r="C17" s="100">
        <f>VLOOKUP(B17,Tables!$B$63:$D$154,2)</f>
        <v>0</v>
      </c>
      <c r="D17" s="114" t="str">
        <f>VLOOKUP(B17,Tables!$B$63:$D$154,3)</f>
        <v>/</v>
      </c>
      <c r="F17" s="79" t="str">
        <f>Etape1!C21</f>
        <v>[Pilotage2  (                  )]</v>
      </c>
      <c r="G17" s="242">
        <f>Etape1!F21</f>
        <v>1</v>
      </c>
      <c r="H17" s="224"/>
      <c r="I17" s="249">
        <f t="shared" si="0"/>
        <v>1</v>
      </c>
      <c r="J17" s="78"/>
      <c r="K17" s="230"/>
      <c r="L17" s="223"/>
      <c r="M17" s="38"/>
      <c r="N17" s="208"/>
      <c r="O17" s="230"/>
      <c r="P17" s="223"/>
      <c r="Q17" s="249"/>
    </row>
    <row r="18" spans="2:17" ht="15.75" thickBot="1">
      <c r="B18" s="114">
        <v>0</v>
      </c>
      <c r="C18" s="100">
        <f>VLOOKUP(B18,Tables!$B$63:$D$154,2)</f>
        <v>0</v>
      </c>
      <c r="D18" s="114" t="str">
        <f>VLOOKUP(B18,Tables!$B$63:$D$154,3)</f>
        <v>/</v>
      </c>
      <c r="F18" s="78" t="str">
        <f>Etape1!C22</f>
        <v>Technologie</v>
      </c>
      <c r="G18" s="242">
        <f>Etape1!F22</f>
        <v>0</v>
      </c>
      <c r="H18" s="224"/>
      <c r="I18" s="250">
        <f t="shared" si="0"/>
        <v>0</v>
      </c>
      <c r="J18" s="78"/>
      <c r="K18" s="230"/>
      <c r="L18" s="223"/>
      <c r="M18" s="38"/>
      <c r="N18" s="208"/>
      <c r="O18" s="244"/>
      <c r="P18" s="231"/>
      <c r="Q18" s="249"/>
    </row>
    <row r="19" spans="2:17" ht="15.75" thickBot="1">
      <c r="B19" s="114">
        <v>0</v>
      </c>
      <c r="C19" s="100">
        <f>VLOOKUP(B19,Tables!$B$63:$D$154,2)</f>
        <v>0</v>
      </c>
      <c r="D19" s="114" t="str">
        <f>VLOOKUP(B19,Tables!$B$63:$D$154,3)</f>
        <v>/</v>
      </c>
      <c r="F19" s="5" t="s">
        <v>6</v>
      </c>
      <c r="G19" s="241">
        <f>Etape1!$F$25</f>
        <v>2</v>
      </c>
      <c r="H19" s="235"/>
      <c r="I19" s="247">
        <f t="shared" si="0"/>
        <v>2</v>
      </c>
      <c r="J19" s="5" t="s">
        <v>16</v>
      </c>
      <c r="K19" s="241">
        <f>Etape1!$J$25</f>
        <v>2</v>
      </c>
      <c r="L19" s="235"/>
      <c r="M19" s="70">
        <f>SUM(K19,L19)</f>
        <v>2</v>
      </c>
      <c r="N19" s="5" t="s">
        <v>22</v>
      </c>
      <c r="O19" s="246">
        <f>Etape1!$N$25</f>
        <v>2</v>
      </c>
      <c r="P19" s="240"/>
      <c r="Q19" s="254">
        <f t="shared" si="2"/>
        <v>2</v>
      </c>
    </row>
    <row r="20" spans="2:17" ht="15.75" thickBot="1">
      <c r="B20" s="114">
        <v>0</v>
      </c>
      <c r="C20" s="100">
        <f>VLOOKUP(B20,Tables!$B$63:$D$154,2)</f>
        <v>0</v>
      </c>
      <c r="D20" s="114" t="str">
        <f>VLOOKUP(B20,Tables!$B$63:$D$154,3)</f>
        <v>/</v>
      </c>
      <c r="F20" s="213" t="s">
        <v>116</v>
      </c>
      <c r="G20" s="251" t="str">
        <f>Etape1!$E$26</f>
        <v>n</v>
      </c>
      <c r="H20" s="252"/>
      <c r="I20" s="248"/>
      <c r="J20" s="214" t="s">
        <v>117</v>
      </c>
      <c r="K20" s="251" t="str">
        <f>Etape1!$I$26</f>
        <v>o</v>
      </c>
      <c r="L20" s="252"/>
      <c r="M20" s="253"/>
      <c r="N20" s="214" t="s">
        <v>118</v>
      </c>
      <c r="O20" s="251" t="str">
        <f>Etape1!$M$26</f>
        <v>o</v>
      </c>
      <c r="P20" s="252"/>
      <c r="Q20" s="248"/>
    </row>
    <row r="21" spans="2:17">
      <c r="B21" s="114">
        <v>0</v>
      </c>
      <c r="C21" s="100">
        <f>VLOOKUP(B21,Tables!$B$63:$D$154,2)</f>
        <v>0</v>
      </c>
      <c r="D21" s="114" t="str">
        <f>VLOOKUP(B21,Tables!$B$63:$D$154,3)</f>
        <v>/</v>
      </c>
      <c r="F21" s="7" t="str">
        <f>Etape1!C27</f>
        <v>Analyse</v>
      </c>
      <c r="G21" s="242">
        <f>Etape1!F27</f>
        <v>0</v>
      </c>
      <c r="H21" s="224"/>
      <c r="I21" s="247">
        <f t="shared" si="0"/>
        <v>0</v>
      </c>
      <c r="J21" s="2" t="str">
        <f>Etape1!G27</f>
        <v>Baratin</v>
      </c>
      <c r="K21" s="242">
        <f>Etape1!J27</f>
        <v>1</v>
      </c>
      <c r="L21" s="224"/>
      <c r="M21" s="38">
        <f>SUM(K21,L21)</f>
        <v>1</v>
      </c>
      <c r="N21" s="2" t="str">
        <f>Etape1!K27</f>
        <v>Commandement</v>
      </c>
      <c r="O21" s="227">
        <f>Etape1!N27</f>
        <v>0</v>
      </c>
      <c r="P21" s="224"/>
      <c r="Q21" s="249">
        <f t="shared" si="2"/>
        <v>0</v>
      </c>
    </row>
    <row r="22" spans="2:17" ht="15.75" thickBot="1">
      <c r="B22" s="114">
        <v>0</v>
      </c>
      <c r="C22" s="100">
        <f>VLOOKUP(B22,Tables!$B$63:$D$154,2)</f>
        <v>0</v>
      </c>
      <c r="D22" s="114" t="str">
        <f>VLOOKUP(B22,Tables!$B$63:$D$154,3)</f>
        <v>/</v>
      </c>
      <c r="F22" s="7" t="str">
        <f>Etape1!C28</f>
        <v>Arts (            )</v>
      </c>
      <c r="G22" s="242">
        <f>Etape1!F28</f>
        <v>0</v>
      </c>
      <c r="H22" s="224"/>
      <c r="I22" s="249">
        <f t="shared" si="0"/>
        <v>0</v>
      </c>
      <c r="J22" s="2" t="str">
        <f>Etape1!G28</f>
        <v>Bureaucratie</v>
      </c>
      <c r="K22" s="242">
        <f>Etape1!J28</f>
        <v>0</v>
      </c>
      <c r="L22" s="224"/>
      <c r="M22" s="38">
        <f t="shared" ref="M22:M29" si="4">SUM(K22,L22)</f>
        <v>0</v>
      </c>
      <c r="N22" s="3" t="str">
        <f>Etape1!K28</f>
        <v>[Démolition]</v>
      </c>
      <c r="O22" s="227">
        <f>Etape1!N28</f>
        <v>0</v>
      </c>
      <c r="P22" s="224"/>
      <c r="Q22" s="249">
        <f t="shared" si="2"/>
        <v>0</v>
      </c>
    </row>
    <row r="23" spans="2:17" ht="15.75" thickBot="1">
      <c r="B23" s="85" t="s">
        <v>288</v>
      </c>
      <c r="C23" s="85"/>
      <c r="D23" s="211">
        <f>SUM(C24:C34)</f>
        <v>0</v>
      </c>
      <c r="F23" s="7" t="str">
        <f>Etape1!C29</f>
        <v>[Cartographie]</v>
      </c>
      <c r="G23" s="242">
        <f>Etape1!F29</f>
        <v>0</v>
      </c>
      <c r="H23" s="224" t="s">
        <v>175</v>
      </c>
      <c r="I23" s="249">
        <f t="shared" si="0"/>
        <v>0</v>
      </c>
      <c r="J23" s="2" t="str">
        <f>Etape1!G29</f>
        <v>Comédie</v>
      </c>
      <c r="K23" s="242">
        <f>Etape1!J29</f>
        <v>0</v>
      </c>
      <c r="L23" s="224"/>
      <c r="M23" s="38">
        <f t="shared" si="4"/>
        <v>0</v>
      </c>
      <c r="N23" s="3" t="str">
        <f>Etape1!K29</f>
        <v>Détermination</v>
      </c>
      <c r="O23" s="227">
        <f>Etape1!N29</f>
        <v>0</v>
      </c>
      <c r="P23" s="224" t="s">
        <v>175</v>
      </c>
      <c r="Q23" s="249">
        <f t="shared" si="2"/>
        <v>0</v>
      </c>
    </row>
    <row r="24" spans="2:17">
      <c r="B24" s="256" t="str">
        <f>IF(B3="Mutant","(0) Tête de mutant","")</f>
        <v/>
      </c>
      <c r="C24" s="101" t="str">
        <f>IF(B24="(0) Tête de mutant",0,"")</f>
        <v/>
      </c>
      <c r="D24" s="258" t="str">
        <f>IF(B24="(0) Tête de mutant",Tables!H149,"")</f>
        <v/>
      </c>
      <c r="F24" s="7" t="str">
        <f>Etape1!C30</f>
        <v>Connaissance (Barrens)</v>
      </c>
      <c r="G24" s="242">
        <f>Etape1!F30</f>
        <v>3</v>
      </c>
      <c r="H24" s="224"/>
      <c r="I24" s="249">
        <f t="shared" si="0"/>
        <v>3</v>
      </c>
      <c r="J24" s="2" t="str">
        <f>Etape1!G30</f>
        <v>Commerce</v>
      </c>
      <c r="K24" s="242">
        <f>Etape1!J30</f>
        <v>0</v>
      </c>
      <c r="L24" s="224"/>
      <c r="M24" s="38">
        <f t="shared" si="4"/>
        <v>0</v>
      </c>
      <c r="N24" s="2" t="str">
        <f>Etape1!K30</f>
        <v>Dressage</v>
      </c>
      <c r="O24" s="227">
        <f>Etape1!N30</f>
        <v>0</v>
      </c>
      <c r="P24" s="224"/>
      <c r="Q24" s="249">
        <f t="shared" si="2"/>
        <v>0</v>
      </c>
    </row>
    <row r="25" spans="2:17">
      <c r="B25" s="116">
        <v>0</v>
      </c>
      <c r="C25" s="101">
        <f>VLOOKUP(B25,Tables!$F$63:$H$142,2)</f>
        <v>0</v>
      </c>
      <c r="D25" s="209" t="str">
        <f>VLOOKUP(B25,Tables!$F$63:$H$142,3)</f>
        <v>/</v>
      </c>
      <c r="F25" s="7" t="str">
        <f>Etape1!C31</f>
        <v>Connaissance (            )</v>
      </c>
      <c r="G25" s="242">
        <f>Etape1!F31</f>
        <v>0</v>
      </c>
      <c r="H25" s="224"/>
      <c r="I25" s="249">
        <f t="shared" si="0"/>
        <v>0</v>
      </c>
      <c r="J25" s="2" t="str">
        <f>Etape1!G31</f>
        <v>Danse</v>
      </c>
      <c r="K25" s="242">
        <f>Etape1!J31</f>
        <v>0</v>
      </c>
      <c r="L25" s="224"/>
      <c r="M25" s="38">
        <f t="shared" si="4"/>
        <v>0</v>
      </c>
      <c r="N25" s="2" t="str">
        <f>Etape1!K31</f>
        <v>Illégalités</v>
      </c>
      <c r="O25" s="227">
        <f>Etape1!N31</f>
        <v>0</v>
      </c>
      <c r="P25" s="224"/>
      <c r="Q25" s="249">
        <f t="shared" si="2"/>
        <v>0</v>
      </c>
    </row>
    <row r="26" spans="2:17">
      <c r="B26" s="116">
        <v>0</v>
      </c>
      <c r="C26" s="101">
        <f>VLOOKUP(B26,Tables!$F$63:$H$142,2)</f>
        <v>0</v>
      </c>
      <c r="D26" s="209" t="str">
        <f>VLOOKUP(B26,Tables!$F$63:$H$142,3)</f>
        <v>/</v>
      </c>
      <c r="F26" s="7" t="str">
        <f>Etape1!C32</f>
        <v>Connaissance (            )</v>
      </c>
      <c r="G26" s="242">
        <f>Etape1!F32</f>
        <v>0</v>
      </c>
      <c r="H26" s="224"/>
      <c r="I26" s="249">
        <f t="shared" si="0"/>
        <v>0</v>
      </c>
      <c r="J26" s="2" t="str">
        <f>Etape1!G32</f>
        <v>Eloquence</v>
      </c>
      <c r="K26" s="242">
        <f>Etape1!J32</f>
        <v>0</v>
      </c>
      <c r="L26" s="224"/>
      <c r="M26" s="38">
        <f t="shared" si="4"/>
        <v>0</v>
      </c>
      <c r="N26" s="3" t="str">
        <f>Etape1!K32</f>
        <v>Intimidation</v>
      </c>
      <c r="O26" s="227">
        <f>Etape1!N32</f>
        <v>0</v>
      </c>
      <c r="P26" s="224"/>
      <c r="Q26" s="249">
        <f t="shared" si="2"/>
        <v>0</v>
      </c>
    </row>
    <row r="27" spans="2:17">
      <c r="B27" s="116">
        <v>0</v>
      </c>
      <c r="C27" s="101">
        <f>VLOOKUP(B27,Tables!$F$63:$H$142,2)</f>
        <v>0</v>
      </c>
      <c r="D27" s="209" t="str">
        <f>VLOOKUP(B27,Tables!$F$63:$H$142,3)</f>
        <v>/</v>
      </c>
      <c r="F27" s="7" t="str">
        <f>Etape1!C33</f>
        <v>[Esotérisme]</v>
      </c>
      <c r="G27" s="242">
        <f>Etape1!F33</f>
        <v>0</v>
      </c>
      <c r="H27" s="224"/>
      <c r="I27" s="249">
        <f t="shared" si="0"/>
        <v>0</v>
      </c>
      <c r="J27" s="2" t="str">
        <f>Etape1!G33</f>
        <v>Etiquette</v>
      </c>
      <c r="K27" s="242">
        <f>Etape1!J33</f>
        <v>0</v>
      </c>
      <c r="L27" s="224"/>
      <c r="M27" s="38">
        <f t="shared" si="4"/>
        <v>0</v>
      </c>
      <c r="N27" s="2" t="str">
        <f>Etape1!K33</f>
        <v>Premiers soins</v>
      </c>
      <c r="O27" s="227">
        <f>Etape1!N33</f>
        <v>0</v>
      </c>
      <c r="P27" s="224"/>
      <c r="Q27" s="249">
        <f t="shared" si="2"/>
        <v>0</v>
      </c>
    </row>
    <row r="28" spans="2:17">
      <c r="B28" s="116">
        <v>0</v>
      </c>
      <c r="C28" s="101">
        <f>VLOOKUP(B28,Tables!$F$63:$H$142,2)</f>
        <v>0</v>
      </c>
      <c r="D28" s="209" t="str">
        <f>VLOOKUP(B28,Tables!$F$63:$H$142,3)</f>
        <v>/</v>
      </c>
      <c r="F28" s="7" t="str">
        <f>Etape1!C34</f>
        <v>Histoire</v>
      </c>
      <c r="G28" s="242">
        <f>Etape1!F34</f>
        <v>0</v>
      </c>
      <c r="H28" s="224"/>
      <c r="I28" s="249">
        <f t="shared" si="0"/>
        <v>0</v>
      </c>
      <c r="J28" s="2" t="str">
        <f>Etape1!G34</f>
        <v>Jeux</v>
      </c>
      <c r="K28" s="242">
        <f>Etape1!J34</f>
        <v>0</v>
      </c>
      <c r="L28" s="224"/>
      <c r="M28" s="38">
        <f t="shared" si="4"/>
        <v>0</v>
      </c>
      <c r="N28" s="2" t="str">
        <f>Etape1!K34</f>
        <v>Tactique</v>
      </c>
      <c r="O28" s="227">
        <f>Etape1!N34</f>
        <v>0</v>
      </c>
      <c r="P28" s="224"/>
      <c r="Q28" s="249">
        <f t="shared" si="2"/>
        <v>0</v>
      </c>
    </row>
    <row r="29" spans="2:17">
      <c r="B29" s="116">
        <v>0</v>
      </c>
      <c r="C29" s="101">
        <f>VLOOKUP(B29,Tables!$F$63:$H$142,2)</f>
        <v>0</v>
      </c>
      <c r="D29" s="209" t="str">
        <f>VLOOKUP(B29,Tables!$F$63:$H$142,3)</f>
        <v>/</v>
      </c>
      <c r="F29" s="7" t="str">
        <f>Etape1!C35</f>
        <v>[Ingénierie]</v>
      </c>
      <c r="G29" s="242">
        <f>Etape1!F35</f>
        <v>1</v>
      </c>
      <c r="H29" s="224"/>
      <c r="I29" s="249">
        <f t="shared" si="0"/>
        <v>1</v>
      </c>
      <c r="J29" s="3" t="str">
        <f>Etape1!G35</f>
        <v>Séduction</v>
      </c>
      <c r="K29" s="242">
        <f>Etape1!J35</f>
        <v>0</v>
      </c>
      <c r="L29" s="224"/>
      <c r="M29" s="38">
        <f t="shared" si="4"/>
        <v>0</v>
      </c>
      <c r="N29" s="78"/>
      <c r="O29" s="230"/>
      <c r="P29" s="223"/>
      <c r="Q29" s="27"/>
    </row>
    <row r="30" spans="2:17">
      <c r="B30" s="116">
        <v>0</v>
      </c>
      <c r="C30" s="101">
        <f>VLOOKUP(B30,Tables!$F$63:$H$142,2)</f>
        <v>0</v>
      </c>
      <c r="D30" s="209" t="str">
        <f>VLOOKUP(B30,Tables!$F$63:$H$142,3)</f>
        <v>/</v>
      </c>
      <c r="F30" s="7" t="str">
        <f>Etape1!C36</f>
        <v>[Langue  (            )]</v>
      </c>
      <c r="G30" s="242">
        <f>Etape1!F36</f>
        <v>0</v>
      </c>
      <c r="H30" s="224"/>
      <c r="I30" s="249">
        <f t="shared" si="0"/>
        <v>0</v>
      </c>
      <c r="J30" s="2"/>
      <c r="K30" s="230"/>
      <c r="L30" s="223"/>
      <c r="M30" s="27"/>
      <c r="N30" s="78"/>
      <c r="O30" s="230"/>
      <c r="P30" s="223"/>
      <c r="Q30" s="27"/>
    </row>
    <row r="31" spans="2:17">
      <c r="B31" s="116"/>
      <c r="C31" s="101">
        <f>VLOOKUP(B31,Tables!$F$63:$H$142,2)</f>
        <v>0</v>
      </c>
      <c r="D31" s="209" t="str">
        <f>VLOOKUP(B31,Tables!$F$63:$H$142,3)</f>
        <v>/</v>
      </c>
      <c r="F31" s="7" t="str">
        <f>Etape1!C37</f>
        <v>[Médecine]</v>
      </c>
      <c r="G31" s="242">
        <f>Etape1!F37</f>
        <v>0</v>
      </c>
      <c r="H31" s="224"/>
      <c r="I31" s="249">
        <f t="shared" si="0"/>
        <v>0</v>
      </c>
      <c r="J31" s="2"/>
      <c r="K31" s="230"/>
      <c r="L31" s="223"/>
      <c r="M31" s="27"/>
      <c r="N31" s="78"/>
      <c r="O31" s="230"/>
      <c r="P31" s="223"/>
      <c r="Q31" s="27"/>
    </row>
    <row r="32" spans="2:17">
      <c r="B32" s="116"/>
      <c r="C32" s="101">
        <f>VLOOKUP(B32,Tables!$F$63:$H$142,2)</f>
        <v>0</v>
      </c>
      <c r="D32" s="209" t="str">
        <f>VLOOKUP(B32,Tables!$F$63:$H$142,3)</f>
        <v>/</v>
      </c>
      <c r="F32" s="7" t="str">
        <f>Etape1!C38</f>
        <v>Navigation</v>
      </c>
      <c r="G32" s="242">
        <f>Etape1!F38</f>
        <v>1</v>
      </c>
      <c r="H32" s="224"/>
      <c r="I32" s="249">
        <f t="shared" si="0"/>
        <v>1</v>
      </c>
      <c r="J32" s="2"/>
      <c r="K32" s="230"/>
      <c r="L32" s="223"/>
      <c r="M32" s="27"/>
      <c r="N32" s="78"/>
      <c r="O32" s="230"/>
      <c r="P32" s="223"/>
      <c r="Q32" s="27"/>
    </row>
    <row r="33" spans="2:18">
      <c r="B33" s="116"/>
      <c r="C33" s="101">
        <f>VLOOKUP(B33,Tables!$F$63:$H$142,2)</f>
        <v>0</v>
      </c>
      <c r="D33" s="209" t="str">
        <f>VLOOKUP(B33,Tables!$F$63:$H$142,3)</f>
        <v>/</v>
      </c>
      <c r="F33" s="7" t="str">
        <f>Etape1!C39</f>
        <v>[Sciences Solaires]</v>
      </c>
      <c r="G33" s="242">
        <f>Etape1!F39</f>
        <v>0</v>
      </c>
      <c r="H33" s="224"/>
      <c r="I33" s="249">
        <f t="shared" si="0"/>
        <v>0</v>
      </c>
      <c r="J33" s="2"/>
      <c r="K33" s="230"/>
      <c r="L33" s="223"/>
      <c r="M33" s="27"/>
      <c r="N33" s="78"/>
      <c r="O33" s="230"/>
      <c r="P33" s="223"/>
      <c r="Q33" s="27"/>
    </row>
    <row r="34" spans="2:18" ht="15.75" thickBot="1">
      <c r="B34" s="116"/>
      <c r="C34" s="101">
        <f>VLOOKUP(B34,Tables!$F$63:$H$142,2)</f>
        <v>0</v>
      </c>
      <c r="D34" s="209" t="str">
        <f>VLOOKUP(B34,Tables!$F$63:$H$142,3)</f>
        <v>/</v>
      </c>
      <c r="F34" s="7" t="str">
        <f>Etape1!C40</f>
        <v>[Sciences Stellaires]</v>
      </c>
      <c r="G34" s="242">
        <f>Etape1!F40</f>
        <v>1</v>
      </c>
      <c r="H34" s="224"/>
      <c r="I34" s="249">
        <f t="shared" si="0"/>
        <v>1</v>
      </c>
      <c r="J34" s="2"/>
      <c r="K34" s="230"/>
      <c r="L34" s="223"/>
      <c r="M34" s="27"/>
      <c r="N34" s="78"/>
      <c r="O34" s="230"/>
      <c r="P34" s="223"/>
      <c r="Q34" s="27"/>
    </row>
    <row r="35" spans="2:18" ht="15.75" thickBot="1">
      <c r="B35" s="217" t="str">
        <f>IF(SUM(C24:C34)&lt;11,"","10 Points de défauts max !")</f>
        <v/>
      </c>
      <c r="C35" s="212"/>
      <c r="D35" s="218" t="str">
        <f>IF(D10=D23,"","Répartition incorrecte")</f>
        <v/>
      </c>
      <c r="F35" s="7" t="str">
        <f>Etape1!C41</f>
        <v>[Sorcelerie  (            )]</v>
      </c>
      <c r="G35" s="242">
        <f>Etape1!F41</f>
        <v>0</v>
      </c>
      <c r="H35" s="224"/>
      <c r="I35" s="249">
        <f t="shared" si="0"/>
        <v>0</v>
      </c>
      <c r="J35" s="2"/>
      <c r="K35" s="230"/>
      <c r="L35" s="223"/>
      <c r="M35" s="27"/>
      <c r="N35" s="78"/>
      <c r="O35" s="230"/>
      <c r="P35" s="223"/>
      <c r="Q35" s="27"/>
    </row>
    <row r="36" spans="2:18">
      <c r="F36" s="7" t="str">
        <f>Etape1!C42</f>
        <v>Stratégie</v>
      </c>
      <c r="G36" s="242">
        <f>Etape1!F42</f>
        <v>0</v>
      </c>
      <c r="H36" s="224"/>
      <c r="I36" s="249">
        <f t="shared" si="0"/>
        <v>0</v>
      </c>
      <c r="J36" s="2"/>
      <c r="K36" s="230"/>
      <c r="L36" s="223"/>
      <c r="M36" s="27"/>
      <c r="N36" s="78"/>
      <c r="O36" s="230"/>
      <c r="P36" s="223"/>
      <c r="Q36" s="27"/>
    </row>
    <row r="37" spans="2:18" ht="15.75" thickBot="1">
      <c r="F37" s="13" t="str">
        <f>Etape1!C43</f>
        <v>[TechnoCog]</v>
      </c>
      <c r="G37" s="243">
        <f>Etape1!F43</f>
        <v>0</v>
      </c>
      <c r="H37" s="236"/>
      <c r="I37" s="250">
        <f t="shared" si="0"/>
        <v>0</v>
      </c>
      <c r="J37" s="4"/>
      <c r="K37" s="244"/>
      <c r="L37" s="231"/>
      <c r="M37" s="232"/>
      <c r="N37" s="215"/>
      <c r="O37" s="244"/>
      <c r="P37" s="231"/>
      <c r="Q37" s="232"/>
    </row>
    <row r="38" spans="2:18" ht="15.75" thickBot="1"/>
    <row r="39" spans="2:18" ht="15.75" thickBot="1">
      <c r="B39" s="216" t="s">
        <v>573</v>
      </c>
      <c r="C39" s="270" t="s">
        <v>575</v>
      </c>
      <c r="D39" s="271" t="s">
        <v>576</v>
      </c>
      <c r="E39" s="272" t="s">
        <v>201</v>
      </c>
      <c r="J39" s="190"/>
      <c r="K39" s="16"/>
    </row>
    <row r="40" spans="2:18">
      <c r="B40" s="542" t="s">
        <v>174</v>
      </c>
      <c r="C40" s="57" t="str">
        <f>VLOOKUP(B40,Tables!$B$184:$E$233,2)</f>
        <v>/</v>
      </c>
      <c r="D40" s="57" t="str">
        <f>VLOOKUP($B40,Tables!$B$184:$E$233,4)</f>
        <v>/</v>
      </c>
      <c r="E40" s="57" t="str">
        <f>VLOOKUP($B40,Tables!$B$184:$E$233,3)</f>
        <v>/</v>
      </c>
      <c r="J40" s="190"/>
      <c r="K40" s="16"/>
    </row>
    <row r="41" spans="2:18">
      <c r="B41" s="542" t="s">
        <v>174</v>
      </c>
      <c r="C41" s="57" t="str">
        <f>VLOOKUP(B41,Tables!$B$184:$E$233,2)</f>
        <v>/</v>
      </c>
      <c r="D41" s="57" t="str">
        <f>VLOOKUP($B41,Tables!$B$184:$E$233,4)</f>
        <v>/</v>
      </c>
      <c r="E41" s="57" t="str">
        <f>VLOOKUP($B41,Tables!$B$184:$E$233,3)</f>
        <v>/</v>
      </c>
      <c r="J41" s="190"/>
      <c r="K41" s="16"/>
      <c r="L41" s="16"/>
    </row>
    <row r="42" spans="2:18">
      <c r="B42" s="542" t="s">
        <v>174</v>
      </c>
      <c r="C42" s="57" t="str">
        <f>VLOOKUP(B42,Tables!$B$184:$E$233,2)</f>
        <v>/</v>
      </c>
      <c r="D42" s="57" t="str">
        <f>VLOOKUP($B42,Tables!$B$184:$E$233,4)</f>
        <v>/</v>
      </c>
      <c r="E42" s="57" t="str">
        <f>VLOOKUP($B42,Tables!$B$184:$E$233,3)</f>
        <v>/</v>
      </c>
      <c r="J42" s="190"/>
      <c r="K42" s="16"/>
      <c r="L42" s="16"/>
    </row>
    <row r="43" spans="2:18">
      <c r="B43" s="542" t="s">
        <v>174</v>
      </c>
      <c r="C43" s="57" t="str">
        <f>VLOOKUP(B43,Tables!$B$184:$E$233,2)</f>
        <v>/</v>
      </c>
      <c r="D43" s="57" t="str">
        <f>VLOOKUP($B43,Tables!$B$184:$E$233,4)</f>
        <v>/</v>
      </c>
      <c r="E43" s="57" t="str">
        <f>VLOOKUP($B43,Tables!$B$184:$E$233,3)</f>
        <v>/</v>
      </c>
      <c r="J43" s="190"/>
      <c r="K43" s="16"/>
      <c r="L43" s="16"/>
    </row>
    <row r="44" spans="2:18" ht="15.75" thickBot="1">
      <c r="B44" s="201"/>
      <c r="C44" s="202"/>
      <c r="D44" s="203"/>
      <c r="E44" s="269"/>
      <c r="J44" s="190"/>
      <c r="K44" s="16"/>
      <c r="L44" s="16"/>
    </row>
    <row r="45" spans="2:18">
      <c r="L45" s="16"/>
    </row>
    <row r="46" spans="2:18">
      <c r="L46" s="16"/>
      <c r="P46" s="18"/>
      <c r="Q46" s="200"/>
      <c r="R46" s="18"/>
    </row>
  </sheetData>
  <conditionalFormatting sqref="D23">
    <cfRule type="cellIs" dxfId="2" priority="1" operator="greaterThan">
      <formula>10</formula>
    </cfRule>
  </conditionalFormatting>
  <dataValidations count="8">
    <dataValidation type="list" allowBlank="1" showInputMessage="1" showErrorMessage="1" sqref="B40:B43">
      <formula1>Tables!$B$184:$B$233</formula1>
    </dataValidation>
    <dataValidation type="list" allowBlank="1" showInputMessage="1" showErrorMessage="1" sqref="P7:P18 L7:L14 H7:H18 P21:P28 L21:L29 H21:H37">
      <formula1>Tables!$G$5:$G$8</formula1>
    </dataValidation>
    <dataValidation type="list" allowBlank="1" showInputMessage="1" showErrorMessage="1" sqref="B13:B22">
      <formula1>Tables!$B$63:$B$154</formula1>
    </dataValidation>
    <dataValidation type="list" allowBlank="1" showInputMessage="1" showErrorMessage="1" sqref="B25:B34">
      <formula1>Tables!$F$63:$F$142</formula1>
    </dataValidation>
    <dataValidation type="list" allowBlank="1" showInputMessage="1" showErrorMessage="1" sqref="L41">
      <formula1>Tables!$F$145:$F$151</formula1>
    </dataValidation>
    <dataValidation type="list" allowBlank="1" showInputMessage="1" showErrorMessage="1" sqref="K39">
      <formula1>Tables!#REF!</formula1>
    </dataValidation>
    <dataValidation type="list" allowBlank="1" showInputMessage="1" showErrorMessage="1" sqref="K40">
      <formula1>Tables!$B$160:$B$163</formula1>
    </dataValidation>
    <dataValidation type="list" allowBlank="1" showInputMessage="1" showErrorMessage="1" sqref="H5 L5 P5 P19 L19 H19">
      <formula1>Tables!$G$4:$G$8</formula1>
    </dataValidation>
  </dataValidations>
  <hyperlinks>
    <hyperlink ref="B1" location="Etape1!A1" display="RETOUR"/>
    <hyperlink ref="F2" location="PERSO!A1" display="SUITE"/>
  </hyperlinks>
  <pageMargins left="0.25" right="0.25" top="0.75" bottom="0.75" header="0.3" footer="0.3"/>
  <pageSetup paperSize="9" scale="62" fitToWidth="2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99"/>
  </sheetPr>
  <dimension ref="B1:N41"/>
  <sheetViews>
    <sheetView workbookViewId="0">
      <selection activeCell="I26" sqref="I26"/>
    </sheetView>
  </sheetViews>
  <sheetFormatPr baseColWidth="10" defaultRowHeight="15"/>
  <cols>
    <col min="1" max="1" width="4.140625" style="219" customWidth="1"/>
    <col min="2" max="2" width="28.7109375" style="219" customWidth="1"/>
    <col min="3" max="3" width="4.7109375" style="219" customWidth="1"/>
    <col min="4" max="4" width="28.7109375" style="219" customWidth="1"/>
    <col min="5" max="5" width="4.7109375" style="219" customWidth="1"/>
    <col min="6" max="6" width="28.7109375" style="219" customWidth="1"/>
    <col min="7" max="7" width="4.7109375" style="219" customWidth="1"/>
    <col min="8" max="8" width="4.28515625" style="219" customWidth="1"/>
    <col min="9" max="9" width="26.28515625" style="219" customWidth="1"/>
    <col min="10" max="10" width="4.85546875" style="219" customWidth="1"/>
    <col min="11" max="11" width="5.140625" style="219" customWidth="1"/>
    <col min="12" max="12" width="30.5703125" style="219" customWidth="1"/>
    <col min="13" max="13" width="28.42578125" style="219" customWidth="1"/>
    <col min="14" max="14" width="6.28515625" style="219" customWidth="1"/>
    <col min="15" max="16384" width="11.42578125" style="219"/>
  </cols>
  <sheetData>
    <row r="1" spans="2:14" ht="16.5" thickBot="1">
      <c r="B1" s="310" t="s">
        <v>649</v>
      </c>
      <c r="C1" s="307"/>
      <c r="D1" s="363" t="s">
        <v>650</v>
      </c>
      <c r="E1" s="307"/>
      <c r="F1" s="312" t="s">
        <v>651</v>
      </c>
      <c r="G1" s="97"/>
      <c r="I1" s="486" t="s">
        <v>1181</v>
      </c>
      <c r="J1" s="303"/>
      <c r="K1" s="303"/>
      <c r="L1" s="304"/>
      <c r="M1" s="304"/>
      <c r="N1" s="304"/>
    </row>
    <row r="2" spans="2:14" ht="19.5" thickBot="1">
      <c r="B2" s="386"/>
      <c r="C2" s="537" t="str">
        <f>CONCATENATE(Etape1!G4,"   ",Etape1!G5)</f>
        <v xml:space="preserve">   </v>
      </c>
      <c r="D2" s="538"/>
      <c r="E2" s="539"/>
      <c r="F2" s="525" t="str">
        <f>Etape1!G3</f>
        <v>Homme</v>
      </c>
      <c r="G2" s="526"/>
      <c r="H2" s="282"/>
      <c r="I2" s="529"/>
      <c r="J2" s="530"/>
      <c r="K2" s="530"/>
      <c r="L2" s="530"/>
      <c r="M2" s="530"/>
      <c r="N2" s="531"/>
    </row>
    <row r="3" spans="2:14" ht="15.75" thickBot="1">
      <c r="B3" s="311" t="s">
        <v>0</v>
      </c>
      <c r="C3" s="306"/>
      <c r="D3" s="352" t="s">
        <v>120</v>
      </c>
      <c r="E3" s="306"/>
      <c r="F3" s="313" t="s">
        <v>79</v>
      </c>
      <c r="G3" s="305"/>
      <c r="H3" s="282"/>
      <c r="I3" s="529"/>
      <c r="J3" s="530"/>
      <c r="K3" s="530"/>
      <c r="L3" s="530"/>
      <c r="M3" s="530"/>
      <c r="N3" s="531"/>
    </row>
    <row r="4" spans="2:14" ht="19.5" thickBot="1">
      <c r="B4" s="442" t="str">
        <f>Etape1!C4</f>
        <v>Barrens (Esclave)</v>
      </c>
      <c r="C4" s="387"/>
      <c r="D4" s="441" t="str">
        <f>Etape1!C5</f>
        <v>Navigateur</v>
      </c>
      <c r="E4" s="388"/>
      <c r="F4" s="527" t="str">
        <f>Etape1!C3</f>
        <v>Humain</v>
      </c>
      <c r="G4" s="528"/>
      <c r="H4" s="282"/>
      <c r="I4" s="532"/>
      <c r="J4" s="533"/>
      <c r="K4" s="533"/>
      <c r="L4" s="533"/>
      <c r="M4" s="533"/>
      <c r="N4" s="534"/>
    </row>
    <row r="5" spans="2:14" ht="16.5" thickBot="1">
      <c r="F5" s="440"/>
    </row>
    <row r="6" spans="2:14" ht="21.75" thickBot="1">
      <c r="B6" s="443" t="s">
        <v>3</v>
      </c>
      <c r="C6" s="483">
        <f>Etape2!I5</f>
        <v>2</v>
      </c>
      <c r="D6" s="443" t="s">
        <v>17</v>
      </c>
      <c r="E6" s="484">
        <f>Etape2!M5</f>
        <v>3</v>
      </c>
      <c r="F6" s="443" t="s">
        <v>9</v>
      </c>
      <c r="G6" s="485">
        <f>Etape2!Q5</f>
        <v>2</v>
      </c>
      <c r="I6" s="451"/>
      <c r="J6" s="452"/>
      <c r="K6" s="453" t="s">
        <v>667</v>
      </c>
      <c r="L6" s="452"/>
      <c r="M6" s="452"/>
      <c r="N6" s="454"/>
    </row>
    <row r="7" spans="2:14" ht="16.5" thickBot="1">
      <c r="B7" s="444" t="s">
        <v>113</v>
      </c>
      <c r="C7" s="445" t="str">
        <f>Etape2!G6</f>
        <v>n</v>
      </c>
      <c r="D7" s="446" t="s">
        <v>114</v>
      </c>
      <c r="E7" s="447" t="str">
        <f>Etape2!K6</f>
        <v>o</v>
      </c>
      <c r="F7" s="448" t="s">
        <v>115</v>
      </c>
      <c r="G7" s="445" t="str">
        <f>Etape2!O6</f>
        <v>n</v>
      </c>
      <c r="I7" s="455" t="str">
        <f>Etape2!B12</f>
        <v>(0) Violent</v>
      </c>
      <c r="J7" s="456"/>
      <c r="K7" s="482">
        <f>Etape2!B18</f>
        <v>0</v>
      </c>
      <c r="L7" s="458"/>
      <c r="M7" s="457" t="str">
        <f>Etape2!B24</f>
        <v/>
      </c>
      <c r="N7" s="458"/>
    </row>
    <row r="8" spans="2:14" ht="18.75">
      <c r="B8" s="465" t="s">
        <v>80</v>
      </c>
      <c r="C8" s="466">
        <f>Etape2!I7</f>
        <v>0</v>
      </c>
      <c r="D8" s="467" t="s">
        <v>85</v>
      </c>
      <c r="E8" s="466">
        <f>Etape2!M7</f>
        <v>0</v>
      </c>
      <c r="F8" s="468" t="s">
        <v>89</v>
      </c>
      <c r="G8" s="466">
        <f>Etape2!Q7</f>
        <v>0</v>
      </c>
      <c r="I8" s="459">
        <f>Etape2!B13</f>
        <v>0</v>
      </c>
      <c r="J8" s="460"/>
      <c r="K8" s="460">
        <f>Etape2!B19</f>
        <v>0</v>
      </c>
      <c r="L8" s="461"/>
      <c r="M8" s="460">
        <f>Etape2!B25</f>
        <v>0</v>
      </c>
      <c r="N8" s="461"/>
    </row>
    <row r="9" spans="2:14" ht="19.5" thickBot="1">
      <c r="B9" s="469" t="s">
        <v>81</v>
      </c>
      <c r="C9" s="466">
        <f>Etape2!I8</f>
        <v>0</v>
      </c>
      <c r="D9" s="467" t="s">
        <v>86</v>
      </c>
      <c r="E9" s="466">
        <f>Etape2!M8</f>
        <v>0</v>
      </c>
      <c r="F9" s="468" t="s">
        <v>90</v>
      </c>
      <c r="G9" s="466">
        <f>Etape2!Q8</f>
        <v>0</v>
      </c>
      <c r="I9" s="459">
        <f>Etape2!B14</f>
        <v>0</v>
      </c>
      <c r="J9" s="460"/>
      <c r="K9" s="464">
        <f>Etape2!B20</f>
        <v>0</v>
      </c>
      <c r="L9" s="463"/>
      <c r="M9" s="460">
        <f>Etape2!B26</f>
        <v>0</v>
      </c>
      <c r="N9" s="461"/>
    </row>
    <row r="10" spans="2:14" ht="18.75">
      <c r="B10" s="469" t="s">
        <v>82</v>
      </c>
      <c r="C10" s="466">
        <f>Etape2!I9</f>
        <v>0</v>
      </c>
      <c r="D10" s="468" t="s">
        <v>87</v>
      </c>
      <c r="E10" s="466">
        <f>Etape2!M9</f>
        <v>0</v>
      </c>
      <c r="F10" s="468" t="s">
        <v>72</v>
      </c>
      <c r="G10" s="466">
        <f>Etape2!Q9</f>
        <v>0</v>
      </c>
      <c r="I10" s="459">
        <f>Etape2!B15</f>
        <v>0</v>
      </c>
      <c r="J10" s="480"/>
      <c r="K10" s="481">
        <f>Etape2!B30</f>
        <v>0</v>
      </c>
      <c r="L10" s="460"/>
      <c r="M10" s="460">
        <f>Etape2!B27</f>
        <v>0</v>
      </c>
      <c r="N10" s="461"/>
    </row>
    <row r="11" spans="2:14" ht="18.75">
      <c r="B11" s="469" t="s">
        <v>83</v>
      </c>
      <c r="C11" s="466">
        <f>Etape2!I10</f>
        <v>0</v>
      </c>
      <c r="D11" s="468" t="s">
        <v>88</v>
      </c>
      <c r="E11" s="466">
        <f>Etape2!M10</f>
        <v>0</v>
      </c>
      <c r="F11" s="468" t="s">
        <v>91</v>
      </c>
      <c r="G11" s="466">
        <f>Etape2!Q10</f>
        <v>0</v>
      </c>
      <c r="I11" s="459">
        <f>Etape2!B16</f>
        <v>0</v>
      </c>
      <c r="J11" s="478"/>
      <c r="K11" s="460">
        <f>Etape2!B31</f>
        <v>0</v>
      </c>
      <c r="L11" s="460"/>
      <c r="M11" s="460">
        <f>Etape2!B28</f>
        <v>0</v>
      </c>
      <c r="N11" s="461"/>
    </row>
    <row r="12" spans="2:14" ht="19.5" thickBot="1">
      <c r="B12" s="469" t="s">
        <v>84</v>
      </c>
      <c r="C12" s="466">
        <f>Etape2!I11</f>
        <v>1</v>
      </c>
      <c r="D12" s="467" t="s">
        <v>70</v>
      </c>
      <c r="E12" s="466">
        <f>Etape2!M11</f>
        <v>0</v>
      </c>
      <c r="F12" s="468" t="s">
        <v>59</v>
      </c>
      <c r="G12" s="466">
        <f>Etape2!Q11</f>
        <v>0</v>
      </c>
      <c r="I12" s="462">
        <f>Etape2!B17</f>
        <v>0</v>
      </c>
      <c r="J12" s="479"/>
      <c r="K12" s="464">
        <f>Etape2!B32</f>
        <v>0</v>
      </c>
      <c r="L12" s="464"/>
      <c r="M12" s="464">
        <f>Etape2!B29</f>
        <v>0</v>
      </c>
      <c r="N12" s="463"/>
    </row>
    <row r="13" spans="2:14" ht="19.5" thickBot="1">
      <c r="B13" s="465" t="s">
        <v>647</v>
      </c>
      <c r="C13" s="466">
        <f>Etape2!I12</f>
        <v>0</v>
      </c>
      <c r="D13" s="468" t="s">
        <v>132</v>
      </c>
      <c r="E13" s="466">
        <f>Etape2!M12</f>
        <v>0</v>
      </c>
      <c r="F13" s="468" t="s">
        <v>92</v>
      </c>
      <c r="G13" s="466">
        <f>Etape2!Q12</f>
        <v>1</v>
      </c>
    </row>
    <row r="14" spans="2:14" ht="19.5" thickBot="1">
      <c r="B14" s="465" t="s">
        <v>177</v>
      </c>
      <c r="C14" s="466">
        <f>Etape2!I13</f>
        <v>0</v>
      </c>
      <c r="D14" s="465" t="s">
        <v>197</v>
      </c>
      <c r="E14" s="466">
        <f>Etape2!M13</f>
        <v>1</v>
      </c>
      <c r="F14" s="468" t="s">
        <v>93</v>
      </c>
      <c r="G14" s="466">
        <f>Etape2!Q13</f>
        <v>0</v>
      </c>
      <c r="I14" s="474" t="s">
        <v>579</v>
      </c>
      <c r="J14" s="476"/>
      <c r="K14" s="475"/>
      <c r="L14" s="476" t="s">
        <v>576</v>
      </c>
      <c r="M14" s="476"/>
      <c r="N14" s="477"/>
    </row>
    <row r="15" spans="2:14" ht="18.75">
      <c r="B15" s="465" t="s">
        <v>177</v>
      </c>
      <c r="C15" s="466">
        <f>Etape2!I14</f>
        <v>0</v>
      </c>
      <c r="D15" s="465" t="s">
        <v>198</v>
      </c>
      <c r="E15" s="466">
        <f>Etape2!M14</f>
        <v>3</v>
      </c>
      <c r="F15" s="468" t="s">
        <v>94</v>
      </c>
      <c r="G15" s="466">
        <f>Etape2!Q14</f>
        <v>0</v>
      </c>
      <c r="I15" s="356" t="str">
        <f>Etape2!B40</f>
        <v>/</v>
      </c>
      <c r="J15" s="359" t="str">
        <f>Etape2!C40</f>
        <v>/</v>
      </c>
      <c r="K15" s="353" t="str">
        <f>Etape2!E40</f>
        <v>/</v>
      </c>
      <c r="L15" s="516" t="str">
        <f>Etape2!D40</f>
        <v>/</v>
      </c>
      <c r="M15" s="517"/>
      <c r="N15" s="518"/>
    </row>
    <row r="16" spans="2:14" ht="18.75">
      <c r="B16" s="470" t="s">
        <v>104</v>
      </c>
      <c r="C16" s="466">
        <f>Etape2!I15</f>
        <v>0</v>
      </c>
      <c r="D16" s="468"/>
      <c r="E16" s="466"/>
      <c r="F16" s="468"/>
      <c r="G16" s="466"/>
      <c r="I16" s="357" t="str">
        <f>Etape2!B41</f>
        <v>/</v>
      </c>
      <c r="J16" s="360" t="str">
        <f>Etape2!C41</f>
        <v>/</v>
      </c>
      <c r="K16" s="354" t="str">
        <f>Etape2!E41</f>
        <v>/</v>
      </c>
      <c r="L16" s="519" t="str">
        <f>Etape2!D41</f>
        <v>/</v>
      </c>
      <c r="M16" s="520"/>
      <c r="N16" s="521"/>
    </row>
    <row r="17" spans="2:14" ht="18.75">
      <c r="B17" s="469" t="s">
        <v>195</v>
      </c>
      <c r="C17" s="466">
        <f>Etape2!I16</f>
        <v>1</v>
      </c>
      <c r="D17" s="468"/>
      <c r="E17" s="466"/>
      <c r="F17" s="468"/>
      <c r="G17" s="466"/>
      <c r="I17" s="357" t="str">
        <f>Etape2!B42</f>
        <v>/</v>
      </c>
      <c r="J17" s="360" t="str">
        <f>Etape2!C42</f>
        <v>/</v>
      </c>
      <c r="K17" s="354" t="str">
        <f>Etape2!E42</f>
        <v>/</v>
      </c>
      <c r="L17" s="519" t="str">
        <f>Etape2!D42</f>
        <v>/</v>
      </c>
      <c r="M17" s="520"/>
      <c r="N17" s="521"/>
    </row>
    <row r="18" spans="2:14" ht="19.5" thickBot="1">
      <c r="B18" s="469" t="s">
        <v>196</v>
      </c>
      <c r="C18" s="466">
        <f>Etape2!I17</f>
        <v>1</v>
      </c>
      <c r="D18" s="468"/>
      <c r="E18" s="466"/>
      <c r="F18" s="468"/>
      <c r="G18" s="466"/>
      <c r="I18" s="358" t="str">
        <f>Etape2!B43</f>
        <v>/</v>
      </c>
      <c r="J18" s="361" t="str">
        <f>Etape2!C43</f>
        <v>/</v>
      </c>
      <c r="K18" s="355" t="str">
        <f>Etape2!E43</f>
        <v>/</v>
      </c>
      <c r="L18" s="522" t="str">
        <f>Etape2!D43</f>
        <v>/</v>
      </c>
      <c r="M18" s="523"/>
      <c r="N18" s="524"/>
    </row>
    <row r="19" spans="2:14" ht="19.5" thickBot="1">
      <c r="B19" s="465" t="s">
        <v>27</v>
      </c>
      <c r="C19" s="466">
        <f>Etape2!I18</f>
        <v>0</v>
      </c>
      <c r="D19" s="468"/>
      <c r="E19" s="466"/>
      <c r="F19" s="468"/>
      <c r="G19" s="466"/>
    </row>
    <row r="20" spans="2:14" ht="21.75" thickBot="1">
      <c r="B20" s="443" t="s">
        <v>6</v>
      </c>
      <c r="C20" s="484">
        <f>Etape2!I19</f>
        <v>2</v>
      </c>
      <c r="D20" s="443" t="s">
        <v>16</v>
      </c>
      <c r="E20" s="484">
        <f>Etape2!M19</f>
        <v>2</v>
      </c>
      <c r="F20" s="443" t="s">
        <v>22</v>
      </c>
      <c r="G20" s="485">
        <f>Etape2!Q19</f>
        <v>2</v>
      </c>
      <c r="I20" s="84" t="s">
        <v>1205</v>
      </c>
      <c r="J20" s="576" t="s">
        <v>1206</v>
      </c>
      <c r="K20" s="576" t="s">
        <v>1207</v>
      </c>
      <c r="L20" s="594" t="s">
        <v>1208</v>
      </c>
      <c r="M20" s="577" t="s">
        <v>1209</v>
      </c>
      <c r="N20" s="578"/>
    </row>
    <row r="21" spans="2:14" ht="16.5" thickBot="1">
      <c r="B21" s="449" t="s">
        <v>116</v>
      </c>
      <c r="C21" s="450" t="str">
        <f>Etape2!G20</f>
        <v>n</v>
      </c>
      <c r="D21" s="449" t="s">
        <v>117</v>
      </c>
      <c r="E21" s="450" t="str">
        <f>Etape2!K20</f>
        <v>o</v>
      </c>
      <c r="F21" s="449" t="s">
        <v>118</v>
      </c>
      <c r="G21" s="445" t="str">
        <f>Etape2!O20</f>
        <v>o</v>
      </c>
      <c r="I21" s="591" t="s">
        <v>1211</v>
      </c>
      <c r="J21" s="591" t="str">
        <f>Tables2!H53</f>
        <v>2  I</v>
      </c>
      <c r="K21" s="591" t="s">
        <v>1204</v>
      </c>
      <c r="L21" s="588" t="s">
        <v>1204</v>
      </c>
      <c r="M21" s="598" t="str">
        <f>IF(Tables2!F50=1," - ","TD si l'adversaire est armé")</f>
        <v>TD si l'adversaire est armé</v>
      </c>
      <c r="N21" s="599"/>
    </row>
    <row r="22" spans="2:14" ht="18.75">
      <c r="B22" s="465" t="s">
        <v>52</v>
      </c>
      <c r="C22" s="466">
        <f>Etape2!I21</f>
        <v>0</v>
      </c>
      <c r="D22" s="468" t="s">
        <v>105</v>
      </c>
      <c r="E22" s="466">
        <f>Etape2!M21</f>
        <v>1</v>
      </c>
      <c r="F22" s="468" t="s">
        <v>19</v>
      </c>
      <c r="G22" s="466">
        <f>Etape2!Q21</f>
        <v>0</v>
      </c>
      <c r="I22" s="592" t="s">
        <v>1204</v>
      </c>
      <c r="J22" s="592" t="str">
        <f>VLOOKUP(I22,Tables2!$J$40:$O$48,3)</f>
        <v xml:space="preserve"> -</v>
      </c>
      <c r="K22" s="592" t="str">
        <f>VLOOKUP(I22,Tables2!$J$40:$O$48,2)</f>
        <v xml:space="preserve"> -</v>
      </c>
      <c r="L22" s="589" t="str">
        <f>VLOOKUP(I22,Tables2!$J$40:$O$48,4)</f>
        <v xml:space="preserve"> - </v>
      </c>
      <c r="M22" s="600" t="str">
        <f>VLOOKUP(I22,Tables2!$J$40:$O$48,5)</f>
        <v xml:space="preserve"> -</v>
      </c>
      <c r="N22" s="601"/>
    </row>
    <row r="23" spans="2:14" ht="18.75">
      <c r="B23" s="465" t="s">
        <v>95</v>
      </c>
      <c r="C23" s="466">
        <f>Etape2!I22</f>
        <v>0</v>
      </c>
      <c r="D23" s="468" t="s">
        <v>4</v>
      </c>
      <c r="E23" s="466">
        <f>Etape2!M23</f>
        <v>0</v>
      </c>
      <c r="F23" s="467" t="s">
        <v>103</v>
      </c>
      <c r="G23" s="466">
        <f>Etape2!Q22</f>
        <v>0</v>
      </c>
      <c r="I23" s="593" t="s">
        <v>1204</v>
      </c>
      <c r="J23" s="593" t="str">
        <f>VLOOKUP(I23,Tables2!$J$40:$O$48,3)</f>
        <v xml:space="preserve"> -</v>
      </c>
      <c r="K23" s="593" t="str">
        <f>VLOOKUP(I23,Tables2!$J$40:$O$48,2)</f>
        <v xml:space="preserve"> -</v>
      </c>
      <c r="L23" s="590" t="str">
        <f>VLOOKUP(I23,Tables2!$J$40:$O$48,4)</f>
        <v xml:space="preserve"> - </v>
      </c>
      <c r="M23" s="602" t="str">
        <f>VLOOKUP(I23,Tables2!$J$40:$O$48,5)</f>
        <v xml:space="preserve"> -</v>
      </c>
      <c r="N23" s="603"/>
    </row>
    <row r="24" spans="2:14" ht="19.5" thickBot="1">
      <c r="B24" s="465" t="s">
        <v>96</v>
      </c>
      <c r="C24" s="466">
        <f>Etape2!I23</f>
        <v>0</v>
      </c>
      <c r="D24" s="468" t="s">
        <v>106</v>
      </c>
      <c r="E24" s="466">
        <f>Etape2!M24</f>
        <v>0</v>
      </c>
      <c r="F24" s="467" t="s">
        <v>71</v>
      </c>
      <c r="G24" s="466">
        <f>Etape2!Q23</f>
        <v>0</v>
      </c>
      <c r="I24" s="596" t="s">
        <v>1204</v>
      </c>
      <c r="J24" s="596" t="str">
        <f>VLOOKUP(I24,Tables2!$J$40:$O$48,3)</f>
        <v xml:space="preserve"> -</v>
      </c>
      <c r="K24" s="596" t="str">
        <f>VLOOKUP(I24,Tables2!$J$40:$O$48,2)</f>
        <v xml:space="preserve"> -</v>
      </c>
      <c r="L24" s="597" t="str">
        <f>VLOOKUP(I24,Tables2!$J$40:$O$48,4)</f>
        <v xml:space="preserve"> - </v>
      </c>
      <c r="M24" s="604" t="str">
        <f>VLOOKUP(I24,Tables2!$J$40:$O$48,5)</f>
        <v xml:space="preserve"> -</v>
      </c>
      <c r="N24" s="605"/>
    </row>
    <row r="25" spans="2:14" ht="18.75">
      <c r="B25" s="465" t="str">
        <f>Etape1!C30</f>
        <v>Connaissance (Barrens)</v>
      </c>
      <c r="C25" s="466">
        <f>Etape2!I24</f>
        <v>3</v>
      </c>
      <c r="D25" s="468" t="s">
        <v>7</v>
      </c>
      <c r="E25" s="466">
        <f>Etape2!M25</f>
        <v>0</v>
      </c>
      <c r="F25" s="468" t="s">
        <v>109</v>
      </c>
      <c r="G25" s="466">
        <f>Etape2!Q24</f>
        <v>0</v>
      </c>
    </row>
    <row r="26" spans="2:14" ht="18.75">
      <c r="B26" s="465" t="s">
        <v>176</v>
      </c>
      <c r="C26" s="466">
        <f>Etape2!I25</f>
        <v>0</v>
      </c>
      <c r="D26" s="468" t="s">
        <v>107</v>
      </c>
      <c r="E26" s="466">
        <f>Etape2!M26</f>
        <v>0</v>
      </c>
      <c r="F26" s="468" t="s">
        <v>110</v>
      </c>
      <c r="G26" s="466">
        <f>Etape2!Q25</f>
        <v>0</v>
      </c>
    </row>
    <row r="27" spans="2:14" ht="18.75">
      <c r="B27" s="465" t="s">
        <v>176</v>
      </c>
      <c r="C27" s="466">
        <f>Etape2!I26</f>
        <v>0</v>
      </c>
      <c r="D27" s="468" t="s">
        <v>41</v>
      </c>
      <c r="E27" s="466">
        <f>Etape2!M27</f>
        <v>0</v>
      </c>
      <c r="F27" s="467" t="s">
        <v>23</v>
      </c>
      <c r="G27" s="466">
        <f>Etape2!Q26</f>
        <v>0</v>
      </c>
    </row>
    <row r="28" spans="2:14" ht="18.75">
      <c r="B28" s="465" t="s">
        <v>97</v>
      </c>
      <c r="C28" s="466">
        <f>Etape2!I27</f>
        <v>0</v>
      </c>
      <c r="D28" s="468" t="s">
        <v>39</v>
      </c>
      <c r="E28" s="466">
        <f>Etape2!M28</f>
        <v>0</v>
      </c>
      <c r="F28" s="468" t="s">
        <v>111</v>
      </c>
      <c r="G28" s="466">
        <f>Etape2!Q27</f>
        <v>0</v>
      </c>
    </row>
    <row r="29" spans="2:14" ht="18.75">
      <c r="B29" s="465" t="s">
        <v>98</v>
      </c>
      <c r="C29" s="466">
        <f>Etape2!I28</f>
        <v>0</v>
      </c>
      <c r="D29" s="468" t="s">
        <v>108</v>
      </c>
      <c r="E29" s="466">
        <f>Etape2!M29</f>
        <v>0</v>
      </c>
      <c r="F29" s="468" t="s">
        <v>18</v>
      </c>
      <c r="G29" s="466">
        <f>Etape2!Q28</f>
        <v>0</v>
      </c>
    </row>
    <row r="30" spans="2:14" ht="18.75">
      <c r="B30" s="465" t="s">
        <v>99</v>
      </c>
      <c r="C30" s="466">
        <f>Etape2!I29</f>
        <v>1</v>
      </c>
      <c r="D30" s="467" t="s">
        <v>40</v>
      </c>
      <c r="E30" s="466">
        <f>Etape2!M30</f>
        <v>0</v>
      </c>
      <c r="F30" s="468"/>
      <c r="G30" s="466"/>
    </row>
    <row r="31" spans="2:14" ht="18.75">
      <c r="B31" s="465" t="s">
        <v>178</v>
      </c>
      <c r="C31" s="466">
        <f>Etape2!I30</f>
        <v>0</v>
      </c>
      <c r="D31" s="468"/>
      <c r="E31" s="466"/>
      <c r="F31" s="468"/>
      <c r="G31" s="466"/>
    </row>
    <row r="32" spans="2:14" ht="18.75">
      <c r="B32" s="465" t="s">
        <v>100</v>
      </c>
      <c r="C32" s="466">
        <f>Etape2!I31</f>
        <v>0</v>
      </c>
      <c r="D32" s="468"/>
      <c r="E32" s="466"/>
      <c r="F32" s="468"/>
      <c r="G32" s="466"/>
    </row>
    <row r="33" spans="2:14" ht="19.5" thickBot="1">
      <c r="B33" s="465" t="s">
        <v>51</v>
      </c>
      <c r="C33" s="466">
        <f>Etape2!I32</f>
        <v>1</v>
      </c>
      <c r="D33" s="468"/>
      <c r="E33" s="466"/>
      <c r="F33" s="468"/>
      <c r="G33" s="466"/>
    </row>
    <row r="34" spans="2:14" ht="19.5" thickBot="1">
      <c r="B34" s="465" t="s">
        <v>112</v>
      </c>
      <c r="C34" s="466">
        <f>Etape2!I33</f>
        <v>0</v>
      </c>
      <c r="D34" s="468"/>
      <c r="E34" s="466"/>
      <c r="F34" s="468"/>
      <c r="G34" s="466"/>
      <c r="I34" s="308" t="s">
        <v>119</v>
      </c>
      <c r="J34" s="309">
        <f>Etape2!C5</f>
        <v>5</v>
      </c>
      <c r="K34" s="540" t="s">
        <v>180</v>
      </c>
      <c r="L34" s="541"/>
      <c r="M34" s="314" t="s">
        <v>182</v>
      </c>
      <c r="N34" s="304">
        <f>Etape2!C6</f>
        <v>0</v>
      </c>
    </row>
    <row r="35" spans="2:14" ht="19.5" thickBot="1">
      <c r="B35" s="465" t="s">
        <v>102</v>
      </c>
      <c r="C35" s="466">
        <f>Etape2!I34</f>
        <v>1</v>
      </c>
      <c r="D35" s="468"/>
      <c r="E35" s="466"/>
      <c r="F35" s="468"/>
      <c r="G35" s="466"/>
      <c r="I35" s="344" t="str">
        <f>VLOOKUP($J$34,Tables!$G$29:$H$38,2)</f>
        <v>ooooo nnnnn</v>
      </c>
      <c r="J35" s="348" t="s">
        <v>652</v>
      </c>
      <c r="K35" s="535" t="str">
        <f>Etape1!C6</f>
        <v>Une conquête dans chaque port</v>
      </c>
      <c r="L35" s="536"/>
      <c r="M35" s="315" t="str">
        <f>VLOOKUP($N$34,Tables!$G$28:$H$38,2)</f>
        <v>nnnnn nnnnn</v>
      </c>
      <c r="N35" s="302"/>
    </row>
    <row r="36" spans="2:14" ht="19.5" thickBot="1">
      <c r="B36" s="465" t="s">
        <v>179</v>
      </c>
      <c r="C36" s="466">
        <f>Etape2!I35</f>
        <v>0</v>
      </c>
      <c r="D36" s="468"/>
      <c r="E36" s="466"/>
      <c r="F36" s="468"/>
      <c r="G36" s="466"/>
      <c r="I36" s="345" t="str">
        <f>VLOOKUP($J$34,Tables!$G$29:$H$38,2)</f>
        <v>ooooo nnnnn</v>
      </c>
      <c r="J36" s="349" t="s">
        <v>653</v>
      </c>
      <c r="K36" s="491" t="str">
        <f>VLOOKUP(K35,Tables!$G$40:$H$51,2)</f>
        <v>Le PNJ ciblé tombe amoureux du personnage</v>
      </c>
      <c r="L36" s="492"/>
      <c r="M36" s="315" t="str">
        <f>IF(OR(I15="Puissance mystique",I16="Puissance mystique",I17="Puissance mystique",I18="Puissance mystique"),M35,"")</f>
        <v/>
      </c>
      <c r="N36" s="302"/>
    </row>
    <row r="37" spans="2:14" ht="19.5" thickBot="1">
      <c r="B37" s="465" t="s">
        <v>11</v>
      </c>
      <c r="C37" s="466">
        <f>Etape2!I36</f>
        <v>0</v>
      </c>
      <c r="D37" s="468"/>
      <c r="E37" s="466"/>
      <c r="F37" s="468"/>
      <c r="G37" s="466"/>
      <c r="I37" s="346" t="str">
        <f>VLOOKUP($J$34,Tables!$G$29:$H$38,2)</f>
        <v>ooooo nnnnn</v>
      </c>
      <c r="J37" s="350" t="s">
        <v>654</v>
      </c>
      <c r="K37" s="491"/>
      <c r="L37" s="492"/>
      <c r="M37" s="316" t="s">
        <v>578</v>
      </c>
      <c r="N37" s="606">
        <f>Etape2!C8</f>
        <v>3</v>
      </c>
    </row>
    <row r="38" spans="2:14" ht="19.5" thickBot="1">
      <c r="B38" s="471" t="s">
        <v>101</v>
      </c>
      <c r="C38" s="472">
        <f>Etape2!I37</f>
        <v>0</v>
      </c>
      <c r="D38" s="473"/>
      <c r="E38" s="472"/>
      <c r="F38" s="473"/>
      <c r="G38" s="472"/>
      <c r="I38" s="347" t="str">
        <f>VLOOKUP($J$34,Tables!$G$29:$H$38,2)</f>
        <v>ooooo nnnnn</v>
      </c>
      <c r="J38" s="351" t="s">
        <v>655</v>
      </c>
      <c r="K38" s="493"/>
      <c r="L38" s="494"/>
      <c r="M38" s="607" t="str">
        <f>VLOOKUP(N37,Tables!$G$29:$H$38,2)</f>
        <v>ooonn nnnnn</v>
      </c>
      <c r="N38" s="608"/>
    </row>
    <row r="39" spans="2:14" ht="15.75" thickBot="1"/>
    <row r="40" spans="2:14" ht="15.75">
      <c r="B40" s="507" t="s">
        <v>1182</v>
      </c>
      <c r="C40" s="508"/>
      <c r="D40" s="508"/>
      <c r="E40" s="508"/>
      <c r="F40" s="508"/>
      <c r="G40" s="509"/>
      <c r="I40" s="510" t="s">
        <v>1184</v>
      </c>
      <c r="J40" s="511"/>
      <c r="K40" s="511"/>
      <c r="L40" s="511"/>
      <c r="M40" s="511"/>
      <c r="N40" s="512"/>
    </row>
    <row r="41" spans="2:14" ht="16.5" thickBot="1">
      <c r="B41" s="504" t="s">
        <v>1183</v>
      </c>
      <c r="C41" s="505"/>
      <c r="D41" s="505"/>
      <c r="E41" s="505"/>
      <c r="F41" s="505"/>
      <c r="G41" s="506"/>
      <c r="I41" s="513"/>
      <c r="J41" s="514"/>
      <c r="K41" s="514"/>
      <c r="L41" s="514"/>
      <c r="M41" s="514"/>
      <c r="N41" s="515"/>
    </row>
  </sheetData>
  <mergeCells count="17">
    <mergeCell ref="C2:E2"/>
    <mergeCell ref="K34:L34"/>
    <mergeCell ref="L15:N15"/>
    <mergeCell ref="L16:N16"/>
    <mergeCell ref="L17:N17"/>
    <mergeCell ref="M20:N20"/>
    <mergeCell ref="M21:N21"/>
    <mergeCell ref="F2:G2"/>
    <mergeCell ref="F4:G4"/>
    <mergeCell ref="I2:N4"/>
    <mergeCell ref="K36:L38"/>
    <mergeCell ref="K35:L35"/>
    <mergeCell ref="M38:N38"/>
    <mergeCell ref="B41:G41"/>
    <mergeCell ref="B40:G40"/>
    <mergeCell ref="I40:N41"/>
    <mergeCell ref="L18:N18"/>
  </mergeCells>
  <conditionalFormatting sqref="I8:I12 K7:M12">
    <cfRule type="beginsWith" dxfId="1" priority="4" operator="beginsWith" text="0">
      <formula>LEFT(I7,1)="0"</formula>
    </cfRule>
  </conditionalFormatting>
  <conditionalFormatting sqref="I15:L18">
    <cfRule type="beginsWith" dxfId="0" priority="1" operator="beginsWith" text="/">
      <formula>LEFT(I15,1)="/"</formula>
    </cfRule>
  </conditionalFormatting>
  <dataValidations count="9">
    <dataValidation type="list" allowBlank="1" showInputMessage="1" showErrorMessage="1" sqref="B23">
      <formula1>Tables!$J$5:$J$10</formula1>
    </dataValidation>
    <dataValidation type="list" allowBlank="1" showInputMessage="1" showErrorMessage="1" sqref="B36">
      <formula1>Tables!$J$15:$J$18</formula1>
    </dataValidation>
    <dataValidation type="list" allowBlank="1" showInputMessage="1" showErrorMessage="1" sqref="B31">
      <formula1>Tables!$J$12:$J$13</formula1>
    </dataValidation>
    <dataValidation type="list" allowBlank="1" showInputMessage="1" showErrorMessage="1" sqref="B26:B27">
      <formula1>Tables!$H$5:$H$11</formula1>
    </dataValidation>
    <dataValidation showDropDown="1" showInputMessage="1" showErrorMessage="1" sqref="G7 E7"/>
    <dataValidation type="list" showDropDown="1" showInputMessage="1" showErrorMessage="1" sqref="C7">
      <formula1>colc</formula1>
    </dataValidation>
    <dataValidation allowBlank="1" showDropDown="1" showInputMessage="1" showErrorMessage="1" sqref="B13"/>
    <dataValidation type="list" allowBlank="1" showInputMessage="1" showErrorMessage="1" sqref="B14:B15">
      <formula1>Tables!$H$13:$H$19</formula1>
    </dataValidation>
    <dataValidation type="list" allowBlank="1" showInputMessage="1" showErrorMessage="1" sqref="I22:I24">
      <formula1>Tables2!$J$40:$J$48</formula1>
    </dataValidation>
  </dataValidations>
  <pageMargins left="0.25" right="0.25" top="0.75" bottom="0.75" header="0.3" footer="0.3"/>
  <pageSetup paperSize="9" scale="64" orientation="landscape" horizontalDpi="0" verticalDpi="0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BY234"/>
  <sheetViews>
    <sheetView topLeftCell="A61" workbookViewId="0">
      <selection activeCell="C78" sqref="C78"/>
    </sheetView>
  </sheetViews>
  <sheetFormatPr baseColWidth="10" defaultRowHeight="15" outlineLevelRow="1" outlineLevelCol="1"/>
  <cols>
    <col min="1" max="1" width="8.5703125" customWidth="1"/>
    <col min="2" max="2" width="30.85546875" style="103" customWidth="1"/>
    <col min="3" max="3" width="19.28515625" style="103" customWidth="1"/>
    <col min="4" max="4" width="27.140625" style="103" customWidth="1"/>
    <col min="5" max="5" width="16.5703125" customWidth="1"/>
    <col min="6" max="6" width="20.28515625" style="103" customWidth="1"/>
    <col min="7" max="7" width="14.28515625" style="103" customWidth="1"/>
    <col min="8" max="8" width="18.140625" style="103" customWidth="1"/>
    <col min="9" max="9" width="12.140625" customWidth="1"/>
    <col min="10" max="10" width="10.42578125" hidden="1" customWidth="1" outlineLevel="1"/>
    <col min="11" max="11" width="12.42578125" hidden="1" customWidth="1" outlineLevel="1"/>
    <col min="12" max="12" width="22.42578125" hidden="1" customWidth="1" outlineLevel="1"/>
    <col min="13" max="18" width="11.42578125" hidden="1" customWidth="1" outlineLevel="1"/>
    <col min="19" max="19" width="11.42578125" collapsed="1"/>
  </cols>
  <sheetData>
    <row r="1" spans="2:39" outlineLevel="1">
      <c r="E1" s="103"/>
      <c r="G1" s="147" t="s">
        <v>77</v>
      </c>
      <c r="H1" s="398" t="s">
        <v>898</v>
      </c>
      <c r="T1" s="176"/>
      <c r="W1" s="191"/>
      <c r="X1" s="191"/>
      <c r="Y1" s="103"/>
    </row>
    <row r="2" spans="2:39" ht="15.75" outlineLevel="1" thickBot="1">
      <c r="E2" s="103"/>
      <c r="G2" s="148" t="s">
        <v>78</v>
      </c>
      <c r="H2" s="399" t="s">
        <v>899</v>
      </c>
      <c r="T2" s="400"/>
      <c r="U2" s="400"/>
      <c r="V2" s="401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208"/>
      <c r="AM2" s="402"/>
    </row>
    <row r="3" spans="2:39" ht="25.5" customHeight="1" outlineLevel="1" thickBot="1">
      <c r="B3" s="123" t="s">
        <v>0</v>
      </c>
      <c r="C3" s="123" t="s">
        <v>76</v>
      </c>
      <c r="D3" s="123" t="s">
        <v>1</v>
      </c>
      <c r="E3" s="123" t="s">
        <v>74</v>
      </c>
      <c r="F3" s="156"/>
      <c r="T3" s="176"/>
      <c r="U3" s="176"/>
      <c r="V3" s="176"/>
      <c r="W3" s="118"/>
      <c r="X3" s="176"/>
      <c r="Y3" s="176"/>
      <c r="Z3" s="176"/>
      <c r="AA3" s="403"/>
      <c r="AB3" s="176"/>
      <c r="AC3" s="176"/>
      <c r="AD3" s="176"/>
      <c r="AE3" s="176"/>
      <c r="AF3" s="176"/>
      <c r="AG3" s="176"/>
      <c r="AH3" s="208"/>
      <c r="AI3" s="176"/>
      <c r="AJ3" s="176"/>
      <c r="AK3" s="176"/>
      <c r="AL3" s="208"/>
      <c r="AM3" s="208"/>
    </row>
    <row r="4" spans="2:39" outlineLevel="1">
      <c r="B4" s="124" t="s">
        <v>20</v>
      </c>
      <c r="C4" s="124" t="s">
        <v>122</v>
      </c>
      <c r="D4" s="124" t="s">
        <v>17</v>
      </c>
      <c r="E4" s="291" t="s">
        <v>198</v>
      </c>
      <c r="F4" s="156" t="s">
        <v>522</v>
      </c>
      <c r="G4" s="362">
        <v>-1</v>
      </c>
      <c r="T4" s="176"/>
      <c r="U4" s="176"/>
      <c r="V4" s="176"/>
      <c r="W4" s="118"/>
      <c r="X4" s="176"/>
      <c r="Y4" s="176"/>
      <c r="Z4" s="176"/>
      <c r="AA4" s="403"/>
      <c r="AB4" s="176"/>
      <c r="AC4" s="176"/>
      <c r="AD4" s="176"/>
      <c r="AE4" s="176"/>
      <c r="AF4" s="208"/>
      <c r="AG4" s="176"/>
      <c r="AH4" s="176"/>
      <c r="AI4" s="176"/>
      <c r="AJ4" s="176"/>
      <c r="AK4" s="176"/>
      <c r="AL4" s="208"/>
      <c r="AM4" s="208"/>
    </row>
    <row r="5" spans="2:39" outlineLevel="1">
      <c r="B5" s="124" t="s">
        <v>21</v>
      </c>
      <c r="C5" s="124" t="s">
        <v>122</v>
      </c>
      <c r="D5" s="124" t="s">
        <v>22</v>
      </c>
      <c r="E5" s="292" t="s">
        <v>23</v>
      </c>
      <c r="F5" s="156" t="s">
        <v>522</v>
      </c>
      <c r="G5" s="149" t="s">
        <v>175</v>
      </c>
      <c r="H5" s="150" t="s">
        <v>121</v>
      </c>
      <c r="J5" s="10" t="s">
        <v>133</v>
      </c>
      <c r="T5" s="176"/>
      <c r="U5" s="176"/>
      <c r="V5" s="176"/>
      <c r="W5" s="118"/>
      <c r="X5" s="176"/>
      <c r="Y5" s="176"/>
      <c r="Z5" s="176"/>
      <c r="AA5" s="403"/>
      <c r="AB5" s="176"/>
      <c r="AC5" s="208"/>
      <c r="AD5" s="176"/>
      <c r="AE5" s="176"/>
      <c r="AF5" s="208"/>
      <c r="AG5" s="176"/>
      <c r="AH5" s="176"/>
      <c r="AI5" s="176"/>
      <c r="AJ5" s="176"/>
      <c r="AK5" s="176"/>
      <c r="AL5" s="208"/>
      <c r="AM5" s="208"/>
    </row>
    <row r="6" spans="2:39" outlineLevel="1">
      <c r="B6" s="124" t="s">
        <v>24</v>
      </c>
      <c r="C6" s="124" t="s">
        <v>122</v>
      </c>
      <c r="D6" s="124" t="s">
        <v>16</v>
      </c>
      <c r="E6" s="291" t="s">
        <v>647</v>
      </c>
      <c r="F6" s="156" t="s">
        <v>522</v>
      </c>
      <c r="G6" s="153">
        <v>1</v>
      </c>
      <c r="H6" s="152" t="s">
        <v>122</v>
      </c>
      <c r="J6" s="11" t="s">
        <v>134</v>
      </c>
      <c r="T6" s="176"/>
      <c r="U6" s="118"/>
      <c r="V6" s="176"/>
      <c r="W6" s="176"/>
      <c r="X6" s="176"/>
      <c r="Y6" s="176"/>
      <c r="Z6" s="176"/>
      <c r="AA6" s="403"/>
      <c r="AB6" s="176"/>
      <c r="AC6" s="176"/>
      <c r="AD6" s="176"/>
      <c r="AE6" s="176"/>
      <c r="AF6" s="208"/>
      <c r="AG6" s="176"/>
      <c r="AH6" s="176"/>
      <c r="AI6" s="176"/>
      <c r="AJ6" s="176"/>
      <c r="AK6" s="176"/>
      <c r="AL6" s="208"/>
      <c r="AM6" s="208"/>
    </row>
    <row r="7" spans="2:39" outlineLevel="1">
      <c r="B7" s="124" t="s">
        <v>25</v>
      </c>
      <c r="C7" s="124" t="s">
        <v>122</v>
      </c>
      <c r="D7" s="124" t="s">
        <v>22</v>
      </c>
      <c r="E7" s="291" t="s">
        <v>7</v>
      </c>
      <c r="F7" s="156" t="s">
        <v>522</v>
      </c>
      <c r="G7" s="153">
        <v>2</v>
      </c>
      <c r="H7" s="152" t="s">
        <v>123</v>
      </c>
      <c r="J7" s="11" t="s">
        <v>135</v>
      </c>
      <c r="T7" s="176"/>
      <c r="U7" s="176"/>
      <c r="V7" s="176"/>
      <c r="W7" s="176"/>
      <c r="X7" s="176"/>
      <c r="Y7" s="176"/>
      <c r="Z7" s="176"/>
      <c r="AA7" s="403"/>
      <c r="AB7" s="176"/>
      <c r="AC7" s="176"/>
      <c r="AD7" s="176"/>
      <c r="AE7" s="176"/>
      <c r="AF7" s="208"/>
      <c r="AG7" s="176"/>
      <c r="AH7" s="176"/>
      <c r="AI7" s="176"/>
      <c r="AJ7" s="176"/>
      <c r="AK7" s="176"/>
      <c r="AL7" s="208"/>
      <c r="AM7" s="208"/>
    </row>
    <row r="8" spans="2:39" outlineLevel="1">
      <c r="B8" s="124" t="s">
        <v>29</v>
      </c>
      <c r="C8" s="124" t="s">
        <v>122</v>
      </c>
      <c r="D8" s="124" t="s">
        <v>17</v>
      </c>
      <c r="E8" s="291" t="s">
        <v>97</v>
      </c>
      <c r="F8" s="156" t="s">
        <v>522</v>
      </c>
      <c r="G8" s="153">
        <v>3</v>
      </c>
      <c r="H8" s="152" t="s">
        <v>124</v>
      </c>
      <c r="J8" s="11" t="s">
        <v>137</v>
      </c>
      <c r="T8" s="176"/>
      <c r="U8" s="176"/>
      <c r="V8" s="176"/>
      <c r="W8" s="176"/>
      <c r="X8" s="176"/>
      <c r="Y8" s="176"/>
      <c r="Z8" s="176"/>
      <c r="AA8" s="403"/>
      <c r="AB8" s="176"/>
      <c r="AC8" s="176"/>
      <c r="AD8" s="176"/>
      <c r="AE8" s="176"/>
      <c r="AF8" s="208"/>
      <c r="AG8" s="176"/>
      <c r="AH8" s="176"/>
      <c r="AI8" s="176"/>
      <c r="AJ8" s="176"/>
      <c r="AK8" s="176"/>
      <c r="AL8" s="208"/>
      <c r="AM8" s="208"/>
    </row>
    <row r="9" spans="2:39" outlineLevel="1">
      <c r="B9" s="124" t="s">
        <v>30</v>
      </c>
      <c r="C9" s="124" t="s">
        <v>122</v>
      </c>
      <c r="D9" s="124" t="s">
        <v>17</v>
      </c>
      <c r="E9" s="292" t="s">
        <v>23</v>
      </c>
      <c r="F9" s="156" t="s">
        <v>522</v>
      </c>
      <c r="G9" s="153">
        <v>4</v>
      </c>
      <c r="H9" s="152" t="s">
        <v>125</v>
      </c>
      <c r="J9" s="11" t="s">
        <v>136</v>
      </c>
      <c r="T9" s="176"/>
      <c r="U9" s="118"/>
      <c r="V9" s="176"/>
      <c r="W9" s="118"/>
      <c r="X9" s="176"/>
      <c r="Y9" s="176"/>
      <c r="Z9" s="176"/>
      <c r="AA9" s="403"/>
      <c r="AB9" s="176"/>
      <c r="AC9" s="176"/>
      <c r="AD9" s="176"/>
      <c r="AE9" s="176"/>
      <c r="AF9" s="208"/>
      <c r="AG9" s="176"/>
      <c r="AH9" s="176"/>
      <c r="AI9" s="176"/>
      <c r="AJ9" s="176"/>
      <c r="AK9" s="176"/>
      <c r="AL9" s="208"/>
      <c r="AM9" s="208"/>
    </row>
    <row r="10" spans="2:39" outlineLevel="1">
      <c r="B10" s="124" t="s">
        <v>26</v>
      </c>
      <c r="C10" s="124" t="s">
        <v>122</v>
      </c>
      <c r="D10" s="124" t="s">
        <v>6</v>
      </c>
      <c r="E10" s="291" t="s">
        <v>27</v>
      </c>
      <c r="F10" s="156" t="s">
        <v>522</v>
      </c>
      <c r="G10" s="153">
        <v>5</v>
      </c>
      <c r="H10" s="152" t="s">
        <v>126</v>
      </c>
      <c r="J10" s="12" t="s">
        <v>95</v>
      </c>
      <c r="T10" s="208"/>
      <c r="U10" s="176"/>
      <c r="V10" s="176"/>
      <c r="W10" s="176"/>
      <c r="X10" s="176"/>
      <c r="Y10" s="176"/>
      <c r="Z10" s="176"/>
      <c r="AA10" s="403"/>
      <c r="AB10" s="176"/>
      <c r="AC10" s="176"/>
      <c r="AD10" s="176"/>
      <c r="AE10" s="176"/>
      <c r="AF10" s="208"/>
      <c r="AG10" s="176"/>
      <c r="AH10" s="176"/>
      <c r="AI10" s="176"/>
      <c r="AJ10" s="176"/>
      <c r="AK10" s="176"/>
      <c r="AL10" s="208"/>
      <c r="AM10" s="208"/>
    </row>
    <row r="11" spans="2:39" outlineLevel="1">
      <c r="B11" s="124" t="s">
        <v>28</v>
      </c>
      <c r="C11" s="124" t="s">
        <v>122</v>
      </c>
      <c r="D11" s="124" t="s">
        <v>3</v>
      </c>
      <c r="E11" s="291" t="s">
        <v>18</v>
      </c>
      <c r="F11" s="156" t="s">
        <v>522</v>
      </c>
      <c r="G11" s="151">
        <v>6</v>
      </c>
      <c r="H11" s="154" t="s">
        <v>176</v>
      </c>
      <c r="T11" s="208"/>
      <c r="U11" s="176"/>
      <c r="V11" s="176"/>
      <c r="W11" s="176"/>
      <c r="X11" s="176"/>
      <c r="Y11" s="176"/>
      <c r="Z11" s="176"/>
      <c r="AA11" s="403"/>
      <c r="AB11" s="176"/>
      <c r="AC11" s="176"/>
      <c r="AD11" s="176"/>
      <c r="AE11" s="176"/>
      <c r="AF11" s="208"/>
      <c r="AG11" s="176"/>
      <c r="AH11" s="176"/>
      <c r="AI11" s="176"/>
      <c r="AJ11" s="176"/>
      <c r="AK11" s="176"/>
      <c r="AL11" s="208"/>
      <c r="AM11" s="208"/>
    </row>
    <row r="12" spans="2:39" outlineLevel="1">
      <c r="B12" s="125" t="s">
        <v>75</v>
      </c>
      <c r="C12" s="125" t="s">
        <v>124</v>
      </c>
      <c r="D12" s="125" t="s">
        <v>9</v>
      </c>
      <c r="E12" s="293" t="s">
        <v>27</v>
      </c>
      <c r="F12" s="188" t="s">
        <v>523</v>
      </c>
      <c r="G12" s="155"/>
      <c r="H12" s="156"/>
      <c r="J12" s="10" t="s">
        <v>138</v>
      </c>
      <c r="T12" s="208"/>
      <c r="U12" s="118"/>
      <c r="V12" s="176"/>
      <c r="W12" s="118"/>
      <c r="X12" s="176"/>
      <c r="Y12" s="176"/>
      <c r="Z12" s="176"/>
      <c r="AA12" s="403"/>
      <c r="AB12" s="176"/>
      <c r="AC12" s="176"/>
      <c r="AD12" s="176"/>
      <c r="AE12" s="176"/>
      <c r="AF12" s="208"/>
      <c r="AG12" s="176"/>
      <c r="AH12" s="176"/>
      <c r="AI12" s="208"/>
      <c r="AJ12" s="176"/>
      <c r="AK12" s="176"/>
      <c r="AL12" s="208"/>
      <c r="AM12" s="208"/>
    </row>
    <row r="13" spans="2:39" outlineLevel="1">
      <c r="B13" s="125" t="s">
        <v>53</v>
      </c>
      <c r="C13" s="125" t="s">
        <v>124</v>
      </c>
      <c r="D13" s="125" t="s">
        <v>22</v>
      </c>
      <c r="E13" s="293" t="s">
        <v>59</v>
      </c>
      <c r="F13" s="188" t="s">
        <v>523</v>
      </c>
      <c r="G13" s="157"/>
      <c r="H13" s="156"/>
      <c r="J13" s="12" t="s">
        <v>178</v>
      </c>
      <c r="T13" s="208"/>
      <c r="U13" s="176"/>
      <c r="V13" s="176"/>
      <c r="W13" s="176"/>
      <c r="X13" s="176"/>
      <c r="Y13" s="176"/>
      <c r="Z13" s="176"/>
      <c r="AA13" s="403"/>
      <c r="AB13" s="176"/>
      <c r="AC13" s="176"/>
      <c r="AD13" s="176"/>
      <c r="AE13" s="176"/>
      <c r="AF13" s="208"/>
      <c r="AG13" s="176"/>
      <c r="AH13" s="176"/>
      <c r="AI13" s="208"/>
      <c r="AJ13" s="176"/>
      <c r="AK13" s="176"/>
      <c r="AL13" s="208"/>
      <c r="AM13" s="208"/>
    </row>
    <row r="14" spans="2:39" outlineLevel="1">
      <c r="B14" s="125" t="s">
        <v>488</v>
      </c>
      <c r="C14" s="125" t="s">
        <v>124</v>
      </c>
      <c r="D14" s="125" t="s">
        <v>22</v>
      </c>
      <c r="E14" s="294" t="s">
        <v>103</v>
      </c>
      <c r="F14" s="188" t="s">
        <v>523</v>
      </c>
      <c r="G14" s="158"/>
      <c r="H14" s="159" t="s">
        <v>127</v>
      </c>
      <c r="T14" s="208"/>
      <c r="U14" s="176"/>
      <c r="V14" s="176"/>
      <c r="W14" s="176"/>
      <c r="X14" s="176"/>
      <c r="Y14" s="176"/>
      <c r="Z14" s="176"/>
      <c r="AA14" s="403"/>
      <c r="AB14" s="176"/>
      <c r="AC14" s="176"/>
      <c r="AD14" s="176"/>
      <c r="AE14" s="176"/>
      <c r="AF14" s="208"/>
      <c r="AG14" s="176"/>
      <c r="AH14" s="176"/>
      <c r="AI14" s="208"/>
      <c r="AJ14" s="176"/>
      <c r="AK14" s="176"/>
      <c r="AL14" s="208"/>
      <c r="AM14" s="208"/>
    </row>
    <row r="15" spans="2:39" outlineLevel="1">
      <c r="B15" s="125" t="s">
        <v>54</v>
      </c>
      <c r="C15" s="125" t="s">
        <v>124</v>
      </c>
      <c r="D15" s="125" t="s">
        <v>9</v>
      </c>
      <c r="E15" s="293" t="s">
        <v>60</v>
      </c>
      <c r="F15" s="188" t="s">
        <v>523</v>
      </c>
      <c r="G15" s="160"/>
      <c r="H15" s="161" t="s">
        <v>128</v>
      </c>
      <c r="J15" s="10" t="s">
        <v>139</v>
      </c>
      <c r="T15" s="208"/>
      <c r="U15" s="118"/>
      <c r="V15" s="176"/>
      <c r="W15" s="118"/>
      <c r="X15" s="176"/>
      <c r="Y15" s="176"/>
      <c r="Z15" s="208"/>
      <c r="AA15" s="403"/>
      <c r="AB15" s="176"/>
      <c r="AC15" s="176"/>
      <c r="AD15" s="176"/>
      <c r="AE15" s="176"/>
      <c r="AF15" s="208"/>
      <c r="AG15" s="176"/>
      <c r="AH15" s="176"/>
      <c r="AI15" s="208"/>
      <c r="AJ15" s="176"/>
      <c r="AK15" s="176"/>
      <c r="AL15" s="208"/>
      <c r="AM15" s="208"/>
    </row>
    <row r="16" spans="2:39" outlineLevel="1">
      <c r="B16" s="125" t="s">
        <v>55</v>
      </c>
      <c r="C16" s="125" t="s">
        <v>124</v>
      </c>
      <c r="D16" s="125" t="s">
        <v>3</v>
      </c>
      <c r="E16" s="293" t="s">
        <v>61</v>
      </c>
      <c r="F16" s="188" t="s">
        <v>523</v>
      </c>
      <c r="G16" s="160"/>
      <c r="H16" s="161" t="s">
        <v>129</v>
      </c>
      <c r="J16" s="11" t="s">
        <v>140</v>
      </c>
      <c r="T16" s="208"/>
      <c r="U16" s="176"/>
      <c r="V16" s="176"/>
      <c r="W16" s="176"/>
      <c r="X16" s="176"/>
      <c r="Y16" s="176"/>
      <c r="Z16" s="208"/>
      <c r="AA16" s="403"/>
      <c r="AB16" s="176"/>
      <c r="AC16" s="176"/>
      <c r="AD16" s="176"/>
      <c r="AE16" s="176"/>
      <c r="AF16" s="208"/>
      <c r="AG16" s="176"/>
      <c r="AH16" s="176"/>
      <c r="AI16" s="208"/>
      <c r="AJ16" s="176"/>
      <c r="AK16" s="176"/>
      <c r="AL16" s="208"/>
      <c r="AM16" s="208"/>
    </row>
    <row r="17" spans="2:39" outlineLevel="1">
      <c r="B17" s="125" t="s">
        <v>56</v>
      </c>
      <c r="C17" s="125" t="s">
        <v>124</v>
      </c>
      <c r="D17" s="125" t="s">
        <v>22</v>
      </c>
      <c r="E17" s="293" t="s">
        <v>51</v>
      </c>
      <c r="F17" s="188" t="s">
        <v>523</v>
      </c>
      <c r="G17" s="160"/>
      <c r="H17" s="161" t="s">
        <v>130</v>
      </c>
      <c r="J17" s="11" t="s">
        <v>141</v>
      </c>
      <c r="T17" s="208"/>
      <c r="U17" s="176"/>
      <c r="V17" s="176"/>
      <c r="W17" s="176"/>
      <c r="X17" s="176"/>
      <c r="Y17" s="176"/>
      <c r="Z17" s="208"/>
      <c r="AA17" s="403"/>
      <c r="AB17" s="176"/>
      <c r="AC17" s="176"/>
      <c r="AD17" s="176"/>
      <c r="AE17" s="176"/>
      <c r="AF17" s="208"/>
      <c r="AG17" s="176"/>
      <c r="AH17" s="176"/>
      <c r="AI17" s="208"/>
      <c r="AJ17" s="176"/>
      <c r="AK17" s="208"/>
      <c r="AL17" s="208"/>
      <c r="AM17" s="208"/>
    </row>
    <row r="18" spans="2:39" outlineLevel="1">
      <c r="B18" s="125" t="s">
        <v>58</v>
      </c>
      <c r="C18" s="125" t="s">
        <v>124</v>
      </c>
      <c r="D18" s="125" t="s">
        <v>6</v>
      </c>
      <c r="E18" s="293" t="s">
        <v>19</v>
      </c>
      <c r="F18" s="188" t="s">
        <v>523</v>
      </c>
      <c r="G18" s="160"/>
      <c r="H18" s="161" t="s">
        <v>131</v>
      </c>
      <c r="J18" s="12" t="s">
        <v>179</v>
      </c>
      <c r="T18" s="208"/>
      <c r="U18" s="176"/>
      <c r="V18" s="208"/>
      <c r="W18" s="118"/>
      <c r="X18" s="176"/>
      <c r="Y18" s="176"/>
      <c r="Z18" s="208"/>
      <c r="AA18" s="403"/>
      <c r="AB18" s="176"/>
      <c r="AC18" s="176"/>
      <c r="AD18" s="176"/>
      <c r="AE18" s="176"/>
      <c r="AF18" s="208"/>
      <c r="AG18" s="176"/>
      <c r="AH18" s="176"/>
      <c r="AI18" s="208"/>
      <c r="AJ18" s="176"/>
      <c r="AK18" s="208"/>
      <c r="AL18" s="208"/>
      <c r="AM18" s="208"/>
    </row>
    <row r="19" spans="2:39" outlineLevel="1">
      <c r="B19" s="125" t="s">
        <v>57</v>
      </c>
      <c r="C19" s="125" t="s">
        <v>124</v>
      </c>
      <c r="D19" s="125" t="s">
        <v>22</v>
      </c>
      <c r="E19" s="293" t="s">
        <v>42</v>
      </c>
      <c r="F19" s="188" t="s">
        <v>523</v>
      </c>
      <c r="H19" s="162" t="s">
        <v>177</v>
      </c>
      <c r="T19" s="208"/>
      <c r="U19" s="176"/>
      <c r="V19" s="208"/>
      <c r="W19" s="208"/>
      <c r="X19" s="176"/>
      <c r="Y19" s="176"/>
      <c r="Z19" s="208"/>
      <c r="AA19" s="403"/>
      <c r="AB19" s="176"/>
      <c r="AC19" s="208"/>
      <c r="AD19" s="176"/>
      <c r="AE19" s="176"/>
      <c r="AF19" s="208"/>
      <c r="AG19" s="176"/>
      <c r="AH19" s="176"/>
      <c r="AI19" s="208"/>
      <c r="AJ19" s="176"/>
      <c r="AK19" s="208"/>
      <c r="AL19" s="208"/>
      <c r="AM19" s="208"/>
    </row>
    <row r="20" spans="2:39" outlineLevel="1">
      <c r="B20" s="126" t="s">
        <v>65</v>
      </c>
      <c r="C20" s="126" t="s">
        <v>126</v>
      </c>
      <c r="D20" s="126" t="s">
        <v>9</v>
      </c>
      <c r="E20" s="295" t="s">
        <v>102</v>
      </c>
      <c r="F20" s="156" t="s">
        <v>524</v>
      </c>
      <c r="T20" s="208"/>
      <c r="U20" s="176"/>
      <c r="V20" s="208"/>
      <c r="W20" s="208"/>
      <c r="X20" s="176"/>
      <c r="Y20" s="176"/>
      <c r="Z20" s="208"/>
      <c r="AA20" s="403"/>
      <c r="AB20" s="176"/>
      <c r="AC20" s="208"/>
      <c r="AD20" s="176"/>
      <c r="AE20" s="176"/>
      <c r="AF20" s="208"/>
      <c r="AG20" s="176"/>
      <c r="AH20" s="176"/>
      <c r="AI20" s="208"/>
      <c r="AJ20" s="176"/>
      <c r="AK20" s="208"/>
      <c r="AL20" s="208"/>
      <c r="AM20" s="208"/>
    </row>
    <row r="21" spans="2:39" outlineLevel="1">
      <c r="B21" s="126" t="s">
        <v>64</v>
      </c>
      <c r="C21" s="126" t="s">
        <v>126</v>
      </c>
      <c r="D21" s="126" t="s">
        <v>22</v>
      </c>
      <c r="E21" s="296" t="s">
        <v>71</v>
      </c>
      <c r="F21" s="156" t="s">
        <v>524</v>
      </c>
      <c r="H21" s="163" t="s">
        <v>195</v>
      </c>
      <c r="J21" s="365" t="s">
        <v>522</v>
      </c>
      <c r="T21" s="208"/>
      <c r="U21" s="176"/>
      <c r="V21" s="208"/>
      <c r="W21" s="208"/>
      <c r="X21" s="176"/>
      <c r="Y21" s="176"/>
      <c r="Z21" s="208"/>
      <c r="AA21" s="403"/>
      <c r="AB21" s="176"/>
      <c r="AC21" s="208"/>
      <c r="AD21" s="176"/>
      <c r="AE21" s="176"/>
      <c r="AF21" s="208"/>
      <c r="AG21" s="176"/>
      <c r="AH21" s="176"/>
      <c r="AI21" s="208"/>
      <c r="AJ21" s="176"/>
      <c r="AK21" s="208"/>
      <c r="AL21" s="208"/>
      <c r="AM21" s="208"/>
    </row>
    <row r="22" spans="2:39" outlineLevel="1">
      <c r="B22" s="126" t="s">
        <v>66</v>
      </c>
      <c r="C22" s="126" t="s">
        <v>126</v>
      </c>
      <c r="D22" s="126" t="s">
        <v>3</v>
      </c>
      <c r="E22" s="295" t="s">
        <v>41</v>
      </c>
      <c r="F22" s="156" t="s">
        <v>524</v>
      </c>
      <c r="H22" s="164" t="s">
        <v>196</v>
      </c>
      <c r="J22" s="366" t="s">
        <v>523</v>
      </c>
      <c r="T22" s="208"/>
      <c r="U22" s="176"/>
      <c r="V22" s="208"/>
      <c r="W22" s="208"/>
      <c r="X22" s="176"/>
      <c r="Y22" s="176"/>
      <c r="Z22" s="208"/>
      <c r="AA22" s="403"/>
      <c r="AB22" s="176"/>
      <c r="AC22" s="208"/>
      <c r="AD22" s="176"/>
      <c r="AE22" s="176"/>
      <c r="AF22" s="208"/>
      <c r="AG22" s="176"/>
      <c r="AH22" s="176"/>
      <c r="AI22" s="208"/>
      <c r="AJ22" s="176"/>
      <c r="AK22" s="208"/>
      <c r="AL22" s="208"/>
      <c r="AM22" s="208"/>
    </row>
    <row r="23" spans="2:39" outlineLevel="1">
      <c r="B23" s="126" t="s">
        <v>67</v>
      </c>
      <c r="C23" s="126" t="s">
        <v>126</v>
      </c>
      <c r="D23" s="126" t="s">
        <v>16</v>
      </c>
      <c r="E23" s="295" t="s">
        <v>72</v>
      </c>
      <c r="F23" s="156" t="s">
        <v>524</v>
      </c>
      <c r="H23" s="165"/>
      <c r="J23" s="366" t="s">
        <v>524</v>
      </c>
      <c r="T23" s="176"/>
      <c r="U23" s="176"/>
      <c r="V23" s="208"/>
      <c r="W23" s="208"/>
      <c r="X23" s="176"/>
      <c r="Y23" s="208"/>
      <c r="Z23" s="208"/>
      <c r="AA23" s="403"/>
      <c r="AB23" s="176"/>
      <c r="AC23" s="208"/>
      <c r="AD23" s="176"/>
      <c r="AE23" s="176"/>
      <c r="AF23" s="208"/>
      <c r="AG23" s="176"/>
      <c r="AH23" s="176"/>
      <c r="AI23" s="208"/>
      <c r="AJ23" s="176"/>
      <c r="AK23" s="208"/>
      <c r="AL23" s="208"/>
      <c r="AM23" s="208"/>
    </row>
    <row r="24" spans="2:39" outlineLevel="1">
      <c r="B24" s="126" t="s">
        <v>68</v>
      </c>
      <c r="C24" s="126" t="s">
        <v>126</v>
      </c>
      <c r="D24" s="126" t="s">
        <v>16</v>
      </c>
      <c r="E24" s="295" t="s">
        <v>73</v>
      </c>
      <c r="F24" s="156" t="s">
        <v>524</v>
      </c>
      <c r="H24" s="166" t="s">
        <v>197</v>
      </c>
      <c r="J24" s="366" t="s">
        <v>525</v>
      </c>
      <c r="T24" s="176"/>
      <c r="U24" s="176"/>
      <c r="V24" s="208"/>
      <c r="W24" s="208"/>
      <c r="X24" s="176"/>
      <c r="Y24" s="208"/>
      <c r="Z24" s="208"/>
      <c r="AA24" s="403"/>
      <c r="AB24" s="176"/>
      <c r="AC24" s="208"/>
      <c r="AD24" s="176"/>
      <c r="AE24" s="176"/>
      <c r="AF24" s="208"/>
      <c r="AG24" s="176"/>
      <c r="AH24" s="176"/>
      <c r="AI24" s="208"/>
      <c r="AJ24" s="176"/>
      <c r="AK24" s="208"/>
      <c r="AL24" s="208"/>
      <c r="AM24" s="208"/>
    </row>
    <row r="25" spans="2:39" outlineLevel="1">
      <c r="B25" s="126" t="s">
        <v>63</v>
      </c>
      <c r="C25" s="126" t="s">
        <v>126</v>
      </c>
      <c r="D25" s="126" t="s">
        <v>9</v>
      </c>
      <c r="E25" s="296" t="s">
        <v>104</v>
      </c>
      <c r="F25" s="156" t="s">
        <v>524</v>
      </c>
      <c r="H25" s="167" t="s">
        <v>198</v>
      </c>
      <c r="J25" s="366" t="s">
        <v>526</v>
      </c>
      <c r="T25" s="176"/>
      <c r="U25" s="176"/>
      <c r="V25" s="208"/>
      <c r="W25" s="208"/>
      <c r="X25" s="176"/>
      <c r="Y25" s="208"/>
      <c r="Z25" s="208"/>
      <c r="AA25" s="403"/>
      <c r="AB25" s="176"/>
      <c r="AC25" s="208"/>
      <c r="AD25" s="176"/>
      <c r="AE25" s="176"/>
      <c r="AF25" s="208"/>
      <c r="AG25" s="176"/>
      <c r="AH25" s="176"/>
      <c r="AI25" s="208"/>
      <c r="AJ25" s="176"/>
      <c r="AK25" s="208"/>
      <c r="AL25" s="208"/>
      <c r="AM25" s="208"/>
    </row>
    <row r="26" spans="2:39" outlineLevel="1">
      <c r="B26" s="126" t="s">
        <v>62</v>
      </c>
      <c r="C26" s="126" t="s">
        <v>126</v>
      </c>
      <c r="D26" s="126" t="s">
        <v>3</v>
      </c>
      <c r="E26" s="296" t="s">
        <v>70</v>
      </c>
      <c r="F26" s="156" t="s">
        <v>524</v>
      </c>
      <c r="J26" s="367" t="s">
        <v>527</v>
      </c>
      <c r="T26" s="176"/>
      <c r="U26" s="176"/>
      <c r="V26" s="208"/>
      <c r="W26" s="208"/>
      <c r="X26" s="176"/>
      <c r="Y26" s="208"/>
      <c r="Z26" s="208"/>
      <c r="AA26" s="403"/>
      <c r="AB26" s="176"/>
      <c r="AC26" s="208"/>
      <c r="AD26" s="176"/>
      <c r="AE26" s="208"/>
      <c r="AF26" s="208"/>
      <c r="AG26" s="176"/>
      <c r="AH26" s="176"/>
      <c r="AI26" s="208"/>
      <c r="AJ26" s="176"/>
      <c r="AK26" s="208"/>
      <c r="AL26" s="208"/>
      <c r="AM26" s="208"/>
    </row>
    <row r="27" spans="2:39" ht="15.75" outlineLevel="1" thickBot="1">
      <c r="B27" s="126" t="s">
        <v>69</v>
      </c>
      <c r="C27" s="126" t="s">
        <v>126</v>
      </c>
      <c r="D27" s="126" t="s">
        <v>22</v>
      </c>
      <c r="E27" s="295" t="s">
        <v>97</v>
      </c>
      <c r="F27" s="156" t="s">
        <v>524</v>
      </c>
      <c r="T27" s="176"/>
      <c r="U27" s="176"/>
      <c r="V27" s="208"/>
      <c r="W27" s="208"/>
      <c r="X27" s="176"/>
      <c r="Y27" s="208"/>
      <c r="Z27" s="208"/>
      <c r="AA27" s="403"/>
      <c r="AB27" s="176"/>
      <c r="AC27" s="208"/>
      <c r="AD27" s="176"/>
      <c r="AE27" s="208"/>
      <c r="AF27" s="208"/>
      <c r="AG27" s="176"/>
      <c r="AH27" s="176"/>
      <c r="AI27" s="208"/>
      <c r="AJ27" s="176"/>
      <c r="AK27" s="208"/>
      <c r="AL27" s="208"/>
      <c r="AM27" s="208"/>
    </row>
    <row r="28" spans="2:39" outlineLevel="1">
      <c r="B28" s="127" t="s">
        <v>43</v>
      </c>
      <c r="C28" s="127" t="s">
        <v>125</v>
      </c>
      <c r="D28" s="127" t="s">
        <v>6</v>
      </c>
      <c r="E28" s="297" t="s">
        <v>102</v>
      </c>
      <c r="F28" s="156" t="s">
        <v>525</v>
      </c>
      <c r="G28" s="317">
        <v>0</v>
      </c>
      <c r="H28" s="318" t="s">
        <v>666</v>
      </c>
      <c r="T28" s="176"/>
      <c r="U28" s="176"/>
      <c r="V28" s="208"/>
      <c r="W28" s="208"/>
      <c r="X28" s="208"/>
      <c r="Y28" s="208"/>
      <c r="Z28" s="208"/>
      <c r="AA28" s="403"/>
      <c r="AB28" s="176"/>
      <c r="AC28" s="208"/>
      <c r="AD28" s="176"/>
      <c r="AE28" s="208"/>
      <c r="AF28" s="208"/>
      <c r="AG28" s="176"/>
      <c r="AH28" s="176"/>
      <c r="AI28" s="208"/>
      <c r="AJ28" s="176"/>
      <c r="AK28" s="208"/>
      <c r="AL28" s="208"/>
      <c r="AM28" s="208"/>
    </row>
    <row r="29" spans="2:39" outlineLevel="1">
      <c r="B29" s="127" t="s">
        <v>44</v>
      </c>
      <c r="C29" s="127" t="s">
        <v>125</v>
      </c>
      <c r="D29" s="127" t="s">
        <v>16</v>
      </c>
      <c r="E29" s="297" t="s">
        <v>41</v>
      </c>
      <c r="F29" s="156" t="s">
        <v>525</v>
      </c>
      <c r="G29" s="263">
        <v>1</v>
      </c>
      <c r="H29" s="319" t="s">
        <v>665</v>
      </c>
      <c r="T29" s="176"/>
      <c r="U29" s="176"/>
      <c r="V29" s="208"/>
      <c r="W29" s="208"/>
      <c r="X29" s="208"/>
      <c r="Y29" s="208"/>
      <c r="Z29" s="208"/>
      <c r="AA29" s="403"/>
      <c r="AB29" s="176"/>
      <c r="AC29" s="208"/>
      <c r="AD29" s="176"/>
      <c r="AE29" s="208"/>
      <c r="AF29" s="208"/>
      <c r="AG29" s="208"/>
      <c r="AH29" s="176"/>
      <c r="AI29" s="208"/>
      <c r="AJ29" s="176"/>
      <c r="AK29" s="208"/>
      <c r="AL29" s="208"/>
      <c r="AM29" s="208"/>
    </row>
    <row r="30" spans="2:39" outlineLevel="1">
      <c r="B30" s="127" t="s">
        <v>46</v>
      </c>
      <c r="C30" s="127" t="s">
        <v>125</v>
      </c>
      <c r="D30" s="127" t="s">
        <v>9</v>
      </c>
      <c r="E30" s="297" t="s">
        <v>102</v>
      </c>
      <c r="F30" s="156" t="s">
        <v>525</v>
      </c>
      <c r="G30" s="263">
        <v>2</v>
      </c>
      <c r="H30" s="319" t="s">
        <v>664</v>
      </c>
      <c r="T30" s="176"/>
      <c r="U30" s="176"/>
      <c r="V30" s="208"/>
      <c r="W30" s="208"/>
      <c r="X30" s="208"/>
      <c r="Y30" s="208"/>
      <c r="Z30" s="208"/>
      <c r="AA30" s="403"/>
      <c r="AB30" s="176"/>
      <c r="AC30" s="208"/>
      <c r="AD30" s="176"/>
      <c r="AE30" s="208"/>
      <c r="AF30" s="208"/>
      <c r="AG30" s="208"/>
      <c r="AH30" s="176"/>
      <c r="AI30" s="208"/>
      <c r="AJ30" s="176"/>
      <c r="AK30" s="208"/>
      <c r="AL30" s="208"/>
      <c r="AM30" s="208"/>
    </row>
    <row r="31" spans="2:39" outlineLevel="1">
      <c r="B31" s="127" t="s">
        <v>47</v>
      </c>
      <c r="C31" s="127" t="s">
        <v>125</v>
      </c>
      <c r="D31" s="127" t="s">
        <v>16</v>
      </c>
      <c r="E31" s="297" t="s">
        <v>51</v>
      </c>
      <c r="F31" s="156" t="s">
        <v>525</v>
      </c>
      <c r="G31" s="263">
        <v>3</v>
      </c>
      <c r="H31" s="319" t="s">
        <v>663</v>
      </c>
      <c r="T31" s="176"/>
      <c r="U31" s="176"/>
      <c r="V31" s="208"/>
      <c r="W31" s="208"/>
      <c r="X31" s="208"/>
      <c r="Y31" s="208"/>
      <c r="Z31" s="208"/>
      <c r="AA31" s="403"/>
      <c r="AB31" s="208"/>
      <c r="AC31" s="208"/>
      <c r="AD31" s="176"/>
      <c r="AE31" s="208"/>
      <c r="AF31" s="208"/>
      <c r="AG31" s="208"/>
      <c r="AH31" s="176"/>
      <c r="AI31" s="208"/>
      <c r="AJ31" s="176"/>
      <c r="AK31" s="208"/>
      <c r="AL31" s="208"/>
      <c r="AM31" s="208"/>
    </row>
    <row r="32" spans="2:39" outlineLevel="1">
      <c r="B32" s="127" t="s">
        <v>45</v>
      </c>
      <c r="C32" s="127" t="s">
        <v>125</v>
      </c>
      <c r="D32" s="127" t="s">
        <v>3</v>
      </c>
      <c r="E32" s="297" t="s">
        <v>92</v>
      </c>
      <c r="F32" s="156" t="s">
        <v>525</v>
      </c>
      <c r="G32" s="263">
        <v>4</v>
      </c>
      <c r="H32" s="319" t="s">
        <v>662</v>
      </c>
      <c r="T32" s="176"/>
      <c r="U32" s="176"/>
      <c r="V32" s="208"/>
      <c r="W32" s="208"/>
      <c r="X32" s="208"/>
      <c r="Y32" s="208"/>
      <c r="Z32" s="208"/>
      <c r="AA32" s="403"/>
      <c r="AB32" s="208"/>
      <c r="AC32" s="208"/>
      <c r="AD32" s="176"/>
      <c r="AE32" s="208"/>
      <c r="AF32" s="208"/>
      <c r="AG32" s="208"/>
      <c r="AH32" s="176"/>
      <c r="AI32" s="208"/>
      <c r="AJ32" s="176"/>
      <c r="AK32" s="208"/>
      <c r="AL32" s="208"/>
      <c r="AM32" s="208"/>
    </row>
    <row r="33" spans="2:39" outlineLevel="1">
      <c r="B33" s="127" t="s">
        <v>48</v>
      </c>
      <c r="C33" s="127" t="s">
        <v>125</v>
      </c>
      <c r="D33" s="127" t="s">
        <v>16</v>
      </c>
      <c r="E33" s="297" t="s">
        <v>52</v>
      </c>
      <c r="F33" s="156" t="s">
        <v>525</v>
      </c>
      <c r="G33" s="263">
        <v>5</v>
      </c>
      <c r="H33" s="320" t="s">
        <v>661</v>
      </c>
      <c r="T33" s="176"/>
      <c r="U33" s="176"/>
      <c r="V33" s="208"/>
      <c r="W33" s="208"/>
      <c r="X33" s="208"/>
      <c r="Y33" s="208"/>
      <c r="Z33" s="208"/>
      <c r="AA33" s="403"/>
      <c r="AB33" s="208"/>
      <c r="AC33" s="208"/>
      <c r="AD33" s="176"/>
      <c r="AE33" s="208"/>
      <c r="AF33" s="208"/>
      <c r="AG33" s="208"/>
      <c r="AH33" s="176"/>
      <c r="AI33" s="208"/>
      <c r="AJ33" s="176"/>
      <c r="AK33" s="208"/>
      <c r="AL33" s="208"/>
      <c r="AM33" s="208"/>
    </row>
    <row r="34" spans="2:39" outlineLevel="1">
      <c r="B34" s="127" t="s">
        <v>49</v>
      </c>
      <c r="C34" s="127" t="s">
        <v>125</v>
      </c>
      <c r="D34" s="127" t="s">
        <v>6</v>
      </c>
      <c r="E34" s="297" t="s">
        <v>99</v>
      </c>
      <c r="F34" s="156" t="s">
        <v>525</v>
      </c>
      <c r="G34" s="263">
        <v>6</v>
      </c>
      <c r="H34" s="320" t="s">
        <v>660</v>
      </c>
      <c r="T34" s="176"/>
      <c r="U34" s="176"/>
      <c r="V34" s="208"/>
      <c r="W34" s="208"/>
      <c r="X34" s="208"/>
      <c r="Y34" s="208"/>
      <c r="Z34" s="208"/>
      <c r="AA34" s="403"/>
      <c r="AB34" s="208"/>
      <c r="AC34" s="208"/>
      <c r="AD34" s="176"/>
      <c r="AE34" s="208"/>
      <c r="AF34" s="208"/>
      <c r="AG34" s="208"/>
      <c r="AH34" s="176"/>
      <c r="AI34" s="208"/>
      <c r="AJ34" s="176"/>
      <c r="AK34" s="208"/>
      <c r="AL34" s="208"/>
      <c r="AM34" s="208"/>
    </row>
    <row r="35" spans="2:39" outlineLevel="1">
      <c r="B35" s="127" t="s">
        <v>50</v>
      </c>
      <c r="C35" s="127" t="s">
        <v>125</v>
      </c>
      <c r="D35" s="127" t="s">
        <v>6</v>
      </c>
      <c r="E35" s="297" t="s">
        <v>101</v>
      </c>
      <c r="F35" s="156" t="s">
        <v>525</v>
      </c>
      <c r="G35" s="263">
        <v>7</v>
      </c>
      <c r="H35" s="321" t="s">
        <v>659</v>
      </c>
      <c r="T35" s="176"/>
      <c r="U35" s="176"/>
      <c r="V35" s="208"/>
      <c r="W35" s="208"/>
      <c r="X35" s="208"/>
      <c r="Y35" s="208"/>
      <c r="Z35" s="208"/>
      <c r="AA35" s="403"/>
      <c r="AB35" s="208"/>
      <c r="AC35" s="208"/>
      <c r="AD35" s="176"/>
      <c r="AE35" s="208"/>
      <c r="AF35" s="208"/>
      <c r="AG35" s="208"/>
      <c r="AH35" s="176"/>
      <c r="AI35" s="208"/>
      <c r="AJ35" s="176"/>
      <c r="AK35" s="208"/>
      <c r="AL35" s="208"/>
      <c r="AM35" s="208"/>
    </row>
    <row r="36" spans="2:39" outlineLevel="1">
      <c r="B36" s="128" t="s">
        <v>5</v>
      </c>
      <c r="C36" s="128" t="s">
        <v>121</v>
      </c>
      <c r="D36" s="128" t="s">
        <v>6</v>
      </c>
      <c r="E36" s="298" t="s">
        <v>7</v>
      </c>
      <c r="F36" s="156" t="s">
        <v>526</v>
      </c>
      <c r="G36" s="263">
        <v>8</v>
      </c>
      <c r="H36" s="321" t="s">
        <v>658</v>
      </c>
      <c r="T36" s="176"/>
      <c r="U36" s="208"/>
      <c r="V36" s="208"/>
      <c r="W36" s="208"/>
      <c r="X36" s="208"/>
      <c r="Y36" s="208"/>
      <c r="Z36" s="208"/>
      <c r="AA36" s="403"/>
      <c r="AB36" s="208"/>
      <c r="AC36" s="208"/>
      <c r="AD36" s="176"/>
      <c r="AE36" s="208"/>
      <c r="AF36" s="208"/>
      <c r="AG36" s="208"/>
      <c r="AH36" s="176"/>
      <c r="AI36" s="208"/>
      <c r="AJ36" s="176"/>
      <c r="AK36" s="208"/>
      <c r="AL36" s="208"/>
      <c r="AM36" s="208"/>
    </row>
    <row r="37" spans="2:39" outlineLevel="1">
      <c r="B37" s="128" t="s">
        <v>2</v>
      </c>
      <c r="C37" s="128" t="s">
        <v>121</v>
      </c>
      <c r="D37" s="128" t="s">
        <v>3</v>
      </c>
      <c r="E37" s="298" t="s">
        <v>4</v>
      </c>
      <c r="F37" s="156" t="s">
        <v>526</v>
      </c>
      <c r="G37" s="263">
        <v>9</v>
      </c>
      <c r="H37" s="321" t="s">
        <v>657</v>
      </c>
      <c r="T37" s="176"/>
      <c r="U37" s="208"/>
      <c r="V37" s="208"/>
      <c r="W37" s="208"/>
      <c r="X37" s="208"/>
      <c r="Y37" s="208"/>
      <c r="Z37" s="208"/>
      <c r="AA37" s="403"/>
      <c r="AB37" s="208"/>
      <c r="AC37" s="208"/>
      <c r="AD37" s="176"/>
      <c r="AE37" s="208"/>
      <c r="AF37" s="208"/>
      <c r="AG37" s="208"/>
      <c r="AH37" s="176"/>
      <c r="AI37" s="208"/>
      <c r="AJ37" s="176"/>
      <c r="AK37" s="208"/>
      <c r="AL37" s="208"/>
      <c r="AM37" s="208"/>
    </row>
    <row r="38" spans="2:39" ht="15.75" outlineLevel="1" thickBot="1">
      <c r="B38" s="128" t="s">
        <v>10</v>
      </c>
      <c r="C38" s="128" t="s">
        <v>121</v>
      </c>
      <c r="D38" s="128" t="s">
        <v>6</v>
      </c>
      <c r="E38" s="298" t="s">
        <v>11</v>
      </c>
      <c r="F38" s="156" t="s">
        <v>526</v>
      </c>
      <c r="G38" s="322">
        <v>10</v>
      </c>
      <c r="H38" s="323" t="s">
        <v>656</v>
      </c>
      <c r="T38" s="176"/>
      <c r="U38" s="208"/>
      <c r="V38" s="208"/>
      <c r="W38" s="208"/>
      <c r="X38" s="208"/>
      <c r="Y38" s="208"/>
      <c r="Z38" s="208"/>
      <c r="AA38" s="403"/>
      <c r="AB38" s="208"/>
      <c r="AC38" s="208"/>
      <c r="AD38" s="176"/>
      <c r="AE38" s="208"/>
      <c r="AF38" s="208"/>
      <c r="AG38" s="208"/>
      <c r="AH38" s="176"/>
      <c r="AI38" s="208"/>
      <c r="AJ38" s="176"/>
      <c r="AK38" s="208"/>
      <c r="AL38" s="208"/>
      <c r="AM38" s="208"/>
    </row>
    <row r="39" spans="2:39" ht="15.75" outlineLevel="1" thickBot="1">
      <c r="B39" s="128" t="s">
        <v>8</v>
      </c>
      <c r="C39" s="128" t="s">
        <v>121</v>
      </c>
      <c r="D39" s="128" t="s">
        <v>9</v>
      </c>
      <c r="E39" s="298" t="s">
        <v>4</v>
      </c>
      <c r="F39" s="156" t="s">
        <v>526</v>
      </c>
      <c r="H39" s="168"/>
      <c r="T39" s="176"/>
      <c r="U39" s="208"/>
      <c r="V39" s="208"/>
      <c r="W39" s="208"/>
      <c r="X39" s="208"/>
      <c r="Y39" s="208"/>
      <c r="Z39" s="208"/>
      <c r="AA39" s="403"/>
      <c r="AB39" s="208"/>
      <c r="AC39" s="208"/>
      <c r="AD39" s="176"/>
      <c r="AE39" s="208"/>
      <c r="AF39" s="208"/>
      <c r="AG39" s="208"/>
      <c r="AH39" s="176"/>
      <c r="AI39" s="208"/>
      <c r="AJ39" s="176"/>
      <c r="AK39" s="208"/>
      <c r="AL39" s="208"/>
      <c r="AM39" s="208"/>
    </row>
    <row r="40" spans="2:39" outlineLevel="1">
      <c r="B40" s="128" t="s">
        <v>13</v>
      </c>
      <c r="C40" s="128" t="s">
        <v>121</v>
      </c>
      <c r="D40" s="128" t="s">
        <v>16</v>
      </c>
      <c r="E40" s="298" t="s">
        <v>102</v>
      </c>
      <c r="F40" s="156" t="s">
        <v>526</v>
      </c>
      <c r="G40" s="382" t="s">
        <v>169</v>
      </c>
      <c r="H40" s="368" t="s">
        <v>726</v>
      </c>
      <c r="T40" s="176"/>
      <c r="U40" s="208"/>
      <c r="V40" s="208"/>
      <c r="W40" s="208"/>
      <c r="X40" s="208"/>
      <c r="Y40" s="208"/>
      <c r="Z40" s="208"/>
      <c r="AA40" s="403"/>
      <c r="AB40" s="208"/>
      <c r="AC40" s="208"/>
      <c r="AD40" s="176"/>
      <c r="AE40" s="208"/>
      <c r="AF40" s="208"/>
      <c r="AG40" s="208"/>
      <c r="AH40" s="176"/>
      <c r="AI40" s="208"/>
      <c r="AJ40" s="176"/>
      <c r="AK40" s="208"/>
      <c r="AL40" s="208"/>
      <c r="AM40" s="208"/>
    </row>
    <row r="41" spans="2:39" outlineLevel="1">
      <c r="B41" s="128" t="s">
        <v>12</v>
      </c>
      <c r="C41" s="128" t="s">
        <v>121</v>
      </c>
      <c r="D41" s="128" t="s">
        <v>3</v>
      </c>
      <c r="E41" s="298" t="s">
        <v>99</v>
      </c>
      <c r="F41" s="156" t="s">
        <v>526</v>
      </c>
      <c r="G41" s="384" t="s">
        <v>163</v>
      </c>
      <c r="H41" s="369" t="s">
        <v>719</v>
      </c>
      <c r="T41" s="176"/>
      <c r="U41" s="208"/>
      <c r="V41" s="208"/>
      <c r="W41" s="208"/>
      <c r="X41" s="208"/>
      <c r="Y41" s="208"/>
      <c r="Z41" s="208"/>
      <c r="AA41" s="403"/>
      <c r="AB41" s="208"/>
      <c r="AC41" s="208"/>
      <c r="AD41" s="176"/>
      <c r="AE41" s="208"/>
      <c r="AF41" s="208"/>
      <c r="AG41" s="208"/>
      <c r="AH41" s="176"/>
      <c r="AI41" s="208"/>
      <c r="AJ41" s="176"/>
      <c r="AK41" s="208"/>
      <c r="AL41" s="208"/>
      <c r="AM41" s="208"/>
    </row>
    <row r="42" spans="2:39" outlineLevel="1">
      <c r="B42" s="128" t="s">
        <v>15</v>
      </c>
      <c r="C42" s="128" t="s">
        <v>121</v>
      </c>
      <c r="D42" s="128" t="s">
        <v>6</v>
      </c>
      <c r="E42" s="298" t="s">
        <v>19</v>
      </c>
      <c r="F42" s="156" t="s">
        <v>526</v>
      </c>
      <c r="G42" s="371" t="s">
        <v>168</v>
      </c>
      <c r="H42" s="369" t="s">
        <v>723</v>
      </c>
      <c r="T42" s="176"/>
      <c r="U42" s="208"/>
      <c r="V42" s="208"/>
      <c r="W42" s="208"/>
      <c r="X42" s="208"/>
      <c r="Y42" s="208"/>
      <c r="Z42" s="208"/>
      <c r="AA42" s="403"/>
      <c r="AB42" s="208"/>
      <c r="AC42" s="208"/>
      <c r="AD42" s="176"/>
      <c r="AE42" s="208"/>
      <c r="AF42" s="208"/>
      <c r="AG42" s="208"/>
      <c r="AH42" s="176"/>
      <c r="AI42" s="208"/>
      <c r="AJ42" s="176"/>
      <c r="AK42" s="208"/>
      <c r="AL42" s="208"/>
      <c r="AM42" s="208"/>
    </row>
    <row r="43" spans="2:39" outlineLevel="1">
      <c r="B43" s="128" t="s">
        <v>14</v>
      </c>
      <c r="C43" s="128" t="s">
        <v>121</v>
      </c>
      <c r="D43" s="128" t="s">
        <v>17</v>
      </c>
      <c r="E43" s="298" t="s">
        <v>18</v>
      </c>
      <c r="F43" s="156" t="s">
        <v>526</v>
      </c>
      <c r="G43" s="371" t="s">
        <v>166</v>
      </c>
      <c r="H43" s="369" t="s">
        <v>721</v>
      </c>
      <c r="T43" s="176"/>
      <c r="U43" s="208"/>
      <c r="V43" s="208"/>
      <c r="W43" s="208"/>
      <c r="X43" s="208"/>
      <c r="Y43" s="208"/>
      <c r="Z43" s="208"/>
      <c r="AA43" s="403"/>
      <c r="AB43" s="208"/>
      <c r="AC43" s="208"/>
      <c r="AD43" s="176"/>
      <c r="AE43" s="208"/>
      <c r="AF43" s="208"/>
      <c r="AG43" s="208"/>
      <c r="AH43" s="176"/>
      <c r="AI43" s="208"/>
      <c r="AJ43" s="176"/>
      <c r="AK43" s="208"/>
      <c r="AL43" s="208"/>
      <c r="AM43" s="208"/>
    </row>
    <row r="44" spans="2:39" outlineLevel="1">
      <c r="B44" s="129" t="s">
        <v>32</v>
      </c>
      <c r="C44" s="129" t="s">
        <v>123</v>
      </c>
      <c r="D44" s="129" t="s">
        <v>16</v>
      </c>
      <c r="E44" s="299" t="s">
        <v>39</v>
      </c>
      <c r="F44" s="156" t="s">
        <v>527</v>
      </c>
      <c r="G44" s="381" t="s">
        <v>162</v>
      </c>
      <c r="H44" s="369" t="s">
        <v>716</v>
      </c>
      <c r="T44" s="176"/>
      <c r="U44" s="208"/>
      <c r="V44" s="208"/>
      <c r="W44" s="208"/>
      <c r="X44" s="208"/>
      <c r="Y44" s="208"/>
      <c r="Z44" s="208"/>
      <c r="AA44" s="403"/>
      <c r="AB44" s="208"/>
      <c r="AC44" s="208"/>
      <c r="AD44" s="176"/>
      <c r="AE44" s="208"/>
      <c r="AF44" s="208"/>
      <c r="AG44" s="208"/>
      <c r="AH44" s="176"/>
      <c r="AI44" s="208"/>
      <c r="AJ44" s="176"/>
      <c r="AK44" s="208"/>
      <c r="AL44" s="208"/>
      <c r="AM44" s="208"/>
    </row>
    <row r="45" spans="2:39" outlineLevel="1">
      <c r="B45" s="129" t="s">
        <v>31</v>
      </c>
      <c r="C45" s="129" t="s">
        <v>123</v>
      </c>
      <c r="D45" s="129" t="s">
        <v>17</v>
      </c>
      <c r="E45" s="299" t="s">
        <v>647</v>
      </c>
      <c r="F45" s="156" t="s">
        <v>527</v>
      </c>
      <c r="G45" s="371" t="s">
        <v>167</v>
      </c>
      <c r="H45" s="369" t="s">
        <v>722</v>
      </c>
      <c r="T45" s="176"/>
      <c r="U45" s="208"/>
      <c r="V45" s="208"/>
      <c r="W45" s="208"/>
      <c r="X45" s="208"/>
      <c r="Y45" s="208"/>
      <c r="Z45" s="208"/>
      <c r="AA45" s="403"/>
      <c r="AB45" s="208"/>
      <c r="AC45" s="208"/>
      <c r="AD45" s="176"/>
      <c r="AE45" s="208"/>
      <c r="AF45" s="208"/>
      <c r="AG45" s="208"/>
      <c r="AH45" s="176"/>
      <c r="AI45" s="208"/>
      <c r="AJ45" s="176"/>
      <c r="AK45" s="208"/>
      <c r="AL45" s="208"/>
      <c r="AM45" s="208"/>
    </row>
    <row r="46" spans="2:39" outlineLevel="1">
      <c r="B46" s="129" t="s">
        <v>34</v>
      </c>
      <c r="C46" s="129" t="s">
        <v>123</v>
      </c>
      <c r="D46" s="129" t="s">
        <v>16</v>
      </c>
      <c r="E46" s="300" t="s">
        <v>40</v>
      </c>
      <c r="F46" s="156" t="s">
        <v>527</v>
      </c>
      <c r="G46" s="371" t="s">
        <v>170</v>
      </c>
      <c r="H46" s="369" t="s">
        <v>725</v>
      </c>
      <c r="T46" s="176"/>
      <c r="U46" s="208"/>
      <c r="V46" s="208"/>
      <c r="W46" s="208"/>
      <c r="X46" s="208"/>
      <c r="Y46" s="208"/>
      <c r="Z46" s="208"/>
      <c r="AA46" s="403"/>
      <c r="AB46" s="208"/>
      <c r="AC46" s="208"/>
      <c r="AD46" s="176"/>
      <c r="AE46" s="208"/>
      <c r="AF46" s="208"/>
      <c r="AG46" s="208"/>
      <c r="AH46" s="176"/>
      <c r="AI46" s="208"/>
      <c r="AJ46" s="176"/>
      <c r="AK46" s="208"/>
      <c r="AL46" s="208"/>
      <c r="AM46" s="208"/>
    </row>
    <row r="47" spans="2:39" outlineLevel="1">
      <c r="B47" s="129" t="s">
        <v>33</v>
      </c>
      <c r="C47" s="129" t="s">
        <v>123</v>
      </c>
      <c r="D47" s="129" t="s">
        <v>22</v>
      </c>
      <c r="E47" s="299" t="s">
        <v>39</v>
      </c>
      <c r="F47" s="156" t="s">
        <v>527</v>
      </c>
      <c r="G47" s="371" t="s">
        <v>171</v>
      </c>
      <c r="H47" s="369" t="s">
        <v>724</v>
      </c>
      <c r="T47" s="176"/>
      <c r="U47" s="208"/>
      <c r="V47" s="208"/>
      <c r="W47" s="208"/>
      <c r="X47" s="208"/>
      <c r="Y47" s="208"/>
      <c r="Z47" s="208"/>
      <c r="AA47" s="403"/>
      <c r="AB47" s="208"/>
      <c r="AC47" s="208"/>
      <c r="AD47" s="176"/>
      <c r="AE47" s="208"/>
      <c r="AF47" s="208"/>
      <c r="AG47" s="208"/>
      <c r="AH47" s="176"/>
      <c r="AI47" s="208"/>
      <c r="AJ47" s="176"/>
      <c r="AK47" s="208"/>
      <c r="AL47" s="208"/>
      <c r="AM47" s="208"/>
    </row>
    <row r="48" spans="2:39" outlineLevel="1">
      <c r="B48" s="129" t="s">
        <v>36</v>
      </c>
      <c r="C48" s="129" t="s">
        <v>123</v>
      </c>
      <c r="D48" s="129" t="s">
        <v>22</v>
      </c>
      <c r="E48" s="299" t="s">
        <v>11</v>
      </c>
      <c r="F48" s="156" t="s">
        <v>527</v>
      </c>
      <c r="G48" s="371" t="s">
        <v>165</v>
      </c>
      <c r="H48" s="369" t="s">
        <v>720</v>
      </c>
      <c r="T48" s="176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176"/>
      <c r="AI48" s="208"/>
      <c r="AJ48" s="176"/>
      <c r="AK48" s="208"/>
      <c r="AL48" s="208"/>
      <c r="AM48" s="208"/>
    </row>
    <row r="49" spans="1:77" outlineLevel="1">
      <c r="B49" s="129" t="s">
        <v>35</v>
      </c>
      <c r="C49" s="129" t="s">
        <v>123</v>
      </c>
      <c r="D49" s="129" t="s">
        <v>17</v>
      </c>
      <c r="E49" s="299" t="s">
        <v>41</v>
      </c>
      <c r="F49" s="156" t="s">
        <v>527</v>
      </c>
      <c r="G49" s="371" t="s">
        <v>714</v>
      </c>
      <c r="H49" s="369" t="s">
        <v>727</v>
      </c>
      <c r="T49" s="176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176"/>
      <c r="AI49" s="208"/>
      <c r="AJ49" s="176"/>
      <c r="AK49" s="208"/>
      <c r="AL49" s="208"/>
      <c r="AM49" s="208"/>
    </row>
    <row r="50" spans="1:77" ht="15.75" outlineLevel="1" thickBot="1">
      <c r="B50" s="129" t="s">
        <v>38</v>
      </c>
      <c r="C50" s="129" t="s">
        <v>123</v>
      </c>
      <c r="D50" s="129" t="s">
        <v>17</v>
      </c>
      <c r="E50" s="299" t="s">
        <v>42</v>
      </c>
      <c r="F50" s="156" t="s">
        <v>527</v>
      </c>
      <c r="G50" s="372" t="s">
        <v>164</v>
      </c>
      <c r="H50" s="369" t="s">
        <v>718</v>
      </c>
      <c r="T50" s="176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176"/>
      <c r="AI50" s="208"/>
      <c r="AJ50" s="176"/>
      <c r="AK50" s="208"/>
      <c r="AL50" s="208"/>
      <c r="AM50" s="208"/>
    </row>
    <row r="51" spans="1:77" ht="15.75" outlineLevel="1" thickBot="1">
      <c r="B51" s="130" t="s">
        <v>37</v>
      </c>
      <c r="C51" s="130" t="s">
        <v>123</v>
      </c>
      <c r="D51" s="130" t="s">
        <v>3</v>
      </c>
      <c r="E51" s="301" t="s">
        <v>198</v>
      </c>
      <c r="F51" s="156" t="s">
        <v>527</v>
      </c>
      <c r="G51" s="383" t="s">
        <v>715</v>
      </c>
      <c r="H51" s="370" t="s">
        <v>717</v>
      </c>
      <c r="T51" s="176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176"/>
      <c r="AI51" s="208"/>
      <c r="AJ51" s="176"/>
      <c r="AK51" s="208"/>
      <c r="AL51" s="208"/>
      <c r="AM51" s="208"/>
    </row>
    <row r="52" spans="1:77">
      <c r="A52" s="103"/>
      <c r="E52" s="103"/>
      <c r="H52" s="168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76"/>
      <c r="U52" s="208"/>
      <c r="V52" s="208"/>
      <c r="W52" s="208"/>
      <c r="X52" s="208"/>
      <c r="Y52" s="208"/>
      <c r="Z52" s="176"/>
      <c r="AA52" s="208"/>
      <c r="AB52" s="208"/>
      <c r="AC52" s="176"/>
      <c r="AD52" s="208"/>
      <c r="AE52" s="176"/>
      <c r="AF52" s="176"/>
      <c r="AG52" s="176"/>
      <c r="AH52" s="176"/>
      <c r="AI52" s="176"/>
      <c r="AJ52" s="176"/>
      <c r="AK52" s="176"/>
      <c r="AL52" s="176"/>
      <c r="AM52" s="176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</row>
    <row r="53" spans="1:77" ht="15.75" thickBot="1">
      <c r="A53" s="103"/>
      <c r="E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76"/>
      <c r="U53" s="208"/>
      <c r="V53" s="208"/>
      <c r="W53" s="208"/>
      <c r="X53" s="208"/>
      <c r="Y53" s="208"/>
      <c r="Z53" s="176"/>
      <c r="AA53" s="208"/>
      <c r="AB53" s="208"/>
      <c r="AC53" s="176"/>
      <c r="AD53" s="208"/>
      <c r="AE53" s="176"/>
      <c r="AF53" s="176"/>
      <c r="AG53" s="176"/>
      <c r="AH53" s="176"/>
      <c r="AI53" s="176"/>
      <c r="AJ53" s="176"/>
      <c r="AK53" s="176"/>
      <c r="AL53" s="176"/>
      <c r="AM53" s="176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</row>
    <row r="54" spans="1:77" ht="27" customHeight="1" outlineLevel="1">
      <c r="A54" s="103"/>
      <c r="B54" s="131" t="s">
        <v>120</v>
      </c>
      <c r="C54" s="131" t="s">
        <v>144</v>
      </c>
      <c r="D54" s="131" t="s">
        <v>142</v>
      </c>
      <c r="E54" s="131" t="s">
        <v>143</v>
      </c>
      <c r="F54" s="131" t="s">
        <v>154</v>
      </c>
      <c r="G54" s="131" t="s">
        <v>155</v>
      </c>
      <c r="H54" s="131" t="s">
        <v>145</v>
      </c>
      <c r="I54" s="131" t="s">
        <v>146</v>
      </c>
      <c r="J54" s="131" t="s">
        <v>147</v>
      </c>
      <c r="K54" s="131" t="s">
        <v>148</v>
      </c>
      <c r="L54" s="131" t="s">
        <v>149</v>
      </c>
      <c r="M54" s="131" t="s">
        <v>150</v>
      </c>
      <c r="N54" s="131" t="s">
        <v>151</v>
      </c>
      <c r="O54" s="131" t="s">
        <v>152</v>
      </c>
      <c r="P54" s="131" t="s">
        <v>153</v>
      </c>
      <c r="Q54" s="131" t="s">
        <v>173</v>
      </c>
      <c r="S54" s="103"/>
      <c r="T54" s="176"/>
      <c r="U54" s="208"/>
      <c r="V54" s="208"/>
      <c r="W54" s="208"/>
      <c r="X54" s="208"/>
      <c r="Y54" s="208"/>
      <c r="Z54" s="176"/>
      <c r="AA54" s="208"/>
      <c r="AB54" s="208"/>
      <c r="AC54" s="176"/>
      <c r="AD54" s="208"/>
      <c r="AE54" s="176"/>
      <c r="AF54" s="176"/>
      <c r="AG54" s="176"/>
      <c r="AH54" s="176"/>
      <c r="AI54" s="176"/>
      <c r="AJ54" s="176"/>
      <c r="AK54" s="176"/>
      <c r="AL54" s="176"/>
      <c r="AM54" s="176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</row>
    <row r="55" spans="1:77" ht="30" customHeight="1" outlineLevel="1">
      <c r="A55" s="103"/>
      <c r="B55" s="132" t="s">
        <v>156</v>
      </c>
      <c r="C55" s="133" t="s">
        <v>113</v>
      </c>
      <c r="D55" s="133" t="s">
        <v>114</v>
      </c>
      <c r="E55" s="133" t="s">
        <v>118</v>
      </c>
      <c r="F55" s="373" t="s">
        <v>162</v>
      </c>
      <c r="G55" s="373" t="s">
        <v>715</v>
      </c>
      <c r="H55" s="376" t="s">
        <v>83</v>
      </c>
      <c r="I55" s="376" t="s">
        <v>84</v>
      </c>
      <c r="J55" s="377" t="s">
        <v>27</v>
      </c>
      <c r="K55" s="376" t="s">
        <v>86</v>
      </c>
      <c r="L55" s="376" t="s">
        <v>70</v>
      </c>
      <c r="M55" s="377" t="s">
        <v>99</v>
      </c>
      <c r="N55" s="377" t="s">
        <v>19</v>
      </c>
      <c r="O55" s="376" t="s">
        <v>23</v>
      </c>
      <c r="P55" s="377" t="s">
        <v>18</v>
      </c>
      <c r="Q55" s="378" t="s">
        <v>174</v>
      </c>
      <c r="S55" s="103"/>
      <c r="T55" s="176"/>
      <c r="U55" s="208"/>
      <c r="V55" s="208"/>
      <c r="W55" s="208"/>
      <c r="X55" s="208"/>
      <c r="Y55" s="208"/>
      <c r="Z55" s="176"/>
      <c r="AA55" s="208"/>
      <c r="AB55" s="208"/>
      <c r="AC55" s="176"/>
      <c r="AD55" s="208"/>
      <c r="AE55" s="176"/>
      <c r="AF55" s="176"/>
      <c r="AG55" s="176"/>
      <c r="AH55" s="176"/>
      <c r="AI55" s="176"/>
      <c r="AJ55" s="176"/>
      <c r="AK55" s="176"/>
      <c r="AL55" s="176"/>
      <c r="AM55" s="176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</row>
    <row r="56" spans="1:77" ht="34.5" customHeight="1" outlineLevel="1">
      <c r="A56" s="103"/>
      <c r="B56" s="132" t="s">
        <v>157</v>
      </c>
      <c r="C56" s="133" t="s">
        <v>115</v>
      </c>
      <c r="D56" s="133" t="s">
        <v>117</v>
      </c>
      <c r="E56" s="133" t="s">
        <v>118</v>
      </c>
      <c r="F56" s="373" t="s">
        <v>164</v>
      </c>
      <c r="G56" s="373" t="s">
        <v>163</v>
      </c>
      <c r="H56" s="376" t="s">
        <v>70</v>
      </c>
      <c r="I56" s="377" t="s">
        <v>72</v>
      </c>
      <c r="J56" s="377" t="s">
        <v>92</v>
      </c>
      <c r="K56" s="377" t="s">
        <v>51</v>
      </c>
      <c r="L56" s="377" t="s">
        <v>105</v>
      </c>
      <c r="M56" s="377" t="s">
        <v>39</v>
      </c>
      <c r="N56" s="376" t="s">
        <v>40</v>
      </c>
      <c r="O56" s="377" t="s">
        <v>19</v>
      </c>
      <c r="P56" s="378" t="s">
        <v>174</v>
      </c>
      <c r="Q56" s="378" t="s">
        <v>174</v>
      </c>
      <c r="S56" s="103"/>
      <c r="T56" s="176"/>
      <c r="U56" s="208"/>
      <c r="V56" s="208"/>
      <c r="W56" s="208"/>
      <c r="X56" s="208"/>
      <c r="Y56" s="208"/>
      <c r="Z56" s="176"/>
      <c r="AA56" s="208"/>
      <c r="AB56" s="208"/>
      <c r="AC56" s="176"/>
      <c r="AD56" s="208"/>
      <c r="AE56" s="176"/>
      <c r="AF56" s="176"/>
      <c r="AG56" s="176"/>
      <c r="AH56" s="176"/>
      <c r="AI56" s="176"/>
      <c r="AJ56" s="176"/>
      <c r="AK56" s="176"/>
      <c r="AL56" s="176"/>
      <c r="AM56" s="176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</row>
    <row r="57" spans="1:77" ht="29.25" customHeight="1" outlineLevel="1">
      <c r="A57" s="103"/>
      <c r="B57" s="132" t="s">
        <v>158</v>
      </c>
      <c r="C57" s="133" t="s">
        <v>113</v>
      </c>
      <c r="D57" s="133" t="s">
        <v>114</v>
      </c>
      <c r="E57" s="133" t="s">
        <v>118</v>
      </c>
      <c r="F57" s="373" t="s">
        <v>165</v>
      </c>
      <c r="G57" s="373" t="s">
        <v>166</v>
      </c>
      <c r="H57" s="376" t="s">
        <v>83</v>
      </c>
      <c r="I57" s="376" t="s">
        <v>84</v>
      </c>
      <c r="J57" s="377" t="s">
        <v>42</v>
      </c>
      <c r="K57" s="376" t="s">
        <v>70</v>
      </c>
      <c r="L57" s="377" t="s">
        <v>197</v>
      </c>
      <c r="M57" s="377" t="s">
        <v>94</v>
      </c>
      <c r="N57" s="376" t="s">
        <v>71</v>
      </c>
      <c r="O57" s="376" t="s">
        <v>23</v>
      </c>
      <c r="P57" s="377" t="s">
        <v>18</v>
      </c>
      <c r="Q57" s="378" t="s">
        <v>174</v>
      </c>
      <c r="S57" s="103"/>
      <c r="T57" s="176"/>
      <c r="U57" s="208"/>
      <c r="V57" s="208"/>
      <c r="W57" s="208"/>
      <c r="X57" s="208"/>
      <c r="Y57" s="208"/>
      <c r="Z57" s="176"/>
      <c r="AA57" s="208"/>
      <c r="AB57" s="208"/>
      <c r="AC57" s="176"/>
      <c r="AD57" s="208"/>
      <c r="AE57" s="176"/>
      <c r="AF57" s="176"/>
      <c r="AG57" s="176"/>
      <c r="AH57" s="176"/>
      <c r="AI57" s="176"/>
      <c r="AJ57" s="176"/>
      <c r="AK57" s="176"/>
      <c r="AL57" s="176"/>
      <c r="AM57" s="176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</row>
    <row r="58" spans="1:77" ht="30" customHeight="1" outlineLevel="1">
      <c r="A58" s="103"/>
      <c r="B58" s="132" t="s">
        <v>159</v>
      </c>
      <c r="C58" s="133" t="s">
        <v>115</v>
      </c>
      <c r="D58" s="133" t="s">
        <v>116</v>
      </c>
      <c r="E58" s="133" t="s">
        <v>117</v>
      </c>
      <c r="F58" s="373" t="s">
        <v>167</v>
      </c>
      <c r="G58" s="373" t="s">
        <v>168</v>
      </c>
      <c r="H58" s="377" t="s">
        <v>59</v>
      </c>
      <c r="I58" s="377" t="s">
        <v>92</v>
      </c>
      <c r="J58" s="377" t="s">
        <v>52</v>
      </c>
      <c r="K58" s="377" t="s">
        <v>98</v>
      </c>
      <c r="L58" s="377" t="s">
        <v>99</v>
      </c>
      <c r="M58" s="377" t="s">
        <v>100</v>
      </c>
      <c r="N58" s="377" t="s">
        <v>172</v>
      </c>
      <c r="O58" s="377" t="s">
        <v>102</v>
      </c>
      <c r="P58" s="377" t="s">
        <v>4</v>
      </c>
      <c r="Q58" s="377" t="s">
        <v>39</v>
      </c>
      <c r="S58" s="103"/>
      <c r="T58" s="176"/>
      <c r="U58" s="208"/>
      <c r="V58" s="208"/>
      <c r="W58" s="208"/>
      <c r="X58" s="208"/>
      <c r="Y58" s="208"/>
      <c r="Z58" s="176"/>
      <c r="AA58" s="208"/>
      <c r="AB58" s="208"/>
      <c r="AC58" s="176"/>
      <c r="AD58" s="208"/>
      <c r="AE58" s="176"/>
      <c r="AF58" s="176"/>
      <c r="AG58" s="176"/>
      <c r="AH58" s="176"/>
      <c r="AI58" s="176"/>
      <c r="AJ58" s="176"/>
      <c r="AK58" s="176"/>
      <c r="AL58" s="176"/>
      <c r="AM58" s="176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</row>
    <row r="59" spans="1:77" ht="30.75" customHeight="1" outlineLevel="1">
      <c r="A59" s="103"/>
      <c r="B59" s="132" t="s">
        <v>161</v>
      </c>
      <c r="C59" s="133" t="s">
        <v>113</v>
      </c>
      <c r="D59" s="133" t="s">
        <v>115</v>
      </c>
      <c r="E59" s="133" t="s">
        <v>116</v>
      </c>
      <c r="F59" s="373" t="s">
        <v>171</v>
      </c>
      <c r="G59" s="373" t="s">
        <v>170</v>
      </c>
      <c r="H59" s="376" t="s">
        <v>84</v>
      </c>
      <c r="I59" s="376" t="s">
        <v>195</v>
      </c>
      <c r="J59" s="377" t="s">
        <v>27</v>
      </c>
      <c r="K59" s="377" t="s">
        <v>92</v>
      </c>
      <c r="L59" s="377" t="s">
        <v>93</v>
      </c>
      <c r="M59" s="377" t="s">
        <v>99</v>
      </c>
      <c r="N59" s="377" t="s">
        <v>51</v>
      </c>
      <c r="O59" s="377" t="s">
        <v>102</v>
      </c>
      <c r="P59" s="376" t="s">
        <v>103</v>
      </c>
      <c r="Q59" s="378" t="s">
        <v>174</v>
      </c>
      <c r="S59" s="103"/>
      <c r="T59" s="176"/>
      <c r="U59" s="208"/>
      <c r="V59" s="208"/>
      <c r="W59" s="208"/>
      <c r="X59" s="208"/>
      <c r="Y59" s="208"/>
      <c r="Z59" s="176"/>
      <c r="AA59" s="208"/>
      <c r="AB59" s="208"/>
      <c r="AC59" s="176"/>
      <c r="AD59" s="208"/>
      <c r="AE59" s="176"/>
      <c r="AF59" s="176"/>
      <c r="AG59" s="176"/>
      <c r="AH59" s="176"/>
      <c r="AI59" s="176"/>
      <c r="AJ59" s="176"/>
      <c r="AK59" s="176"/>
      <c r="AL59" s="176"/>
      <c r="AM59" s="176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</row>
    <row r="60" spans="1:77" ht="28.5" customHeight="1" outlineLevel="1" thickBot="1">
      <c r="A60" s="103"/>
      <c r="B60" s="134" t="s">
        <v>160</v>
      </c>
      <c r="C60" s="135" t="s">
        <v>113</v>
      </c>
      <c r="D60" s="135" t="s">
        <v>115</v>
      </c>
      <c r="E60" s="135" t="s">
        <v>116</v>
      </c>
      <c r="F60" s="374" t="s">
        <v>169</v>
      </c>
      <c r="G60" s="375" t="s">
        <v>714</v>
      </c>
      <c r="H60" s="376" t="s">
        <v>84</v>
      </c>
      <c r="I60" s="379" t="s">
        <v>195</v>
      </c>
      <c r="J60" s="379" t="s">
        <v>196</v>
      </c>
      <c r="K60" s="380" t="s">
        <v>197</v>
      </c>
      <c r="L60" s="377" t="s">
        <v>92</v>
      </c>
      <c r="M60" s="377" t="s">
        <v>99</v>
      </c>
      <c r="N60" s="377" t="s">
        <v>51</v>
      </c>
      <c r="O60" s="377" t="s">
        <v>102</v>
      </c>
      <c r="P60" s="377" t="s">
        <v>105</v>
      </c>
      <c r="Q60" s="378" t="s">
        <v>174</v>
      </c>
      <c r="S60" s="103"/>
      <c r="T60" s="176"/>
      <c r="U60" s="208"/>
      <c r="V60" s="208"/>
      <c r="W60" s="208"/>
      <c r="X60" s="208"/>
      <c r="Y60" s="208"/>
      <c r="Z60" s="176"/>
      <c r="AA60" s="208"/>
      <c r="AB60" s="208"/>
      <c r="AC60" s="176"/>
      <c r="AD60" s="208"/>
      <c r="AE60" s="176"/>
      <c r="AF60" s="176"/>
      <c r="AG60" s="176"/>
      <c r="AH60" s="176"/>
      <c r="AI60" s="176"/>
      <c r="AJ60" s="176"/>
      <c r="AK60" s="176"/>
      <c r="AL60" s="176"/>
      <c r="AM60" s="176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</row>
    <row r="61" spans="1:77" ht="15.75" thickBot="1">
      <c r="A61" s="103"/>
      <c r="E61" s="103"/>
      <c r="M61" s="103"/>
      <c r="N61" s="103"/>
      <c r="O61" s="103"/>
      <c r="P61" s="103"/>
      <c r="Q61" s="103"/>
      <c r="R61" s="103"/>
      <c r="S61" s="103"/>
      <c r="T61" s="176"/>
      <c r="U61" s="208"/>
      <c r="V61" s="208"/>
      <c r="W61" s="208"/>
      <c r="X61" s="208"/>
      <c r="Y61" s="208"/>
      <c r="Z61" s="176"/>
      <c r="AA61" s="208"/>
      <c r="AB61" s="208"/>
      <c r="AC61" s="176"/>
      <c r="AD61" s="208"/>
      <c r="AE61" s="176"/>
      <c r="AF61" s="176"/>
      <c r="AG61" s="176"/>
      <c r="AH61" s="176"/>
      <c r="AI61" s="176"/>
      <c r="AJ61" s="176"/>
      <c r="AK61" s="176"/>
      <c r="AL61" s="176"/>
      <c r="AM61" s="176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</row>
    <row r="62" spans="1:77" ht="15.75" outlineLevel="1" thickBot="1">
      <c r="A62" s="103"/>
      <c r="B62" s="204" t="s">
        <v>572</v>
      </c>
      <c r="C62" s="205" t="s">
        <v>201</v>
      </c>
      <c r="D62" s="206" t="s">
        <v>290</v>
      </c>
      <c r="E62" s="103"/>
      <c r="F62" s="169" t="s">
        <v>289</v>
      </c>
      <c r="G62" s="170" t="s">
        <v>201</v>
      </c>
      <c r="H62" s="397" t="s">
        <v>290</v>
      </c>
      <c r="N62" s="103"/>
      <c r="O62" s="103"/>
      <c r="P62" s="103"/>
      <c r="Q62" s="103"/>
      <c r="R62" s="103"/>
      <c r="S62" s="103"/>
      <c r="T62" s="176"/>
      <c r="U62" s="208"/>
      <c r="V62" s="208"/>
      <c r="W62" s="208"/>
      <c r="X62" s="208"/>
      <c r="Y62" s="208"/>
      <c r="Z62" s="176"/>
      <c r="AA62" s="208"/>
      <c r="AB62" s="208"/>
      <c r="AC62" s="176"/>
      <c r="AD62" s="208"/>
      <c r="AE62" s="176"/>
      <c r="AF62" s="176"/>
      <c r="AG62" s="176"/>
      <c r="AH62" s="176"/>
      <c r="AI62" s="176"/>
      <c r="AJ62" s="176"/>
      <c r="AK62" s="176"/>
      <c r="AL62" s="176"/>
      <c r="AM62" s="176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</row>
    <row r="63" spans="1:77" outlineLevel="1">
      <c r="A63" s="103"/>
      <c r="B63" s="184">
        <v>0</v>
      </c>
      <c r="C63" s="140">
        <v>0</v>
      </c>
      <c r="D63" s="185" t="s">
        <v>174</v>
      </c>
      <c r="E63" s="103"/>
      <c r="F63" s="187">
        <v>0</v>
      </c>
      <c r="G63" s="140">
        <v>0</v>
      </c>
      <c r="H63" s="396" t="s">
        <v>174</v>
      </c>
      <c r="N63" s="103"/>
      <c r="O63" s="103"/>
      <c r="P63" s="103"/>
      <c r="Q63" s="103"/>
      <c r="R63" s="103"/>
      <c r="S63" s="103"/>
      <c r="T63" s="176"/>
      <c r="U63" s="208"/>
      <c r="V63" s="208"/>
      <c r="W63" s="208"/>
      <c r="X63" s="208"/>
      <c r="Y63" s="208"/>
      <c r="Z63" s="176"/>
      <c r="AA63" s="208"/>
      <c r="AB63" s="208"/>
      <c r="AC63" s="176"/>
      <c r="AD63" s="208"/>
      <c r="AE63" s="176"/>
      <c r="AF63" s="176"/>
      <c r="AG63" s="176"/>
      <c r="AH63" s="176"/>
      <c r="AI63" s="176"/>
      <c r="AJ63" s="176"/>
      <c r="AK63" s="176"/>
      <c r="AL63" s="176"/>
      <c r="AM63" s="176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</row>
    <row r="64" spans="1:77" outlineLevel="1">
      <c r="A64" s="103"/>
      <c r="B64" s="109" t="s">
        <v>249</v>
      </c>
      <c r="C64" s="110">
        <v>1</v>
      </c>
      <c r="D64" s="115" t="s">
        <v>250</v>
      </c>
      <c r="E64" s="103"/>
      <c r="F64" s="171" t="s">
        <v>481</v>
      </c>
      <c r="G64" s="141">
        <v>1</v>
      </c>
      <c r="H64" s="172" t="s">
        <v>482</v>
      </c>
      <c r="N64" s="103"/>
      <c r="O64" s="103"/>
      <c r="P64" s="103"/>
      <c r="Q64" s="103"/>
      <c r="R64" s="103"/>
      <c r="S64" s="103"/>
      <c r="T64" s="176"/>
      <c r="U64" s="208"/>
      <c r="V64" s="208"/>
      <c r="W64" s="208"/>
      <c r="X64" s="208"/>
      <c r="Y64" s="208"/>
      <c r="Z64" s="176"/>
      <c r="AA64" s="208"/>
      <c r="AB64" s="208"/>
      <c r="AC64" s="176"/>
      <c r="AD64" s="208"/>
      <c r="AE64" s="176"/>
      <c r="AF64" s="176"/>
      <c r="AG64" s="176"/>
      <c r="AH64" s="176"/>
      <c r="AI64" s="176"/>
      <c r="AJ64" s="176"/>
      <c r="AK64" s="176"/>
      <c r="AL64" s="176"/>
      <c r="AM64" s="176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</row>
    <row r="65" spans="1:77" outlineLevel="1">
      <c r="A65" s="103"/>
      <c r="B65" s="111" t="s">
        <v>254</v>
      </c>
      <c r="C65" s="110">
        <v>1</v>
      </c>
      <c r="D65" s="115" t="s">
        <v>255</v>
      </c>
      <c r="E65" s="103"/>
      <c r="F65" s="171" t="s">
        <v>479</v>
      </c>
      <c r="G65" s="141">
        <v>1</v>
      </c>
      <c r="H65" s="172" t="s">
        <v>480</v>
      </c>
      <c r="N65" s="103"/>
      <c r="O65" s="103"/>
      <c r="P65" s="103"/>
      <c r="Q65" s="103"/>
      <c r="R65" s="103"/>
      <c r="S65" s="103"/>
      <c r="T65" s="176"/>
      <c r="U65" s="208"/>
      <c r="V65" s="208"/>
      <c r="W65" s="208"/>
      <c r="X65" s="208"/>
      <c r="Y65" s="208"/>
      <c r="Z65" s="176"/>
      <c r="AA65" s="208"/>
      <c r="AB65" s="208"/>
      <c r="AC65" s="176"/>
      <c r="AD65" s="208"/>
      <c r="AE65" s="176"/>
      <c r="AF65" s="176"/>
      <c r="AG65" s="176"/>
      <c r="AH65" s="176"/>
      <c r="AI65" s="176"/>
      <c r="AJ65" s="176"/>
      <c r="AK65" s="176"/>
      <c r="AL65" s="176"/>
      <c r="AM65" s="176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</row>
    <row r="66" spans="1:77" outlineLevel="1">
      <c r="A66" s="103"/>
      <c r="B66" s="109" t="s">
        <v>256</v>
      </c>
      <c r="C66" s="110">
        <v>1</v>
      </c>
      <c r="D66" s="115" t="s">
        <v>257</v>
      </c>
      <c r="E66" s="103"/>
      <c r="F66" s="171" t="s">
        <v>477</v>
      </c>
      <c r="G66" s="141">
        <v>1</v>
      </c>
      <c r="H66" s="172" t="s">
        <v>478</v>
      </c>
      <c r="N66" s="103"/>
      <c r="O66" s="103"/>
      <c r="P66" s="103"/>
      <c r="Q66" s="103"/>
      <c r="R66" s="103"/>
      <c r="S66" s="103"/>
      <c r="T66" s="176"/>
      <c r="U66" s="208"/>
      <c r="V66" s="208"/>
      <c r="W66" s="208"/>
      <c r="X66" s="208"/>
      <c r="Y66" s="208"/>
      <c r="Z66" s="176"/>
      <c r="AA66" s="208"/>
      <c r="AB66" s="208"/>
      <c r="AC66" s="176"/>
      <c r="AD66" s="208"/>
      <c r="AE66" s="176"/>
      <c r="AF66" s="176"/>
      <c r="AG66" s="176"/>
      <c r="AH66" s="176"/>
      <c r="AI66" s="176"/>
      <c r="AJ66" s="176"/>
      <c r="AK66" s="176"/>
      <c r="AL66" s="176"/>
      <c r="AM66" s="176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</row>
    <row r="67" spans="1:77" outlineLevel="1">
      <c r="A67" s="103"/>
      <c r="B67" s="111" t="s">
        <v>312</v>
      </c>
      <c r="C67" s="110">
        <v>1</v>
      </c>
      <c r="D67" s="115" t="s">
        <v>317</v>
      </c>
      <c r="E67" s="103"/>
      <c r="F67" s="173" t="s">
        <v>374</v>
      </c>
      <c r="G67" s="141">
        <v>1</v>
      </c>
      <c r="H67" s="172" t="s">
        <v>375</v>
      </c>
      <c r="N67" s="103"/>
      <c r="O67" s="103"/>
      <c r="P67" s="103"/>
      <c r="Q67" s="103"/>
      <c r="R67" s="103"/>
      <c r="S67" s="103"/>
      <c r="T67" s="176"/>
      <c r="U67" s="208"/>
      <c r="V67" s="208"/>
      <c r="W67" s="208"/>
      <c r="X67" s="208"/>
      <c r="Y67" s="208"/>
      <c r="Z67" s="176"/>
      <c r="AA67" s="208"/>
      <c r="AB67" s="208"/>
      <c r="AC67" s="176"/>
      <c r="AD67" s="208"/>
      <c r="AE67" s="176"/>
      <c r="AF67" s="176"/>
      <c r="AG67" s="176"/>
      <c r="AH67" s="176"/>
      <c r="AI67" s="176"/>
      <c r="AJ67" s="176"/>
      <c r="AK67" s="176"/>
      <c r="AL67" s="176"/>
      <c r="AM67" s="176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3"/>
      <c r="BW67" s="103"/>
      <c r="BX67" s="103"/>
    </row>
    <row r="68" spans="1:77" outlineLevel="1">
      <c r="A68" s="103"/>
      <c r="B68" s="109" t="s">
        <v>264</v>
      </c>
      <c r="C68" s="110">
        <v>1</v>
      </c>
      <c r="D68" s="115" t="s">
        <v>265</v>
      </c>
      <c r="E68" s="103"/>
      <c r="F68" s="171" t="s">
        <v>380</v>
      </c>
      <c r="G68" s="141">
        <v>1</v>
      </c>
      <c r="H68" s="172" t="s">
        <v>383</v>
      </c>
      <c r="N68" s="103"/>
      <c r="O68" s="103"/>
      <c r="P68" s="103"/>
      <c r="Q68" s="103"/>
      <c r="R68" s="103"/>
      <c r="S68" s="103"/>
      <c r="T68" s="176"/>
      <c r="U68" s="208"/>
      <c r="V68" s="208"/>
      <c r="W68" s="208"/>
      <c r="X68" s="208"/>
      <c r="Y68" s="208"/>
      <c r="Z68" s="176"/>
      <c r="AA68" s="208"/>
      <c r="AB68" s="208"/>
      <c r="AC68" s="176"/>
      <c r="AD68" s="208"/>
      <c r="AE68" s="176"/>
      <c r="AF68" s="176"/>
      <c r="AG68" s="176"/>
      <c r="AH68" s="176"/>
      <c r="AI68" s="176"/>
      <c r="AJ68" s="176"/>
      <c r="AK68" s="176"/>
      <c r="AL68" s="176"/>
      <c r="AM68" s="176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</row>
    <row r="69" spans="1:77" outlineLevel="1">
      <c r="A69" s="103"/>
      <c r="B69" s="111" t="s">
        <v>322</v>
      </c>
      <c r="C69" s="110">
        <v>1</v>
      </c>
      <c r="D69" s="115" t="s">
        <v>323</v>
      </c>
      <c r="E69" s="103"/>
      <c r="F69" s="171" t="s">
        <v>469</v>
      </c>
      <c r="G69" s="141">
        <v>1</v>
      </c>
      <c r="H69" s="172" t="s">
        <v>470</v>
      </c>
      <c r="N69" s="103"/>
      <c r="O69" s="103"/>
      <c r="P69" s="103"/>
      <c r="Q69" s="103"/>
      <c r="R69" s="103"/>
      <c r="S69" s="103"/>
      <c r="T69" s="176"/>
      <c r="U69" s="208"/>
      <c r="V69" s="208"/>
      <c r="W69" s="208"/>
      <c r="X69" s="208"/>
      <c r="Y69" s="208"/>
      <c r="Z69" s="176"/>
      <c r="AA69" s="208"/>
      <c r="AB69" s="208"/>
      <c r="AC69" s="176"/>
      <c r="AD69" s="208"/>
      <c r="AE69" s="176"/>
      <c r="AF69" s="176"/>
      <c r="AG69" s="176"/>
      <c r="AH69" s="176"/>
      <c r="AI69" s="176"/>
      <c r="AJ69" s="176"/>
      <c r="AK69" s="176"/>
      <c r="AL69" s="176"/>
      <c r="AM69" s="176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</row>
    <row r="70" spans="1:77" outlineLevel="1">
      <c r="A70" s="103"/>
      <c r="B70" s="109" t="s">
        <v>223</v>
      </c>
      <c r="C70" s="110">
        <v>1</v>
      </c>
      <c r="D70" s="115" t="s">
        <v>215</v>
      </c>
      <c r="E70" s="103"/>
      <c r="F70" s="173" t="s">
        <v>366</v>
      </c>
      <c r="G70" s="141">
        <v>1</v>
      </c>
      <c r="H70" s="172" t="s">
        <v>367</v>
      </c>
      <c r="N70" s="103"/>
      <c r="O70" s="103"/>
      <c r="P70" s="103"/>
      <c r="Q70" s="103"/>
      <c r="R70" s="103"/>
      <c r="S70" s="103"/>
      <c r="T70" s="176"/>
      <c r="U70" s="208"/>
      <c r="V70" s="208"/>
      <c r="W70" s="208"/>
      <c r="X70" s="208"/>
      <c r="Y70" s="208"/>
      <c r="Z70" s="176"/>
      <c r="AA70" s="208"/>
      <c r="AB70" s="208"/>
      <c r="AC70" s="176"/>
      <c r="AD70" s="208"/>
      <c r="AE70" s="176"/>
      <c r="AF70" s="176"/>
      <c r="AG70" s="176"/>
      <c r="AH70" s="176"/>
      <c r="AI70" s="176"/>
      <c r="AJ70" s="176"/>
      <c r="AK70" s="176"/>
      <c r="AL70" s="176"/>
      <c r="AM70" s="176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</row>
    <row r="71" spans="1:77" outlineLevel="1">
      <c r="A71" s="103"/>
      <c r="B71" s="111" t="s">
        <v>332</v>
      </c>
      <c r="C71" s="110">
        <v>1</v>
      </c>
      <c r="D71" s="115" t="s">
        <v>333</v>
      </c>
      <c r="E71" s="103"/>
      <c r="F71" s="171" t="s">
        <v>386</v>
      </c>
      <c r="G71" s="141">
        <v>1</v>
      </c>
      <c r="H71" s="172" t="s">
        <v>387</v>
      </c>
      <c r="N71" s="103"/>
      <c r="O71" s="103"/>
      <c r="P71" s="103"/>
      <c r="Q71" s="103"/>
      <c r="R71" s="103"/>
      <c r="S71" s="103"/>
      <c r="T71" s="176"/>
      <c r="U71" s="208"/>
      <c r="V71" s="208"/>
      <c r="W71" s="208"/>
      <c r="X71" s="208"/>
      <c r="Y71" s="208"/>
      <c r="Z71" s="176"/>
      <c r="AA71" s="208"/>
      <c r="AB71" s="208"/>
      <c r="AC71" s="176"/>
      <c r="AD71" s="208"/>
      <c r="AE71" s="176"/>
      <c r="AF71" s="176"/>
      <c r="AG71" s="176"/>
      <c r="AH71" s="176"/>
      <c r="AI71" s="176"/>
      <c r="AJ71" s="176"/>
      <c r="AK71" s="176"/>
      <c r="AL71" s="176"/>
      <c r="AM71" s="176"/>
      <c r="AN71" s="103"/>
      <c r="AO71" s="103"/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3"/>
      <c r="BW71" s="103"/>
      <c r="BX71" s="103"/>
    </row>
    <row r="72" spans="1:77" outlineLevel="1">
      <c r="A72" s="103"/>
      <c r="B72" s="109" t="s">
        <v>224</v>
      </c>
      <c r="C72" s="110">
        <v>1</v>
      </c>
      <c r="D72" s="115" t="s">
        <v>570</v>
      </c>
      <c r="E72" s="103"/>
      <c r="F72" s="171" t="s">
        <v>467</v>
      </c>
      <c r="G72" s="141">
        <v>1</v>
      </c>
      <c r="H72" s="172" t="s">
        <v>468</v>
      </c>
      <c r="N72" s="103"/>
      <c r="O72" s="103"/>
      <c r="P72" s="103"/>
      <c r="Q72" s="103"/>
      <c r="R72" s="103"/>
      <c r="S72" s="103"/>
      <c r="T72" s="176"/>
      <c r="U72" s="208"/>
      <c r="V72" s="208"/>
      <c r="W72" s="208"/>
      <c r="X72" s="208"/>
      <c r="Y72" s="208"/>
      <c r="Z72" s="176"/>
      <c r="AA72" s="208"/>
      <c r="AB72" s="208"/>
      <c r="AC72" s="176"/>
      <c r="AD72" s="208"/>
      <c r="AE72" s="176"/>
      <c r="AF72" s="176"/>
      <c r="AG72" s="176"/>
      <c r="AH72" s="176"/>
      <c r="AI72" s="176"/>
      <c r="AJ72" s="176"/>
      <c r="AK72" s="176"/>
      <c r="AL72" s="176"/>
      <c r="AM72" s="176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</row>
    <row r="73" spans="1:77" outlineLevel="1">
      <c r="A73" s="103"/>
      <c r="B73" s="109" t="s">
        <v>276</v>
      </c>
      <c r="C73" s="110">
        <v>1</v>
      </c>
      <c r="D73" s="115" t="s">
        <v>277</v>
      </c>
      <c r="E73" s="103"/>
      <c r="F73" s="173" t="s">
        <v>370</v>
      </c>
      <c r="G73" s="141">
        <v>1</v>
      </c>
      <c r="H73" s="172" t="s">
        <v>371</v>
      </c>
      <c r="N73" s="103"/>
      <c r="O73" s="103"/>
      <c r="P73" s="103"/>
      <c r="Q73" s="103"/>
      <c r="R73" s="103"/>
      <c r="S73" s="103"/>
      <c r="T73" s="103"/>
      <c r="Z73" s="103"/>
      <c r="AC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</row>
    <row r="74" spans="1:77" outlineLevel="1">
      <c r="A74" s="103"/>
      <c r="B74" s="111" t="s">
        <v>360</v>
      </c>
      <c r="C74" s="110">
        <v>1</v>
      </c>
      <c r="D74" s="116" t="s">
        <v>361</v>
      </c>
      <c r="E74" s="103"/>
      <c r="F74" s="173" t="s">
        <v>372</v>
      </c>
      <c r="G74" s="141">
        <v>1</v>
      </c>
      <c r="H74" s="172" t="s">
        <v>373</v>
      </c>
      <c r="N74" s="103"/>
      <c r="O74" s="103"/>
      <c r="P74" s="103"/>
      <c r="Q74" s="103"/>
      <c r="R74" s="103"/>
      <c r="S74" s="103"/>
      <c r="T74" s="103"/>
      <c r="Z74" s="103"/>
      <c r="AA74" s="103"/>
      <c r="AC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</row>
    <row r="75" spans="1:77" outlineLevel="1">
      <c r="A75" s="103"/>
      <c r="B75" s="109" t="s">
        <v>280</v>
      </c>
      <c r="C75" s="110">
        <v>1</v>
      </c>
      <c r="D75" s="115" t="s">
        <v>281</v>
      </c>
      <c r="E75" s="103"/>
      <c r="F75" s="171" t="s">
        <v>465</v>
      </c>
      <c r="G75" s="141">
        <v>1</v>
      </c>
      <c r="H75" s="172" t="s">
        <v>466</v>
      </c>
      <c r="N75" s="103"/>
      <c r="O75" s="103"/>
      <c r="P75" s="103"/>
      <c r="Q75" s="103"/>
      <c r="R75" s="103"/>
      <c r="S75" s="103"/>
      <c r="T75" s="103"/>
      <c r="Z75" s="103"/>
      <c r="AA75" s="103"/>
      <c r="AC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</row>
    <row r="76" spans="1:77" outlineLevel="1">
      <c r="A76" s="103"/>
      <c r="B76" s="111" t="s">
        <v>342</v>
      </c>
      <c r="C76" s="110">
        <v>1</v>
      </c>
      <c r="D76" s="116" t="s">
        <v>343</v>
      </c>
      <c r="E76" s="103"/>
      <c r="F76" s="171" t="s">
        <v>424</v>
      </c>
      <c r="G76" s="141">
        <v>1</v>
      </c>
      <c r="H76" s="172" t="s">
        <v>425</v>
      </c>
      <c r="N76" s="103"/>
      <c r="O76" s="103"/>
      <c r="P76" s="103"/>
      <c r="Q76" s="103"/>
      <c r="R76" s="103"/>
      <c r="S76" s="103"/>
      <c r="T76" s="103"/>
      <c r="Z76" s="103"/>
      <c r="AA76" s="103"/>
      <c r="AC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</row>
    <row r="77" spans="1:77" outlineLevel="1">
      <c r="A77" s="103"/>
      <c r="B77" s="111" t="s">
        <v>313</v>
      </c>
      <c r="C77" s="110">
        <v>2</v>
      </c>
      <c r="D77" s="115" t="s">
        <v>318</v>
      </c>
      <c r="E77" s="103"/>
      <c r="F77" s="171" t="s">
        <v>392</v>
      </c>
      <c r="G77" s="141">
        <v>1</v>
      </c>
      <c r="H77" s="172" t="s">
        <v>393</v>
      </c>
      <c r="N77" s="103"/>
      <c r="O77" s="103"/>
      <c r="P77" s="103"/>
      <c r="Q77" s="103"/>
      <c r="R77" s="103"/>
      <c r="S77" s="103"/>
      <c r="T77" s="103"/>
      <c r="Z77" s="103"/>
      <c r="AA77" s="103"/>
      <c r="AC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</row>
    <row r="78" spans="1:77" outlineLevel="1">
      <c r="A78" s="103"/>
      <c r="B78" s="111" t="s">
        <v>341</v>
      </c>
      <c r="C78" s="110">
        <v>2</v>
      </c>
      <c r="D78" s="116" t="s">
        <v>334</v>
      </c>
      <c r="E78" s="103"/>
      <c r="F78" s="171" t="s">
        <v>463</v>
      </c>
      <c r="G78" s="141">
        <v>1</v>
      </c>
      <c r="H78" s="172" t="s">
        <v>464</v>
      </c>
      <c r="N78" s="103"/>
      <c r="O78" s="103"/>
      <c r="P78" s="103"/>
      <c r="Q78" s="103"/>
      <c r="R78" s="103"/>
      <c r="S78" s="103"/>
      <c r="T78" s="103"/>
      <c r="Z78" s="103"/>
      <c r="AA78" s="103"/>
      <c r="AC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</row>
    <row r="79" spans="1:77" outlineLevel="1">
      <c r="A79" s="103"/>
      <c r="B79" s="111" t="s">
        <v>344</v>
      </c>
      <c r="C79" s="110">
        <v>2</v>
      </c>
      <c r="D79" s="116" t="s">
        <v>348</v>
      </c>
      <c r="E79" s="103"/>
      <c r="F79" s="171" t="s">
        <v>398</v>
      </c>
      <c r="G79" s="141">
        <v>1</v>
      </c>
      <c r="H79" s="172" t="s">
        <v>401</v>
      </c>
      <c r="N79" s="103"/>
      <c r="O79" s="103"/>
      <c r="P79" s="103"/>
      <c r="Q79" s="103"/>
      <c r="R79" s="103"/>
      <c r="S79" s="103"/>
      <c r="T79" s="103"/>
      <c r="Z79" s="103"/>
      <c r="AA79" s="103"/>
      <c r="AC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</row>
    <row r="80" spans="1:77" outlineLevel="1">
      <c r="A80" s="103"/>
      <c r="B80" s="109" t="s">
        <v>245</v>
      </c>
      <c r="C80" s="110">
        <v>3</v>
      </c>
      <c r="D80" s="115" t="s">
        <v>246</v>
      </c>
      <c r="E80" s="103"/>
      <c r="F80" s="171" t="s">
        <v>404</v>
      </c>
      <c r="G80" s="141">
        <v>1</v>
      </c>
      <c r="H80" s="172" t="s">
        <v>408</v>
      </c>
      <c r="N80" s="103"/>
      <c r="O80" s="103"/>
      <c r="P80" s="103"/>
      <c r="Q80" s="103"/>
      <c r="R80" s="103"/>
      <c r="S80" s="103"/>
      <c r="T80" s="103"/>
      <c r="Z80" s="103"/>
      <c r="AA80" s="103"/>
      <c r="AC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</row>
    <row r="81" spans="1:76" outlineLevel="1">
      <c r="A81" s="103"/>
      <c r="B81" s="111" t="s">
        <v>247</v>
      </c>
      <c r="C81" s="110">
        <v>3</v>
      </c>
      <c r="D81" s="115" t="s">
        <v>248</v>
      </c>
      <c r="E81" s="103"/>
      <c r="F81" s="171" t="s">
        <v>462</v>
      </c>
      <c r="G81" s="141">
        <v>3</v>
      </c>
      <c r="H81" s="172" t="s">
        <v>505</v>
      </c>
      <c r="N81" s="103"/>
      <c r="O81" s="103"/>
      <c r="P81" s="103"/>
      <c r="Q81" s="103"/>
      <c r="R81" s="103"/>
      <c r="S81" s="103"/>
      <c r="T81" s="103"/>
      <c r="W81" s="103"/>
      <c r="Y81" s="103"/>
      <c r="Z81" s="103"/>
      <c r="AA81" s="103"/>
      <c r="AC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3"/>
      <c r="BW81" s="103"/>
      <c r="BX81" s="103"/>
    </row>
    <row r="82" spans="1:76" outlineLevel="1">
      <c r="A82" s="103"/>
      <c r="B82" s="109" t="s">
        <v>225</v>
      </c>
      <c r="C82" s="110">
        <v>3</v>
      </c>
      <c r="D82" s="115" t="s">
        <v>216</v>
      </c>
      <c r="E82" s="103"/>
      <c r="F82" s="171" t="s">
        <v>418</v>
      </c>
      <c r="G82" s="141">
        <v>3</v>
      </c>
      <c r="H82" s="172" t="s">
        <v>419</v>
      </c>
      <c r="N82" s="103"/>
      <c r="O82" s="103"/>
      <c r="P82" s="103"/>
      <c r="Q82" s="103"/>
      <c r="R82" s="103"/>
      <c r="S82" s="103"/>
      <c r="T82" s="103"/>
      <c r="W82" s="103"/>
      <c r="Y82" s="103"/>
      <c r="Z82" s="103"/>
      <c r="AA82" s="103"/>
      <c r="AB82" s="103"/>
      <c r="AC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3"/>
      <c r="BW82" s="103"/>
      <c r="BX82" s="103"/>
    </row>
    <row r="83" spans="1:76" outlineLevel="1">
      <c r="A83" s="103"/>
      <c r="B83" s="111" t="s">
        <v>352</v>
      </c>
      <c r="C83" s="110">
        <v>3</v>
      </c>
      <c r="D83" s="116" t="s">
        <v>353</v>
      </c>
      <c r="E83" s="103"/>
      <c r="F83" s="171" t="s">
        <v>460</v>
      </c>
      <c r="G83" s="141">
        <v>3</v>
      </c>
      <c r="H83" s="172" t="s">
        <v>461</v>
      </c>
      <c r="N83" s="103"/>
      <c r="O83" s="103"/>
      <c r="P83" s="103"/>
      <c r="Q83" s="103"/>
      <c r="R83" s="103"/>
      <c r="S83" s="103"/>
      <c r="T83" s="103"/>
      <c r="W83" s="103"/>
      <c r="Y83" s="103"/>
      <c r="Z83" s="103"/>
      <c r="AA83" s="103"/>
      <c r="AB83" s="103"/>
      <c r="AC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3"/>
      <c r="BW83" s="103"/>
      <c r="BX83" s="103"/>
    </row>
    <row r="84" spans="1:76" outlineLevel="1">
      <c r="A84" s="103"/>
      <c r="B84" s="111" t="s">
        <v>354</v>
      </c>
      <c r="C84" s="110">
        <v>3</v>
      </c>
      <c r="D84" s="116" t="s">
        <v>355</v>
      </c>
      <c r="E84" s="103"/>
      <c r="F84" s="171" t="s">
        <v>458</v>
      </c>
      <c r="G84" s="141">
        <v>3</v>
      </c>
      <c r="H84" s="172" t="s">
        <v>459</v>
      </c>
      <c r="N84" s="103"/>
      <c r="O84" s="103"/>
      <c r="P84" s="103"/>
      <c r="Q84" s="103"/>
      <c r="R84" s="103"/>
      <c r="S84" s="103"/>
      <c r="T84" s="103"/>
      <c r="W84" s="103"/>
      <c r="Y84" s="103"/>
      <c r="Z84" s="103"/>
      <c r="AA84" s="103"/>
      <c r="AB84" s="103"/>
      <c r="AC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3"/>
      <c r="BW84" s="103"/>
      <c r="BX84" s="103"/>
    </row>
    <row r="85" spans="1:76" outlineLevel="1">
      <c r="A85" s="103"/>
      <c r="B85" s="109" t="s">
        <v>226</v>
      </c>
      <c r="C85" s="110">
        <v>3</v>
      </c>
      <c r="D85" s="115" t="s">
        <v>571</v>
      </c>
      <c r="E85" s="103"/>
      <c r="F85" s="171" t="s">
        <v>475</v>
      </c>
      <c r="G85" s="141">
        <v>3</v>
      </c>
      <c r="H85" s="172" t="s">
        <v>476</v>
      </c>
      <c r="N85" s="103"/>
      <c r="O85" s="103"/>
      <c r="P85" s="103"/>
      <c r="Q85" s="103"/>
      <c r="R85" s="103"/>
      <c r="S85" s="103"/>
      <c r="T85" s="103"/>
      <c r="W85" s="103"/>
      <c r="Y85" s="103"/>
      <c r="Z85" s="103"/>
      <c r="AA85" s="103"/>
      <c r="AB85" s="103"/>
      <c r="AC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</row>
    <row r="86" spans="1:76" outlineLevel="1">
      <c r="A86" s="103"/>
      <c r="B86" s="111" t="s">
        <v>668</v>
      </c>
      <c r="C86" s="110">
        <v>3</v>
      </c>
      <c r="D86" s="115" t="s">
        <v>251</v>
      </c>
      <c r="E86" s="103"/>
      <c r="F86" s="171" t="s">
        <v>473</v>
      </c>
      <c r="G86" s="141">
        <v>3</v>
      </c>
      <c r="H86" s="172" t="s">
        <v>474</v>
      </c>
      <c r="N86" s="103"/>
      <c r="O86" s="103"/>
      <c r="P86" s="103"/>
      <c r="Q86" s="103"/>
      <c r="R86" s="103"/>
      <c r="S86" s="103"/>
      <c r="T86" s="103"/>
      <c r="W86" s="103"/>
      <c r="Y86" s="103"/>
      <c r="Z86" s="103"/>
      <c r="AA86" s="103"/>
      <c r="AB86" s="103"/>
      <c r="AC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</row>
    <row r="87" spans="1:76" outlineLevel="1">
      <c r="A87" s="103"/>
      <c r="B87" s="109" t="s">
        <v>252</v>
      </c>
      <c r="C87" s="110">
        <v>3</v>
      </c>
      <c r="D87" s="115" t="s">
        <v>253</v>
      </c>
      <c r="E87" s="103"/>
      <c r="F87" s="171" t="s">
        <v>471</v>
      </c>
      <c r="G87" s="141">
        <v>3</v>
      </c>
      <c r="H87" s="172" t="s">
        <v>472</v>
      </c>
      <c r="N87" s="103"/>
      <c r="O87" s="103"/>
      <c r="P87" s="103"/>
      <c r="Q87" s="103"/>
      <c r="R87" s="103"/>
      <c r="S87" s="103"/>
      <c r="T87" s="103"/>
      <c r="W87" s="103"/>
      <c r="Y87" s="103"/>
      <c r="Z87" s="103"/>
      <c r="AA87" s="103"/>
      <c r="AB87" s="103"/>
      <c r="AC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</row>
    <row r="88" spans="1:76" outlineLevel="1">
      <c r="A88" s="103"/>
      <c r="B88" s="111" t="s">
        <v>258</v>
      </c>
      <c r="C88" s="110">
        <v>3</v>
      </c>
      <c r="D88" s="115" t="s">
        <v>259</v>
      </c>
      <c r="E88" s="103"/>
      <c r="F88" s="171" t="s">
        <v>456</v>
      </c>
      <c r="G88" s="141">
        <v>3</v>
      </c>
      <c r="H88" s="172" t="s">
        <v>457</v>
      </c>
      <c r="N88" s="103"/>
      <c r="O88" s="103"/>
      <c r="P88" s="103"/>
      <c r="Q88" s="103"/>
      <c r="R88" s="103"/>
      <c r="S88" s="103"/>
      <c r="T88" s="103"/>
      <c r="W88" s="103"/>
      <c r="Y88" s="103"/>
      <c r="Z88" s="103"/>
      <c r="AA88" s="103"/>
      <c r="AB88" s="103"/>
      <c r="AC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</row>
    <row r="89" spans="1:76" outlineLevel="1">
      <c r="A89" s="103"/>
      <c r="B89" s="109" t="s">
        <v>227</v>
      </c>
      <c r="C89" s="110">
        <v>3</v>
      </c>
      <c r="D89" s="115" t="s">
        <v>217</v>
      </c>
      <c r="E89" s="103"/>
      <c r="F89" s="171" t="s">
        <v>454</v>
      </c>
      <c r="G89" s="141">
        <v>3</v>
      </c>
      <c r="H89" s="172" t="s">
        <v>455</v>
      </c>
      <c r="N89" s="103"/>
      <c r="O89" s="103"/>
      <c r="P89" s="103"/>
      <c r="Q89" s="103"/>
      <c r="R89" s="103"/>
      <c r="S89" s="103"/>
      <c r="T89" s="103"/>
      <c r="W89" s="103"/>
      <c r="Y89" s="103"/>
      <c r="Z89" s="103"/>
      <c r="AA89" s="103"/>
      <c r="AB89" s="103"/>
      <c r="AC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</row>
    <row r="90" spans="1:76" outlineLevel="1">
      <c r="A90" s="103"/>
      <c r="B90" s="111" t="s">
        <v>262</v>
      </c>
      <c r="C90" s="110">
        <v>3</v>
      </c>
      <c r="D90" s="115" t="s">
        <v>263</v>
      </c>
      <c r="E90" s="103"/>
      <c r="F90" s="171" t="s">
        <v>378</v>
      </c>
      <c r="G90" s="141">
        <v>3</v>
      </c>
      <c r="H90" s="172" t="s">
        <v>376</v>
      </c>
      <c r="N90" s="103"/>
      <c r="O90" s="103"/>
      <c r="P90" s="103"/>
      <c r="Q90" s="103"/>
      <c r="R90" s="103"/>
      <c r="S90" s="103"/>
      <c r="T90" s="103"/>
      <c r="W90" s="103"/>
      <c r="Y90" s="103"/>
      <c r="Z90" s="103"/>
      <c r="AA90" s="103"/>
      <c r="AB90" s="103"/>
      <c r="AC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</row>
    <row r="91" spans="1:76" outlineLevel="1">
      <c r="A91" s="103"/>
      <c r="B91" s="109" t="s">
        <v>228</v>
      </c>
      <c r="C91" s="110">
        <v>3</v>
      </c>
      <c r="D91" s="115" t="s">
        <v>218</v>
      </c>
      <c r="E91" s="103"/>
      <c r="F91" s="171" t="s">
        <v>381</v>
      </c>
      <c r="G91" s="141">
        <v>3</v>
      </c>
      <c r="H91" s="172" t="s">
        <v>384</v>
      </c>
      <c r="N91" s="103"/>
      <c r="O91" s="103"/>
      <c r="P91" s="103"/>
      <c r="Q91" s="103"/>
      <c r="R91" s="103"/>
      <c r="S91" s="103"/>
      <c r="T91" s="103"/>
      <c r="W91" s="103"/>
      <c r="Y91" s="103"/>
      <c r="Z91" s="103"/>
      <c r="AA91" s="103"/>
      <c r="AB91" s="103"/>
      <c r="AC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</row>
    <row r="92" spans="1:76" outlineLevel="1">
      <c r="A92" s="103"/>
      <c r="B92" s="111" t="s">
        <v>314</v>
      </c>
      <c r="C92" s="110">
        <v>3</v>
      </c>
      <c r="D92" s="115" t="s">
        <v>319</v>
      </c>
      <c r="E92" s="103"/>
      <c r="F92" s="171" t="s">
        <v>452</v>
      </c>
      <c r="G92" s="141">
        <v>3</v>
      </c>
      <c r="H92" s="172" t="s">
        <v>453</v>
      </c>
      <c r="N92" s="103"/>
      <c r="O92" s="103"/>
      <c r="P92" s="103"/>
      <c r="Q92" s="103"/>
      <c r="R92" s="103"/>
      <c r="S92" s="103"/>
      <c r="T92" s="103"/>
      <c r="W92" s="103"/>
      <c r="Y92" s="103"/>
      <c r="Z92" s="103"/>
      <c r="AA92" s="103"/>
      <c r="AB92" s="103"/>
      <c r="AC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3"/>
      <c r="BW92" s="103"/>
      <c r="BX92" s="103"/>
    </row>
    <row r="93" spans="1:76" outlineLevel="1">
      <c r="A93" s="103"/>
      <c r="B93" s="111" t="s">
        <v>356</v>
      </c>
      <c r="C93" s="110">
        <v>3</v>
      </c>
      <c r="D93" s="116" t="s">
        <v>357</v>
      </c>
      <c r="E93" s="103"/>
      <c r="F93" s="171" t="s">
        <v>450</v>
      </c>
      <c r="G93" s="141">
        <v>3</v>
      </c>
      <c r="H93" s="172" t="s">
        <v>451</v>
      </c>
      <c r="N93" s="103"/>
      <c r="O93" s="103"/>
      <c r="P93" s="103"/>
      <c r="Q93" s="103"/>
      <c r="R93" s="103"/>
      <c r="S93" s="103"/>
      <c r="T93" s="103"/>
      <c r="W93" s="103"/>
      <c r="Y93" s="103"/>
      <c r="Z93" s="103"/>
      <c r="AA93" s="103"/>
      <c r="AB93" s="103"/>
      <c r="AC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3"/>
      <c r="BW93" s="103"/>
      <c r="BX93" s="103"/>
    </row>
    <row r="94" spans="1:76" outlineLevel="1">
      <c r="A94" s="103"/>
      <c r="B94" s="109" t="s">
        <v>229</v>
      </c>
      <c r="C94" s="110">
        <v>3</v>
      </c>
      <c r="D94" s="115" t="s">
        <v>311</v>
      </c>
      <c r="E94" s="103"/>
      <c r="F94" s="173" t="s">
        <v>364</v>
      </c>
      <c r="G94" s="141">
        <v>3</v>
      </c>
      <c r="H94" s="172" t="s">
        <v>365</v>
      </c>
      <c r="N94" s="103"/>
      <c r="O94" s="103"/>
      <c r="P94" s="103"/>
      <c r="Q94" s="103"/>
      <c r="R94" s="103"/>
      <c r="S94" s="103"/>
      <c r="T94" s="103"/>
      <c r="W94" s="103"/>
      <c r="Y94" s="103"/>
      <c r="Z94" s="103"/>
      <c r="AA94" s="103"/>
      <c r="AB94" s="103"/>
      <c r="AC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3"/>
      <c r="BW94" s="103"/>
      <c r="BX94" s="103"/>
    </row>
    <row r="95" spans="1:76" outlineLevel="1">
      <c r="A95" s="103"/>
      <c r="B95" s="111" t="s">
        <v>324</v>
      </c>
      <c r="C95" s="110">
        <v>3</v>
      </c>
      <c r="D95" s="115" t="s">
        <v>325</v>
      </c>
      <c r="E95" s="103"/>
      <c r="F95" s="171" t="s">
        <v>448</v>
      </c>
      <c r="G95" s="141">
        <v>3</v>
      </c>
      <c r="H95" s="172" t="s">
        <v>449</v>
      </c>
      <c r="N95" s="103"/>
      <c r="O95" s="103"/>
      <c r="P95" s="103"/>
      <c r="Q95" s="103"/>
      <c r="R95" s="103"/>
      <c r="S95" s="103"/>
      <c r="T95" s="103"/>
      <c r="W95" s="103"/>
      <c r="Y95" s="103"/>
      <c r="Z95" s="103"/>
      <c r="AA95" s="103"/>
      <c r="AB95" s="103"/>
      <c r="AC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</row>
    <row r="96" spans="1:76" outlineLevel="1">
      <c r="A96" s="103"/>
      <c r="B96" s="111" t="s">
        <v>266</v>
      </c>
      <c r="C96" s="110">
        <v>3</v>
      </c>
      <c r="D96" s="115" t="s">
        <v>267</v>
      </c>
      <c r="E96" s="103"/>
      <c r="F96" s="171" t="s">
        <v>436</v>
      </c>
      <c r="G96" s="141">
        <v>3</v>
      </c>
      <c r="H96" s="172" t="s">
        <v>437</v>
      </c>
      <c r="N96" s="103"/>
      <c r="O96" s="103"/>
      <c r="P96" s="103"/>
      <c r="Q96" s="103"/>
      <c r="R96" s="103"/>
      <c r="S96" s="103"/>
      <c r="T96" s="103"/>
      <c r="W96" s="103"/>
      <c r="Y96" s="103"/>
      <c r="Z96" s="103"/>
      <c r="AA96" s="103"/>
      <c r="AB96" s="103"/>
      <c r="AC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3"/>
      <c r="BW96" s="103"/>
      <c r="BX96" s="103"/>
    </row>
    <row r="97" spans="1:76" outlineLevel="1">
      <c r="A97" s="103"/>
      <c r="B97" s="109" t="s">
        <v>268</v>
      </c>
      <c r="C97" s="110">
        <v>3</v>
      </c>
      <c r="D97" s="115" t="s">
        <v>269</v>
      </c>
      <c r="E97" s="103"/>
      <c r="F97" s="171" t="s">
        <v>438</v>
      </c>
      <c r="G97" s="141">
        <v>3</v>
      </c>
      <c r="H97" s="172" t="s">
        <v>439</v>
      </c>
      <c r="N97" s="103"/>
      <c r="O97" s="103"/>
      <c r="P97" s="103"/>
      <c r="Q97" s="103"/>
      <c r="R97" s="103"/>
      <c r="S97" s="103"/>
      <c r="T97" s="103"/>
      <c r="V97" s="103"/>
      <c r="W97" s="103"/>
      <c r="Y97" s="103"/>
      <c r="Z97" s="103"/>
      <c r="AA97" s="103"/>
      <c r="AB97" s="103"/>
      <c r="AC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3"/>
      <c r="BR97" s="103"/>
      <c r="BS97" s="103"/>
      <c r="BT97" s="103"/>
      <c r="BU97" s="103"/>
      <c r="BV97" s="103"/>
      <c r="BW97" s="103"/>
      <c r="BX97" s="103"/>
    </row>
    <row r="98" spans="1:76" outlineLevel="1">
      <c r="A98" s="103"/>
      <c r="B98" s="111" t="s">
        <v>270</v>
      </c>
      <c r="C98" s="110">
        <v>3</v>
      </c>
      <c r="D98" s="115" t="s">
        <v>271</v>
      </c>
      <c r="E98" s="103"/>
      <c r="F98" s="171" t="s">
        <v>442</v>
      </c>
      <c r="G98" s="141">
        <v>3</v>
      </c>
      <c r="H98" s="172" t="s">
        <v>443</v>
      </c>
      <c r="N98" s="103"/>
      <c r="O98" s="103"/>
      <c r="P98" s="103"/>
      <c r="Q98" s="103"/>
      <c r="R98" s="103"/>
      <c r="S98" s="103"/>
      <c r="T98" s="103"/>
      <c r="V98" s="103"/>
      <c r="W98" s="103"/>
      <c r="Y98" s="103"/>
      <c r="Z98" s="103"/>
      <c r="AA98" s="103"/>
      <c r="AB98" s="103"/>
      <c r="AC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3"/>
      <c r="BW98" s="103"/>
      <c r="BX98" s="103"/>
    </row>
    <row r="99" spans="1:76" outlineLevel="1">
      <c r="A99" s="103"/>
      <c r="B99" s="111" t="s">
        <v>328</v>
      </c>
      <c r="C99" s="110">
        <v>3</v>
      </c>
      <c r="D99" s="115" t="s">
        <v>329</v>
      </c>
      <c r="E99" s="103"/>
      <c r="F99" s="171" t="s">
        <v>440</v>
      </c>
      <c r="G99" s="141">
        <v>3</v>
      </c>
      <c r="H99" s="172" t="s">
        <v>441</v>
      </c>
      <c r="N99" s="103"/>
      <c r="O99" s="103"/>
      <c r="P99" s="103"/>
      <c r="Q99" s="103"/>
      <c r="R99" s="103"/>
      <c r="S99" s="103"/>
      <c r="T99" s="103"/>
      <c r="V99" s="103"/>
      <c r="W99" s="103"/>
      <c r="Y99" s="103"/>
      <c r="Z99" s="103"/>
      <c r="AA99" s="103"/>
      <c r="AB99" s="103"/>
      <c r="AC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3"/>
      <c r="BW99" s="103"/>
      <c r="BX99" s="103"/>
    </row>
    <row r="100" spans="1:76" outlineLevel="1">
      <c r="A100" s="103"/>
      <c r="B100" s="109" t="s">
        <v>272</v>
      </c>
      <c r="C100" s="110">
        <v>3</v>
      </c>
      <c r="D100" s="115" t="s">
        <v>273</v>
      </c>
      <c r="E100" s="103"/>
      <c r="F100" s="171" t="s">
        <v>444</v>
      </c>
      <c r="G100" s="141">
        <v>3</v>
      </c>
      <c r="H100" s="172" t="s">
        <v>445</v>
      </c>
      <c r="N100" s="103"/>
      <c r="O100" s="103"/>
      <c r="P100" s="103"/>
      <c r="Q100" s="103"/>
      <c r="R100" s="103"/>
      <c r="S100" s="103"/>
      <c r="T100" s="103"/>
      <c r="V100" s="103"/>
      <c r="W100" s="103"/>
      <c r="Y100" s="103"/>
      <c r="Z100" s="103"/>
      <c r="AA100" s="103"/>
      <c r="AB100" s="103"/>
      <c r="AC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3"/>
      <c r="BW100" s="103"/>
      <c r="BX100" s="103"/>
    </row>
    <row r="101" spans="1:76" outlineLevel="1">
      <c r="A101" s="103"/>
      <c r="B101" s="109" t="s">
        <v>230</v>
      </c>
      <c r="C101" s="110">
        <v>3</v>
      </c>
      <c r="D101" s="115" t="s">
        <v>219</v>
      </c>
      <c r="E101" s="103"/>
      <c r="F101" s="171" t="s">
        <v>446</v>
      </c>
      <c r="G101" s="141">
        <v>3</v>
      </c>
      <c r="H101" s="172" t="s">
        <v>447</v>
      </c>
      <c r="N101" s="103"/>
      <c r="O101" s="103"/>
      <c r="P101" s="103"/>
      <c r="Q101" s="103"/>
      <c r="R101" s="103"/>
      <c r="S101" s="103"/>
      <c r="T101" s="103"/>
      <c r="V101" s="103"/>
      <c r="W101" s="103"/>
      <c r="Y101" s="103"/>
      <c r="Z101" s="103"/>
      <c r="AA101" s="103"/>
      <c r="AB101" s="103"/>
      <c r="AC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3"/>
      <c r="BU101" s="103"/>
      <c r="BV101" s="103"/>
      <c r="BW101" s="103"/>
      <c r="BX101" s="103"/>
    </row>
    <row r="102" spans="1:76" outlineLevel="1">
      <c r="A102" s="103"/>
      <c r="B102" s="109" t="s">
        <v>231</v>
      </c>
      <c r="C102" s="110">
        <v>3</v>
      </c>
      <c r="D102" s="115" t="s">
        <v>220</v>
      </c>
      <c r="E102" s="103"/>
      <c r="F102" s="171" t="s">
        <v>434</v>
      </c>
      <c r="G102" s="141">
        <v>3</v>
      </c>
      <c r="H102" s="172" t="s">
        <v>435</v>
      </c>
      <c r="N102" s="103"/>
      <c r="O102" s="103"/>
      <c r="P102" s="103"/>
      <c r="Q102" s="103"/>
      <c r="R102" s="103"/>
      <c r="S102" s="103"/>
      <c r="T102" s="103"/>
      <c r="V102" s="103"/>
      <c r="W102" s="103"/>
      <c r="Y102" s="103"/>
      <c r="Z102" s="103"/>
      <c r="AA102" s="103"/>
      <c r="AB102" s="103"/>
      <c r="AC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</row>
    <row r="103" spans="1:76" outlineLevel="1">
      <c r="A103" s="103"/>
      <c r="B103" s="111" t="s">
        <v>358</v>
      </c>
      <c r="C103" s="110">
        <v>3</v>
      </c>
      <c r="D103" s="116" t="s">
        <v>359</v>
      </c>
      <c r="E103" s="103"/>
      <c r="F103" s="171" t="s">
        <v>388</v>
      </c>
      <c r="G103" s="141">
        <v>3</v>
      </c>
      <c r="H103" s="172" t="s">
        <v>389</v>
      </c>
      <c r="N103" s="103"/>
      <c r="O103" s="103"/>
      <c r="P103" s="103"/>
      <c r="Q103" s="103"/>
      <c r="R103" s="103"/>
      <c r="S103" s="103"/>
      <c r="T103" s="103"/>
      <c r="V103" s="103"/>
      <c r="W103" s="103"/>
      <c r="Y103" s="103"/>
      <c r="Z103" s="103"/>
      <c r="AA103" s="103"/>
      <c r="AB103" s="103"/>
      <c r="AC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</row>
    <row r="104" spans="1:76" outlineLevel="1">
      <c r="A104" s="103"/>
      <c r="B104" s="111" t="s">
        <v>340</v>
      </c>
      <c r="C104" s="110">
        <v>3</v>
      </c>
      <c r="D104" s="116" t="s">
        <v>335</v>
      </c>
      <c r="E104" s="103"/>
      <c r="F104" s="171" t="s">
        <v>432</v>
      </c>
      <c r="G104" s="141">
        <v>3</v>
      </c>
      <c r="H104" s="172" t="s">
        <v>433</v>
      </c>
      <c r="N104" s="103"/>
      <c r="O104" s="103"/>
      <c r="P104" s="103"/>
      <c r="Q104" s="103"/>
      <c r="R104" s="103"/>
      <c r="S104" s="103"/>
      <c r="T104" s="103"/>
      <c r="V104" s="103"/>
      <c r="W104" s="103"/>
      <c r="Y104" s="103"/>
      <c r="Z104" s="103"/>
      <c r="AA104" s="103"/>
      <c r="AB104" s="103"/>
      <c r="AC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3"/>
      <c r="BW104" s="103"/>
      <c r="BX104" s="103"/>
    </row>
    <row r="105" spans="1:76" outlineLevel="1">
      <c r="A105" s="103"/>
      <c r="B105" s="111" t="s">
        <v>274</v>
      </c>
      <c r="C105" s="110">
        <v>3</v>
      </c>
      <c r="D105" s="115" t="s">
        <v>275</v>
      </c>
      <c r="E105" s="103"/>
      <c r="F105" s="173" t="s">
        <v>368</v>
      </c>
      <c r="G105" s="141">
        <v>3</v>
      </c>
      <c r="H105" s="172" t="s">
        <v>369</v>
      </c>
      <c r="N105" s="103"/>
      <c r="O105" s="103"/>
      <c r="P105" s="103"/>
      <c r="Q105" s="103"/>
      <c r="R105" s="103"/>
      <c r="S105" s="103"/>
      <c r="T105" s="103"/>
      <c r="V105" s="103"/>
      <c r="W105" s="103"/>
      <c r="Y105" s="103"/>
      <c r="Z105" s="103"/>
      <c r="AA105" s="103"/>
      <c r="AB105" s="103"/>
      <c r="AC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</row>
    <row r="106" spans="1:76" outlineLevel="1">
      <c r="A106" s="103"/>
      <c r="B106" s="111" t="s">
        <v>278</v>
      </c>
      <c r="C106" s="110">
        <v>3</v>
      </c>
      <c r="D106" s="115" t="s">
        <v>279</v>
      </c>
      <c r="E106" s="103"/>
      <c r="F106" s="171" t="s">
        <v>430</v>
      </c>
      <c r="G106" s="141">
        <v>3</v>
      </c>
      <c r="H106" s="172" t="s">
        <v>431</v>
      </c>
      <c r="N106" s="103"/>
      <c r="O106" s="103"/>
      <c r="P106" s="103"/>
      <c r="Q106" s="103"/>
      <c r="R106" s="103"/>
      <c r="S106" s="103"/>
      <c r="T106" s="103"/>
      <c r="V106" s="103"/>
      <c r="W106" s="103"/>
      <c r="Y106" s="103"/>
      <c r="Z106" s="103"/>
      <c r="AA106" s="103"/>
      <c r="AB106" s="103"/>
      <c r="AC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</row>
    <row r="107" spans="1:76" outlineLevel="1">
      <c r="A107" s="103"/>
      <c r="B107" s="109" t="s">
        <v>232</v>
      </c>
      <c r="C107" s="110">
        <v>3</v>
      </c>
      <c r="D107" s="115" t="s">
        <v>221</v>
      </c>
      <c r="E107" s="103"/>
      <c r="F107" s="171" t="s">
        <v>428</v>
      </c>
      <c r="G107" s="141">
        <v>3</v>
      </c>
      <c r="H107" s="172" t="s">
        <v>429</v>
      </c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Y107" s="103"/>
      <c r="Z107" s="103"/>
      <c r="AA107" s="103"/>
      <c r="AB107" s="103"/>
      <c r="AC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6" outlineLevel="1">
      <c r="A108" s="103"/>
      <c r="B108" s="111" t="s">
        <v>345</v>
      </c>
      <c r="C108" s="110">
        <v>3</v>
      </c>
      <c r="D108" s="116" t="s">
        <v>349</v>
      </c>
      <c r="E108" s="103"/>
      <c r="F108" s="171" t="s">
        <v>426</v>
      </c>
      <c r="G108" s="141">
        <v>3</v>
      </c>
      <c r="H108" s="172" t="s">
        <v>427</v>
      </c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Y108" s="103"/>
      <c r="Z108" s="103"/>
      <c r="AA108" s="103"/>
      <c r="AB108" s="103"/>
      <c r="AC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3"/>
      <c r="BW108" s="103"/>
      <c r="BX108" s="103"/>
    </row>
    <row r="109" spans="1:76" outlineLevel="1">
      <c r="A109" s="103"/>
      <c r="B109" s="109" t="s">
        <v>233</v>
      </c>
      <c r="C109" s="110">
        <v>3</v>
      </c>
      <c r="D109" s="115" t="s">
        <v>235</v>
      </c>
      <c r="E109" s="103"/>
      <c r="F109" s="171" t="s">
        <v>422</v>
      </c>
      <c r="G109" s="141">
        <v>3</v>
      </c>
      <c r="H109" s="172" t="s">
        <v>423</v>
      </c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Y109" s="103"/>
      <c r="Z109" s="103"/>
      <c r="AA109" s="103"/>
      <c r="AB109" s="103"/>
      <c r="AC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6" outlineLevel="1">
      <c r="A110" s="103"/>
      <c r="B110" s="109" t="s">
        <v>234</v>
      </c>
      <c r="C110" s="110">
        <v>3</v>
      </c>
      <c r="D110" s="115" t="s">
        <v>236</v>
      </c>
      <c r="E110" s="103"/>
      <c r="F110" s="171" t="s">
        <v>394</v>
      </c>
      <c r="G110" s="141">
        <v>3</v>
      </c>
      <c r="H110" s="172" t="s">
        <v>395</v>
      </c>
      <c r="I110" s="168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Y110" s="103"/>
      <c r="Z110" s="103"/>
      <c r="AA110" s="103"/>
      <c r="AB110" s="103"/>
      <c r="AC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3"/>
      <c r="BW110" s="103"/>
      <c r="BX110" s="103"/>
    </row>
    <row r="111" spans="1:76" outlineLevel="1">
      <c r="A111" s="103"/>
      <c r="B111" s="111" t="s">
        <v>282</v>
      </c>
      <c r="C111" s="110">
        <v>3</v>
      </c>
      <c r="D111" s="115" t="s">
        <v>283</v>
      </c>
      <c r="E111" s="103"/>
      <c r="F111" s="171" t="s">
        <v>420</v>
      </c>
      <c r="G111" s="141">
        <v>3</v>
      </c>
      <c r="H111" s="172" t="s">
        <v>421</v>
      </c>
      <c r="I111" s="168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Y111" s="103"/>
      <c r="Z111" s="103"/>
      <c r="AA111" s="103"/>
      <c r="AB111" s="103"/>
      <c r="AC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6" outlineLevel="1">
      <c r="A112" s="103"/>
      <c r="B112" s="109" t="s">
        <v>237</v>
      </c>
      <c r="C112" s="110">
        <v>3</v>
      </c>
      <c r="D112" s="115" t="s">
        <v>238</v>
      </c>
      <c r="E112" s="103"/>
      <c r="F112" s="171" t="s">
        <v>416</v>
      </c>
      <c r="G112" s="141">
        <v>3</v>
      </c>
      <c r="H112" s="172" t="s">
        <v>417</v>
      </c>
      <c r="I112" s="168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Y112" s="103"/>
      <c r="Z112" s="103"/>
      <c r="AA112" s="103"/>
      <c r="AB112" s="103"/>
      <c r="AC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</row>
    <row r="113" spans="1:76" outlineLevel="1">
      <c r="A113" s="103"/>
      <c r="B113" s="109" t="s">
        <v>239</v>
      </c>
      <c r="C113" s="110">
        <v>3</v>
      </c>
      <c r="D113" s="115" t="s">
        <v>240</v>
      </c>
      <c r="E113" s="103"/>
      <c r="F113" s="171" t="s">
        <v>399</v>
      </c>
      <c r="G113" s="141">
        <v>3</v>
      </c>
      <c r="H113" s="172" t="s">
        <v>400</v>
      </c>
      <c r="I113" s="168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Y113" s="103"/>
      <c r="Z113" s="103"/>
      <c r="AA113" s="103"/>
      <c r="AB113" s="103"/>
      <c r="AC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</row>
    <row r="114" spans="1:76" outlineLevel="1">
      <c r="A114" s="103"/>
      <c r="B114" s="111" t="s">
        <v>362</v>
      </c>
      <c r="C114" s="110">
        <v>3</v>
      </c>
      <c r="D114" s="116" t="s">
        <v>363</v>
      </c>
      <c r="E114" s="103"/>
      <c r="F114" s="171" t="s">
        <v>405</v>
      </c>
      <c r="G114" s="141">
        <v>3</v>
      </c>
      <c r="H114" s="172" t="s">
        <v>409</v>
      </c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Y114" s="103"/>
      <c r="Z114" s="103"/>
      <c r="AA114" s="103"/>
      <c r="AB114" s="103"/>
      <c r="AC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</row>
    <row r="115" spans="1:76" outlineLevel="1">
      <c r="A115" s="103"/>
      <c r="B115" s="109" t="s">
        <v>284</v>
      </c>
      <c r="C115" s="110">
        <v>3</v>
      </c>
      <c r="D115" s="115" t="s">
        <v>285</v>
      </c>
      <c r="E115" s="103"/>
      <c r="F115" s="171" t="s">
        <v>379</v>
      </c>
      <c r="G115" s="141">
        <v>5</v>
      </c>
      <c r="H115" s="172" t="s">
        <v>377</v>
      </c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Y115" s="103"/>
      <c r="Z115" s="103"/>
      <c r="AA115" s="103"/>
      <c r="AB115" s="103"/>
      <c r="AC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</row>
    <row r="116" spans="1:76" outlineLevel="1">
      <c r="A116" s="103"/>
      <c r="B116" s="109" t="s">
        <v>241</v>
      </c>
      <c r="C116" s="110">
        <v>3</v>
      </c>
      <c r="D116" s="115" t="s">
        <v>242</v>
      </c>
      <c r="E116" s="103"/>
      <c r="F116" s="171" t="s">
        <v>382</v>
      </c>
      <c r="G116" s="141">
        <v>5</v>
      </c>
      <c r="H116" s="172" t="s">
        <v>385</v>
      </c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Y116" s="103"/>
      <c r="Z116" s="103"/>
      <c r="AA116" s="103"/>
      <c r="AB116" s="103"/>
      <c r="AC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3"/>
      <c r="BW116" s="103"/>
      <c r="BX116" s="103"/>
    </row>
    <row r="117" spans="1:76" outlineLevel="1">
      <c r="A117" s="103"/>
      <c r="B117" s="109" t="s">
        <v>243</v>
      </c>
      <c r="C117" s="110">
        <v>3</v>
      </c>
      <c r="D117" s="115" t="s">
        <v>244</v>
      </c>
      <c r="E117" s="103"/>
      <c r="F117" s="171" t="s">
        <v>390</v>
      </c>
      <c r="G117" s="141">
        <v>5</v>
      </c>
      <c r="H117" s="172" t="s">
        <v>391</v>
      </c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Y117" s="103"/>
      <c r="Z117" s="103"/>
      <c r="AA117" s="103"/>
      <c r="AB117" s="103"/>
      <c r="AC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3"/>
      <c r="BW117" s="103"/>
      <c r="BX117" s="103"/>
    </row>
    <row r="118" spans="1:76" outlineLevel="1">
      <c r="A118" s="103"/>
      <c r="B118" s="111" t="s">
        <v>315</v>
      </c>
      <c r="C118" s="110">
        <v>4</v>
      </c>
      <c r="D118" s="115" t="s">
        <v>320</v>
      </c>
      <c r="E118" s="103"/>
      <c r="F118" s="171" t="s">
        <v>410</v>
      </c>
      <c r="G118" s="141">
        <v>5</v>
      </c>
      <c r="H118" s="172" t="s">
        <v>411</v>
      </c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</row>
    <row r="119" spans="1:76" outlineLevel="1">
      <c r="A119" s="103"/>
      <c r="B119" s="111" t="s">
        <v>339</v>
      </c>
      <c r="C119" s="110">
        <v>4</v>
      </c>
      <c r="D119" s="116" t="s">
        <v>336</v>
      </c>
      <c r="E119" s="103"/>
      <c r="F119" s="171" t="s">
        <v>396</v>
      </c>
      <c r="G119" s="141">
        <v>5</v>
      </c>
      <c r="H119" s="172" t="s">
        <v>397</v>
      </c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3"/>
      <c r="BW119" s="103"/>
      <c r="BX119" s="103"/>
    </row>
    <row r="120" spans="1:76" outlineLevel="1">
      <c r="A120" s="103"/>
      <c r="B120" s="111" t="s">
        <v>346</v>
      </c>
      <c r="C120" s="110">
        <v>4</v>
      </c>
      <c r="D120" s="116" t="s">
        <v>351</v>
      </c>
      <c r="E120" s="103"/>
      <c r="F120" s="171" t="s">
        <v>412</v>
      </c>
      <c r="G120" s="141">
        <v>5</v>
      </c>
      <c r="H120" s="172" t="s">
        <v>413</v>
      </c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3"/>
      <c r="BW120" s="103"/>
      <c r="BX120" s="103"/>
    </row>
    <row r="121" spans="1:76" outlineLevel="1">
      <c r="A121" s="103"/>
      <c r="B121" s="111" t="s">
        <v>309</v>
      </c>
      <c r="C121" s="110">
        <v>5</v>
      </c>
      <c r="D121" s="115" t="s">
        <v>310</v>
      </c>
      <c r="E121" s="103"/>
      <c r="F121" s="171" t="s">
        <v>402</v>
      </c>
      <c r="G121" s="141">
        <v>5</v>
      </c>
      <c r="H121" s="172" t="s">
        <v>403</v>
      </c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3"/>
      <c r="BW121" s="103"/>
      <c r="BX121" s="103"/>
    </row>
    <row r="122" spans="1:76" outlineLevel="1">
      <c r="A122" s="103"/>
      <c r="B122" s="109" t="s">
        <v>291</v>
      </c>
      <c r="C122" s="110">
        <v>5</v>
      </c>
      <c r="D122" s="115" t="s">
        <v>292</v>
      </c>
      <c r="E122" s="103"/>
      <c r="F122" s="171" t="s">
        <v>406</v>
      </c>
      <c r="G122" s="141">
        <v>5</v>
      </c>
      <c r="H122" s="172" t="s">
        <v>407</v>
      </c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3"/>
      <c r="BW122" s="103"/>
      <c r="BX122" s="103"/>
    </row>
    <row r="123" spans="1:76" outlineLevel="1">
      <c r="A123" s="103"/>
      <c r="B123" s="109" t="s">
        <v>293</v>
      </c>
      <c r="C123" s="110">
        <v>5</v>
      </c>
      <c r="D123" s="115" t="s">
        <v>294</v>
      </c>
      <c r="E123" s="103"/>
      <c r="F123" s="171" t="s">
        <v>555</v>
      </c>
      <c r="G123" s="110">
        <v>3</v>
      </c>
      <c r="H123" s="115" t="s">
        <v>514</v>
      </c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103"/>
      <c r="BU123" s="103"/>
      <c r="BV123" s="103"/>
      <c r="BW123" s="103"/>
      <c r="BX123" s="103"/>
    </row>
    <row r="124" spans="1:76" outlineLevel="1">
      <c r="A124" s="103"/>
      <c r="B124" s="111" t="s">
        <v>295</v>
      </c>
      <c r="C124" s="110">
        <v>5</v>
      </c>
      <c r="D124" s="115" t="s">
        <v>300</v>
      </c>
      <c r="E124" s="103"/>
      <c r="F124" s="171" t="s">
        <v>554</v>
      </c>
      <c r="G124" s="110">
        <v>3</v>
      </c>
      <c r="H124" s="115" t="s">
        <v>515</v>
      </c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3"/>
      <c r="BW124" s="103"/>
      <c r="BX124" s="103"/>
    </row>
    <row r="125" spans="1:76" outlineLevel="1">
      <c r="A125" s="103"/>
      <c r="B125" s="109" t="s">
        <v>297</v>
      </c>
      <c r="C125" s="110">
        <v>5</v>
      </c>
      <c r="D125" s="115" t="s">
        <v>302</v>
      </c>
      <c r="E125" s="103"/>
      <c r="F125" s="171" t="s">
        <v>563</v>
      </c>
      <c r="G125" s="110">
        <v>1</v>
      </c>
      <c r="H125" s="115" t="s">
        <v>506</v>
      </c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3"/>
      <c r="BW125" s="103"/>
      <c r="BX125" s="103"/>
    </row>
    <row r="126" spans="1:76" outlineLevel="1">
      <c r="A126" s="103"/>
      <c r="B126" s="111" t="s">
        <v>296</v>
      </c>
      <c r="C126" s="110">
        <v>5</v>
      </c>
      <c r="D126" s="115" t="s">
        <v>301</v>
      </c>
      <c r="E126" s="103"/>
      <c r="F126" s="171" t="s">
        <v>562</v>
      </c>
      <c r="G126" s="110">
        <v>3</v>
      </c>
      <c r="H126" s="115" t="s">
        <v>507</v>
      </c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03"/>
      <c r="BU126" s="103"/>
      <c r="BV126" s="103"/>
      <c r="BW126" s="103"/>
      <c r="BX126" s="103"/>
    </row>
    <row r="127" spans="1:76" outlineLevel="1">
      <c r="A127" s="103"/>
      <c r="B127" s="109" t="s">
        <v>298</v>
      </c>
      <c r="C127" s="110">
        <v>5</v>
      </c>
      <c r="D127" s="115" t="s">
        <v>303</v>
      </c>
      <c r="E127" s="103"/>
      <c r="F127" s="171" t="s">
        <v>561</v>
      </c>
      <c r="G127" s="110">
        <v>1</v>
      </c>
      <c r="H127" s="115" t="s">
        <v>508</v>
      </c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3"/>
      <c r="BW127" s="103"/>
      <c r="BX127" s="103"/>
    </row>
    <row r="128" spans="1:76" outlineLevel="1">
      <c r="A128" s="103"/>
      <c r="B128" s="111" t="s">
        <v>299</v>
      </c>
      <c r="C128" s="110">
        <v>5</v>
      </c>
      <c r="D128" s="115" t="s">
        <v>304</v>
      </c>
      <c r="E128" s="103"/>
      <c r="F128" s="171" t="s">
        <v>560</v>
      </c>
      <c r="G128" s="110">
        <v>1</v>
      </c>
      <c r="H128" s="115" t="s">
        <v>509</v>
      </c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03"/>
      <c r="BO128" s="103"/>
      <c r="BP128" s="103"/>
      <c r="BQ128" s="103"/>
      <c r="BR128" s="103"/>
      <c r="BS128" s="103"/>
      <c r="BT128" s="103"/>
      <c r="BU128" s="103"/>
      <c r="BV128" s="103"/>
      <c r="BW128" s="103"/>
      <c r="BX128" s="103"/>
    </row>
    <row r="129" spans="1:76" outlineLevel="1">
      <c r="A129" s="103"/>
      <c r="B129" s="111" t="s">
        <v>305</v>
      </c>
      <c r="C129" s="110">
        <v>5</v>
      </c>
      <c r="D129" s="115" t="s">
        <v>306</v>
      </c>
      <c r="E129" s="103"/>
      <c r="F129" s="171" t="s">
        <v>559</v>
      </c>
      <c r="G129" s="110">
        <v>3</v>
      </c>
      <c r="H129" s="115" t="s">
        <v>510</v>
      </c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03"/>
      <c r="BO129" s="103"/>
      <c r="BP129" s="103"/>
      <c r="BQ129" s="103"/>
      <c r="BR129" s="103"/>
      <c r="BS129" s="103"/>
      <c r="BT129" s="103"/>
      <c r="BU129" s="103"/>
      <c r="BV129" s="103"/>
      <c r="BW129" s="103"/>
      <c r="BX129" s="103"/>
    </row>
    <row r="130" spans="1:76" outlineLevel="1">
      <c r="A130" s="103"/>
      <c r="B130" s="109" t="s">
        <v>260</v>
      </c>
      <c r="C130" s="110">
        <v>5</v>
      </c>
      <c r="D130" s="115" t="s">
        <v>261</v>
      </c>
      <c r="E130" s="103"/>
      <c r="F130" s="171" t="s">
        <v>558</v>
      </c>
      <c r="G130" s="110">
        <v>3</v>
      </c>
      <c r="H130" s="115" t="s">
        <v>511</v>
      </c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3"/>
      <c r="BW130" s="103"/>
      <c r="BX130" s="103"/>
    </row>
    <row r="131" spans="1:76" outlineLevel="1">
      <c r="A131" s="103"/>
      <c r="B131" s="111" t="s">
        <v>316</v>
      </c>
      <c r="C131" s="110">
        <v>5</v>
      </c>
      <c r="D131" s="115" t="s">
        <v>321</v>
      </c>
      <c r="E131" s="103"/>
      <c r="F131" s="186" t="s">
        <v>552</v>
      </c>
      <c r="G131" s="141">
        <v>1</v>
      </c>
      <c r="H131" s="112" t="s">
        <v>516</v>
      </c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3"/>
      <c r="BW131" s="103"/>
      <c r="BX131" s="103"/>
    </row>
    <row r="132" spans="1:76" outlineLevel="1">
      <c r="A132" s="103"/>
      <c r="B132" s="111" t="s">
        <v>326</v>
      </c>
      <c r="C132" s="110">
        <v>5</v>
      </c>
      <c r="D132" s="115" t="s">
        <v>327</v>
      </c>
      <c r="E132" s="103"/>
      <c r="F132" s="186" t="s">
        <v>551</v>
      </c>
      <c r="G132" s="141">
        <v>1</v>
      </c>
      <c r="H132" s="112" t="s">
        <v>517</v>
      </c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03"/>
      <c r="BM132" s="103"/>
      <c r="BN132" s="103"/>
      <c r="BO132" s="103"/>
      <c r="BP132" s="103"/>
      <c r="BQ132" s="103"/>
      <c r="BR132" s="103"/>
      <c r="BS132" s="103"/>
      <c r="BT132" s="103"/>
      <c r="BU132" s="103"/>
      <c r="BV132" s="103"/>
      <c r="BW132" s="103"/>
      <c r="BX132" s="103"/>
    </row>
    <row r="133" spans="1:76" outlineLevel="1">
      <c r="A133" s="103"/>
      <c r="B133" s="111" t="s">
        <v>330</v>
      </c>
      <c r="C133" s="110">
        <v>5</v>
      </c>
      <c r="D133" s="115" t="s">
        <v>331</v>
      </c>
      <c r="E133" s="103"/>
      <c r="F133" s="186" t="s">
        <v>550</v>
      </c>
      <c r="G133" s="141">
        <v>3</v>
      </c>
      <c r="H133" s="112" t="s">
        <v>518</v>
      </c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03"/>
      <c r="BO133" s="103"/>
      <c r="BP133" s="103"/>
      <c r="BQ133" s="103"/>
      <c r="BR133" s="103"/>
      <c r="BS133" s="103"/>
      <c r="BT133" s="103"/>
      <c r="BU133" s="103"/>
      <c r="BV133" s="103"/>
      <c r="BW133" s="103"/>
      <c r="BX133" s="103"/>
    </row>
    <row r="134" spans="1:76" outlineLevel="1">
      <c r="A134" s="103"/>
      <c r="B134" s="111" t="s">
        <v>338</v>
      </c>
      <c r="C134" s="110">
        <v>5</v>
      </c>
      <c r="D134" s="116" t="s">
        <v>337</v>
      </c>
      <c r="E134" s="103"/>
      <c r="F134" s="186" t="s">
        <v>549</v>
      </c>
      <c r="G134" s="141">
        <v>3</v>
      </c>
      <c r="H134" s="112" t="s">
        <v>519</v>
      </c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/>
      <c r="BP134" s="103"/>
      <c r="BQ134" s="103"/>
      <c r="BR134" s="103"/>
      <c r="BS134" s="103"/>
      <c r="BT134" s="103"/>
      <c r="BU134" s="103"/>
      <c r="BV134" s="103"/>
      <c r="BW134" s="103"/>
      <c r="BX134" s="103"/>
    </row>
    <row r="135" spans="1:76" outlineLevel="1">
      <c r="A135" s="103"/>
      <c r="B135" s="111" t="s">
        <v>347</v>
      </c>
      <c r="C135" s="110">
        <v>5</v>
      </c>
      <c r="D135" s="116" t="s">
        <v>350</v>
      </c>
      <c r="E135" s="103"/>
      <c r="F135" s="186" t="s">
        <v>548</v>
      </c>
      <c r="G135" s="141">
        <v>3</v>
      </c>
      <c r="H135" s="112" t="s">
        <v>520</v>
      </c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03"/>
      <c r="BO135" s="103"/>
      <c r="BP135" s="103"/>
      <c r="BQ135" s="103"/>
      <c r="BR135" s="103"/>
      <c r="BS135" s="103"/>
      <c r="BT135" s="103"/>
      <c r="BU135" s="103"/>
      <c r="BV135" s="103"/>
      <c r="BW135" s="103"/>
      <c r="BX135" s="103"/>
    </row>
    <row r="136" spans="1:76" outlineLevel="1">
      <c r="A136" s="103"/>
      <c r="B136" s="111" t="s">
        <v>307</v>
      </c>
      <c r="C136" s="110">
        <v>5</v>
      </c>
      <c r="D136" s="115" t="s">
        <v>308</v>
      </c>
      <c r="E136" s="103"/>
      <c r="F136" s="186" t="s">
        <v>547</v>
      </c>
      <c r="G136" s="141">
        <v>3</v>
      </c>
      <c r="H136" s="112" t="s">
        <v>521</v>
      </c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03"/>
      <c r="BO136" s="103"/>
      <c r="BP136" s="103"/>
      <c r="BQ136" s="103"/>
      <c r="BR136" s="103"/>
      <c r="BS136" s="103"/>
      <c r="BT136" s="103"/>
      <c r="BU136" s="103"/>
      <c r="BV136" s="103"/>
      <c r="BW136" s="103"/>
      <c r="BX136" s="103"/>
    </row>
    <row r="137" spans="1:76" outlineLevel="1">
      <c r="A137" s="103"/>
      <c r="B137" s="177" t="s">
        <v>539</v>
      </c>
      <c r="C137" s="141">
        <v>3</v>
      </c>
      <c r="D137" s="112" t="s">
        <v>496</v>
      </c>
      <c r="E137" s="103"/>
      <c r="F137" s="171" t="s">
        <v>546</v>
      </c>
      <c r="G137" s="141">
        <v>5</v>
      </c>
      <c r="H137" s="172" t="s">
        <v>415</v>
      </c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3"/>
      <c r="BW137" s="103"/>
      <c r="BX137" s="103"/>
    </row>
    <row r="138" spans="1:76" outlineLevel="1">
      <c r="A138" s="103"/>
      <c r="B138" s="177" t="s">
        <v>540</v>
      </c>
      <c r="C138" s="141">
        <v>3</v>
      </c>
      <c r="D138" s="112" t="s">
        <v>497</v>
      </c>
      <c r="E138" s="103"/>
      <c r="F138" s="171" t="s">
        <v>564</v>
      </c>
      <c r="G138" s="110">
        <v>1</v>
      </c>
      <c r="H138" s="115" t="s">
        <v>502</v>
      </c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03"/>
      <c r="BO138" s="103"/>
      <c r="BP138" s="103"/>
      <c r="BQ138" s="103"/>
      <c r="BR138" s="103"/>
      <c r="BS138" s="103"/>
      <c r="BT138" s="103"/>
      <c r="BU138" s="103"/>
      <c r="BV138" s="103"/>
      <c r="BW138" s="103"/>
      <c r="BX138" s="103"/>
    </row>
    <row r="139" spans="1:76" outlineLevel="1">
      <c r="A139" s="103"/>
      <c r="B139" s="177" t="s">
        <v>530</v>
      </c>
      <c r="C139" s="141">
        <v>1</v>
      </c>
      <c r="D139" s="112" t="s">
        <v>485</v>
      </c>
      <c r="E139" s="103"/>
      <c r="F139" s="171" t="s">
        <v>565</v>
      </c>
      <c r="G139" s="110">
        <v>3</v>
      </c>
      <c r="H139" s="115" t="s">
        <v>503</v>
      </c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3"/>
      <c r="BW139" s="103"/>
      <c r="BX139" s="103"/>
    </row>
    <row r="140" spans="1:76" outlineLevel="1">
      <c r="A140" s="103"/>
      <c r="B140" s="177" t="s">
        <v>531</v>
      </c>
      <c r="C140" s="141">
        <v>1</v>
      </c>
      <c r="D140" s="112" t="s">
        <v>486</v>
      </c>
      <c r="E140" s="103"/>
      <c r="F140" s="171" t="s">
        <v>566</v>
      </c>
      <c r="G140" s="110">
        <v>3</v>
      </c>
      <c r="H140" s="115" t="s">
        <v>504</v>
      </c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3"/>
      <c r="BW140" s="103"/>
      <c r="BX140" s="103"/>
    </row>
    <row r="141" spans="1:76" outlineLevel="1">
      <c r="A141" s="103"/>
      <c r="B141" s="177" t="s">
        <v>532</v>
      </c>
      <c r="C141" s="141">
        <v>3</v>
      </c>
      <c r="D141" s="112" t="s">
        <v>487</v>
      </c>
      <c r="E141" s="103"/>
      <c r="F141" s="171" t="s">
        <v>556</v>
      </c>
      <c r="G141" s="110">
        <v>3</v>
      </c>
      <c r="H141" s="115" t="s">
        <v>513</v>
      </c>
      <c r="I141" s="176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3"/>
      <c r="BQ141" s="103"/>
      <c r="BR141" s="103"/>
      <c r="BS141" s="103"/>
      <c r="BT141" s="103"/>
      <c r="BU141" s="103"/>
      <c r="BV141" s="103"/>
      <c r="BW141" s="103"/>
      <c r="BX141" s="103"/>
    </row>
    <row r="142" spans="1:76" ht="15.75" outlineLevel="1" thickBot="1">
      <c r="A142" s="103"/>
      <c r="B142" s="177" t="s">
        <v>533</v>
      </c>
      <c r="C142" s="141">
        <v>3</v>
      </c>
      <c r="D142" s="112" t="s">
        <v>489</v>
      </c>
      <c r="E142" s="103"/>
      <c r="F142" s="174" t="s">
        <v>557</v>
      </c>
      <c r="G142" s="113">
        <v>3</v>
      </c>
      <c r="H142" s="117" t="s">
        <v>512</v>
      </c>
      <c r="I142" s="176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3"/>
      <c r="BW142" s="103"/>
      <c r="BX142" s="103"/>
    </row>
    <row r="143" spans="1:76" outlineLevel="1">
      <c r="A143" s="103"/>
      <c r="B143" s="177" t="s">
        <v>534</v>
      </c>
      <c r="C143" s="141">
        <v>3</v>
      </c>
      <c r="D143" s="112" t="s">
        <v>490</v>
      </c>
      <c r="E143" s="103"/>
      <c r="I143" s="176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3"/>
      <c r="BW143" s="103"/>
      <c r="BX143" s="103"/>
    </row>
    <row r="144" spans="1:76" outlineLevel="1">
      <c r="A144" s="103"/>
      <c r="B144" s="177" t="s">
        <v>535</v>
      </c>
      <c r="C144" s="141">
        <v>3</v>
      </c>
      <c r="D144" s="112" t="s">
        <v>491</v>
      </c>
      <c r="E144" s="103"/>
      <c r="I144" s="176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  <c r="BO144" s="103"/>
      <c r="BP144" s="103"/>
      <c r="BQ144" s="103"/>
      <c r="BR144" s="103"/>
      <c r="BS144" s="103"/>
      <c r="BT144" s="103"/>
      <c r="BU144" s="103"/>
      <c r="BV144" s="103"/>
      <c r="BW144" s="103"/>
      <c r="BX144" s="103"/>
    </row>
    <row r="145" spans="1:76" outlineLevel="1">
      <c r="A145" s="103"/>
      <c r="B145" s="177" t="s">
        <v>536</v>
      </c>
      <c r="C145" s="141">
        <v>3</v>
      </c>
      <c r="D145" s="112" t="s">
        <v>492</v>
      </c>
      <c r="E145" s="103"/>
      <c r="I145" s="176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3"/>
      <c r="BW145" s="103"/>
      <c r="BX145" s="103"/>
    </row>
    <row r="146" spans="1:76" ht="15.75" outlineLevel="1" thickBot="1">
      <c r="A146" s="103"/>
      <c r="B146" s="177" t="s">
        <v>541</v>
      </c>
      <c r="C146" s="141">
        <v>1</v>
      </c>
      <c r="D146" s="112" t="s">
        <v>498</v>
      </c>
      <c r="E146" s="103"/>
      <c r="I146" s="176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  <c r="BO146" s="103"/>
      <c r="BP146" s="103"/>
      <c r="BQ146" s="103"/>
      <c r="BR146" s="103"/>
      <c r="BS146" s="103"/>
      <c r="BT146" s="103"/>
      <c r="BU146" s="103"/>
      <c r="BV146" s="103"/>
      <c r="BW146" s="103"/>
      <c r="BX146" s="103"/>
    </row>
    <row r="147" spans="1:76" ht="15.75" outlineLevel="1" thickBot="1">
      <c r="A147" s="103"/>
      <c r="B147" s="177" t="s">
        <v>542</v>
      </c>
      <c r="C147" s="141">
        <v>1</v>
      </c>
      <c r="D147" s="112" t="s">
        <v>499</v>
      </c>
      <c r="E147" s="103"/>
      <c r="F147" s="178" t="s">
        <v>569</v>
      </c>
      <c r="G147" s="179" t="s">
        <v>201</v>
      </c>
      <c r="H147" s="180" t="s">
        <v>286</v>
      </c>
      <c r="I147" s="176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3"/>
      <c r="BW147" s="103"/>
      <c r="BX147" s="103"/>
    </row>
    <row r="148" spans="1:76" ht="15.75" outlineLevel="1" thickBot="1">
      <c r="A148" s="103"/>
      <c r="B148" s="177" t="s">
        <v>543</v>
      </c>
      <c r="C148" s="141">
        <v>3</v>
      </c>
      <c r="D148" s="112" t="s">
        <v>500</v>
      </c>
      <c r="E148" s="103"/>
      <c r="F148" s="181" t="s">
        <v>222</v>
      </c>
      <c r="G148" s="182">
        <v>0</v>
      </c>
      <c r="H148" s="183" t="s">
        <v>214</v>
      </c>
      <c r="I148" s="176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  <c r="BO148" s="103"/>
      <c r="BP148" s="103"/>
      <c r="BQ148" s="103"/>
      <c r="BR148" s="103"/>
      <c r="BS148" s="103"/>
      <c r="BT148" s="103"/>
      <c r="BU148" s="103"/>
      <c r="BV148" s="103"/>
      <c r="BW148" s="103"/>
      <c r="BX148" s="103"/>
    </row>
    <row r="149" spans="1:76" ht="15.75" outlineLevel="1" thickBot="1">
      <c r="A149" s="103"/>
      <c r="B149" s="177" t="s">
        <v>544</v>
      </c>
      <c r="C149" s="141">
        <v>3</v>
      </c>
      <c r="D149" s="112" t="s">
        <v>493</v>
      </c>
      <c r="E149" s="103"/>
      <c r="F149" s="146" t="s">
        <v>553</v>
      </c>
      <c r="G149" s="142">
        <v>0</v>
      </c>
      <c r="H149" s="195" t="s">
        <v>414</v>
      </c>
      <c r="I149" s="176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3"/>
      <c r="BW149" s="103"/>
      <c r="BX149" s="103"/>
    </row>
    <row r="150" spans="1:76" outlineLevel="1">
      <c r="A150" s="103"/>
      <c r="B150" s="177" t="s">
        <v>545</v>
      </c>
      <c r="C150" s="141">
        <v>5</v>
      </c>
      <c r="D150" s="112" t="s">
        <v>501</v>
      </c>
      <c r="E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3"/>
      <c r="BO150" s="103"/>
      <c r="BP150" s="103"/>
      <c r="BQ150" s="103"/>
      <c r="BR150" s="103"/>
      <c r="BS150" s="103"/>
      <c r="BT150" s="103"/>
      <c r="BU150" s="103"/>
      <c r="BV150" s="103"/>
      <c r="BW150" s="103"/>
      <c r="BX150" s="103"/>
    </row>
    <row r="151" spans="1:76" outlineLevel="1">
      <c r="A151" s="103"/>
      <c r="B151" s="111" t="s">
        <v>528</v>
      </c>
      <c r="C151" s="110">
        <v>1</v>
      </c>
      <c r="D151" s="115" t="s">
        <v>648</v>
      </c>
      <c r="E151" s="103"/>
      <c r="F151" s="194"/>
      <c r="G151" s="194"/>
      <c r="H151" s="194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3"/>
      <c r="BL151" s="103"/>
      <c r="BM151" s="103"/>
      <c r="BN151" s="103"/>
      <c r="BO151" s="103"/>
      <c r="BP151" s="103"/>
      <c r="BQ151" s="103"/>
      <c r="BR151" s="103"/>
      <c r="BS151" s="103"/>
      <c r="BT151" s="103"/>
      <c r="BU151" s="103"/>
      <c r="BV151" s="103"/>
      <c r="BW151" s="103"/>
      <c r="BX151" s="103"/>
    </row>
    <row r="152" spans="1:76" outlineLevel="1">
      <c r="A152" s="103"/>
      <c r="B152" s="111" t="s">
        <v>529</v>
      </c>
      <c r="C152" s="110">
        <v>3</v>
      </c>
      <c r="D152" s="115" t="s">
        <v>484</v>
      </c>
      <c r="E152" s="103"/>
      <c r="F152" s="194"/>
      <c r="G152" s="194"/>
      <c r="H152" s="194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3"/>
      <c r="BS152" s="103"/>
      <c r="BT152" s="103"/>
      <c r="BU152" s="103"/>
      <c r="BV152" s="103"/>
      <c r="BW152" s="103"/>
      <c r="BX152" s="103"/>
    </row>
    <row r="153" spans="1:76" outlineLevel="1">
      <c r="A153" s="103"/>
      <c r="B153" s="177" t="s">
        <v>537</v>
      </c>
      <c r="C153" s="141">
        <v>3</v>
      </c>
      <c r="D153" s="112" t="s">
        <v>494</v>
      </c>
      <c r="E153" s="103"/>
      <c r="F153" s="194"/>
      <c r="G153" s="194"/>
      <c r="H153" s="194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3"/>
      <c r="BT153" s="103"/>
      <c r="BU153" s="103"/>
      <c r="BV153" s="103"/>
      <c r="BW153" s="103"/>
      <c r="BX153" s="103"/>
    </row>
    <row r="154" spans="1:76" ht="15.75" outlineLevel="1" thickBot="1">
      <c r="A154" s="103"/>
      <c r="B154" s="207" t="s">
        <v>538</v>
      </c>
      <c r="C154" s="142">
        <v>3</v>
      </c>
      <c r="D154" s="192" t="s">
        <v>495</v>
      </c>
      <c r="E154" s="103"/>
      <c r="F154" s="193"/>
      <c r="G154" s="193"/>
      <c r="H154" s="19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3"/>
      <c r="BO154" s="103"/>
      <c r="BP154" s="103"/>
      <c r="BQ154" s="103"/>
      <c r="BR154" s="103"/>
      <c r="BS154" s="103"/>
      <c r="BT154" s="103"/>
      <c r="BU154" s="103"/>
      <c r="BV154" s="103"/>
      <c r="BW154" s="103"/>
      <c r="BX154" s="103"/>
    </row>
    <row r="155" spans="1:76" outlineLevel="1">
      <c r="A155" s="103"/>
      <c r="E155" s="103"/>
      <c r="F155" s="194"/>
      <c r="G155" s="194"/>
      <c r="H155" s="194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3"/>
      <c r="BV155" s="103"/>
      <c r="BW155" s="103"/>
      <c r="BX155" s="103"/>
    </row>
    <row r="156" spans="1:76" outlineLevel="1">
      <c r="A156" s="103"/>
      <c r="E156" s="103"/>
      <c r="F156" s="194"/>
      <c r="G156" s="194"/>
      <c r="H156" s="194"/>
      <c r="I156" s="191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3"/>
      <c r="BW156" s="103"/>
      <c r="BX156" s="103"/>
    </row>
    <row r="157" spans="1:76" outlineLevel="1">
      <c r="A157" s="103"/>
      <c r="E157" s="103"/>
      <c r="F157" s="176"/>
      <c r="G157" s="176"/>
      <c r="H157" s="176"/>
      <c r="I157" s="102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3"/>
      <c r="BW157" s="103"/>
      <c r="BX157" s="103"/>
    </row>
    <row r="158" spans="1:76" ht="15.75" outlineLevel="1" thickBot="1">
      <c r="A158" s="103"/>
      <c r="E158" s="103"/>
      <c r="F158" s="176"/>
      <c r="G158" s="176"/>
      <c r="H158" s="176"/>
      <c r="I158" s="102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3"/>
      <c r="BW158" s="103"/>
      <c r="BX158" s="103"/>
    </row>
    <row r="159" spans="1:76" ht="15.75" outlineLevel="1" thickBot="1">
      <c r="A159" s="103"/>
      <c r="B159" s="136" t="s">
        <v>567</v>
      </c>
      <c r="C159" s="137" t="s">
        <v>201</v>
      </c>
      <c r="D159" s="138" t="s">
        <v>290</v>
      </c>
      <c r="E159" s="136" t="s">
        <v>568</v>
      </c>
      <c r="F159" s="137" t="s">
        <v>201</v>
      </c>
      <c r="G159" s="138" t="s">
        <v>290</v>
      </c>
      <c r="H159" s="176"/>
      <c r="I159" s="102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3"/>
      <c r="BW159" s="103"/>
      <c r="BX159" s="103"/>
    </row>
    <row r="160" spans="1:76" outlineLevel="1">
      <c r="A160" s="103"/>
      <c r="B160" s="143" t="s">
        <v>539</v>
      </c>
      <c r="C160" s="140">
        <v>3</v>
      </c>
      <c r="D160" s="144" t="s">
        <v>496</v>
      </c>
      <c r="E160" s="196" t="s">
        <v>555</v>
      </c>
      <c r="F160" s="122">
        <v>3</v>
      </c>
      <c r="G160" s="119" t="s">
        <v>514</v>
      </c>
      <c r="H160" s="176"/>
      <c r="I160" s="102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</row>
    <row r="161" spans="1:76" outlineLevel="1">
      <c r="A161" s="103"/>
      <c r="B161" s="139" t="s">
        <v>540</v>
      </c>
      <c r="C161" s="141">
        <v>3</v>
      </c>
      <c r="D161" s="105" t="s">
        <v>497</v>
      </c>
      <c r="E161" s="145" t="s">
        <v>554</v>
      </c>
      <c r="F161" s="110">
        <v>3</v>
      </c>
      <c r="G161" s="120" t="s">
        <v>515</v>
      </c>
      <c r="H161" s="176"/>
      <c r="I161" s="102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3"/>
      <c r="BW161" s="103"/>
      <c r="BX161" s="103"/>
    </row>
    <row r="162" spans="1:76" outlineLevel="1">
      <c r="A162" s="103"/>
      <c r="B162" s="139" t="s">
        <v>530</v>
      </c>
      <c r="C162" s="141">
        <v>1</v>
      </c>
      <c r="D162" s="105" t="s">
        <v>485</v>
      </c>
      <c r="E162" s="145" t="s">
        <v>563</v>
      </c>
      <c r="F162" s="110">
        <v>1</v>
      </c>
      <c r="G162" s="120" t="s">
        <v>506</v>
      </c>
      <c r="H162" s="176"/>
      <c r="I162" s="102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</row>
    <row r="163" spans="1:76" outlineLevel="1">
      <c r="A163" s="103"/>
      <c r="B163" s="139" t="s">
        <v>531</v>
      </c>
      <c r="C163" s="141">
        <v>1</v>
      </c>
      <c r="D163" s="105" t="s">
        <v>486</v>
      </c>
      <c r="E163" s="145" t="s">
        <v>562</v>
      </c>
      <c r="F163" s="110">
        <v>3</v>
      </c>
      <c r="G163" s="120" t="s">
        <v>507</v>
      </c>
      <c r="I163" s="102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3"/>
      <c r="BW163" s="103"/>
      <c r="BX163" s="103"/>
    </row>
    <row r="164" spans="1:76" outlineLevel="1">
      <c r="A164" s="103"/>
      <c r="B164" s="139" t="s">
        <v>532</v>
      </c>
      <c r="C164" s="141">
        <v>3</v>
      </c>
      <c r="D164" s="105" t="s">
        <v>487</v>
      </c>
      <c r="E164" s="145" t="s">
        <v>561</v>
      </c>
      <c r="F164" s="110">
        <v>1</v>
      </c>
      <c r="G164" s="120" t="s">
        <v>508</v>
      </c>
      <c r="I164" s="102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3"/>
      <c r="BW164" s="103"/>
      <c r="BX164" s="103"/>
    </row>
    <row r="165" spans="1:76" outlineLevel="1">
      <c r="A165" s="103"/>
      <c r="B165" s="139" t="s">
        <v>533</v>
      </c>
      <c r="C165" s="141">
        <v>3</v>
      </c>
      <c r="D165" s="105" t="s">
        <v>489</v>
      </c>
      <c r="E165" s="145" t="s">
        <v>560</v>
      </c>
      <c r="F165" s="110">
        <v>1</v>
      </c>
      <c r="G165" s="120" t="s">
        <v>509</v>
      </c>
      <c r="I165" s="102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3"/>
      <c r="BW165" s="103"/>
      <c r="BX165" s="103"/>
    </row>
    <row r="166" spans="1:76" outlineLevel="1">
      <c r="A166" s="103"/>
      <c r="B166" s="139" t="s">
        <v>534</v>
      </c>
      <c r="C166" s="141">
        <v>3</v>
      </c>
      <c r="D166" s="105" t="s">
        <v>490</v>
      </c>
      <c r="E166" s="145" t="s">
        <v>559</v>
      </c>
      <c r="F166" s="110">
        <v>3</v>
      </c>
      <c r="G166" s="120" t="s">
        <v>510</v>
      </c>
      <c r="I166" s="102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</row>
    <row r="167" spans="1:76" outlineLevel="1">
      <c r="A167" s="103"/>
      <c r="B167" s="139" t="s">
        <v>535</v>
      </c>
      <c r="C167" s="141">
        <v>3</v>
      </c>
      <c r="D167" s="105" t="s">
        <v>491</v>
      </c>
      <c r="E167" s="145" t="s">
        <v>558</v>
      </c>
      <c r="F167" s="110">
        <v>3</v>
      </c>
      <c r="G167" s="120" t="s">
        <v>511</v>
      </c>
      <c r="H167" s="176"/>
      <c r="I167" s="102"/>
      <c r="J167" s="176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3"/>
      <c r="BW167" s="103"/>
      <c r="BX167" s="103"/>
    </row>
    <row r="168" spans="1:76" outlineLevel="1">
      <c r="A168" s="103"/>
      <c r="B168" s="139" t="s">
        <v>536</v>
      </c>
      <c r="C168" s="141">
        <v>3</v>
      </c>
      <c r="D168" s="105" t="s">
        <v>492</v>
      </c>
      <c r="E168" s="175" t="s">
        <v>552</v>
      </c>
      <c r="F168" s="141">
        <v>1</v>
      </c>
      <c r="G168" s="105" t="s">
        <v>516</v>
      </c>
      <c r="H168" s="176"/>
      <c r="I168" s="102"/>
      <c r="J168" s="176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3"/>
      <c r="BW168" s="103"/>
      <c r="BX168" s="103"/>
    </row>
    <row r="169" spans="1:76" outlineLevel="1">
      <c r="A169" s="103"/>
      <c r="B169" s="139" t="s">
        <v>541</v>
      </c>
      <c r="C169" s="141">
        <v>1</v>
      </c>
      <c r="D169" s="105" t="s">
        <v>498</v>
      </c>
      <c r="E169" s="175" t="s">
        <v>551</v>
      </c>
      <c r="F169" s="141">
        <v>1</v>
      </c>
      <c r="G169" s="105" t="s">
        <v>517</v>
      </c>
      <c r="H169" s="104"/>
      <c r="I169" s="102"/>
      <c r="J169" s="176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  <c r="BJ169" s="103"/>
      <c r="BK169" s="103"/>
      <c r="BL169" s="103"/>
      <c r="BM169" s="103"/>
      <c r="BN169" s="103"/>
      <c r="BO169" s="103"/>
      <c r="BP169" s="103"/>
      <c r="BQ169" s="103"/>
      <c r="BR169" s="103"/>
      <c r="BS169" s="103"/>
      <c r="BT169" s="103"/>
      <c r="BU169" s="103"/>
      <c r="BV169" s="103"/>
      <c r="BW169" s="103"/>
      <c r="BX169" s="103"/>
    </row>
    <row r="170" spans="1:76" outlineLevel="1">
      <c r="A170" s="103"/>
      <c r="B170" s="139" t="s">
        <v>542</v>
      </c>
      <c r="C170" s="141">
        <v>1</v>
      </c>
      <c r="D170" s="105" t="s">
        <v>499</v>
      </c>
      <c r="E170" s="175" t="s">
        <v>550</v>
      </c>
      <c r="F170" s="141">
        <v>3</v>
      </c>
      <c r="G170" s="105" t="s">
        <v>518</v>
      </c>
      <c r="H170" s="104"/>
      <c r="I170" s="102"/>
      <c r="J170" s="176"/>
      <c r="K170" s="103"/>
      <c r="L170" s="103" t="e">
        <f ca="1">OFFSET(colav,MATCH(K170,color,0)-1,0,COUNTIF(color,K170))</f>
        <v>#N/A</v>
      </c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3"/>
      <c r="BV170" s="103"/>
      <c r="BW170" s="103"/>
      <c r="BX170" s="103"/>
    </row>
    <row r="171" spans="1:76" outlineLevel="1">
      <c r="A171" s="103"/>
      <c r="B171" s="139" t="s">
        <v>543</v>
      </c>
      <c r="C171" s="141">
        <v>3</v>
      </c>
      <c r="D171" s="105" t="s">
        <v>500</v>
      </c>
      <c r="E171" s="175" t="s">
        <v>549</v>
      </c>
      <c r="F171" s="141">
        <v>3</v>
      </c>
      <c r="G171" s="105" t="s">
        <v>519</v>
      </c>
      <c r="H171" s="104"/>
      <c r="I171" s="102"/>
      <c r="J171" s="176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3"/>
      <c r="BV171" s="103"/>
      <c r="BW171" s="103"/>
      <c r="BX171" s="103"/>
    </row>
    <row r="172" spans="1:76" outlineLevel="1">
      <c r="A172" s="103"/>
      <c r="B172" s="139" t="s">
        <v>544</v>
      </c>
      <c r="C172" s="141">
        <v>3</v>
      </c>
      <c r="D172" s="105" t="s">
        <v>493</v>
      </c>
      <c r="E172" s="175" t="s">
        <v>548</v>
      </c>
      <c r="F172" s="141">
        <v>3</v>
      </c>
      <c r="G172" s="105" t="s">
        <v>520</v>
      </c>
      <c r="H172" s="104"/>
      <c r="I172" s="102"/>
      <c r="J172" s="176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3"/>
      <c r="BW172" s="103"/>
      <c r="BX172" s="103"/>
    </row>
    <row r="173" spans="1:76" outlineLevel="1">
      <c r="A173" s="103"/>
      <c r="B173" s="139" t="s">
        <v>545</v>
      </c>
      <c r="C173" s="141">
        <v>5</v>
      </c>
      <c r="D173" s="105" t="s">
        <v>501</v>
      </c>
      <c r="E173" s="175" t="s">
        <v>547</v>
      </c>
      <c r="F173" s="141">
        <v>3</v>
      </c>
      <c r="G173" s="105" t="s">
        <v>521</v>
      </c>
      <c r="H173" s="104"/>
      <c r="I173" s="102"/>
      <c r="J173" s="176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/>
      <c r="BL173" s="103"/>
      <c r="BM173" s="103"/>
      <c r="BN173" s="103"/>
      <c r="BO173" s="103"/>
      <c r="BP173" s="103"/>
      <c r="BQ173" s="103"/>
      <c r="BR173" s="103"/>
      <c r="BS173" s="103"/>
      <c r="BT173" s="103"/>
      <c r="BU173" s="103"/>
      <c r="BV173" s="103"/>
      <c r="BW173" s="103"/>
      <c r="BX173" s="103"/>
    </row>
    <row r="174" spans="1:76" outlineLevel="1">
      <c r="A174" s="103"/>
      <c r="B174" s="107" t="s">
        <v>528</v>
      </c>
      <c r="C174" s="110">
        <v>1</v>
      </c>
      <c r="D174" s="120" t="s">
        <v>483</v>
      </c>
      <c r="E174" s="145" t="s">
        <v>546</v>
      </c>
      <c r="F174" s="141">
        <v>5</v>
      </c>
      <c r="G174" s="189" t="s">
        <v>415</v>
      </c>
      <c r="H174" s="104"/>
      <c r="I174" s="102"/>
      <c r="J174" s="176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03"/>
      <c r="AO174" s="103"/>
      <c r="AP174" s="103"/>
      <c r="AQ174" s="103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M174" s="103"/>
      <c r="BN174" s="103"/>
      <c r="BO174" s="103"/>
      <c r="BP174" s="103"/>
      <c r="BQ174" s="103"/>
      <c r="BR174" s="103"/>
      <c r="BS174" s="103"/>
      <c r="BT174" s="103"/>
      <c r="BU174" s="103"/>
      <c r="BV174" s="103"/>
      <c r="BW174" s="103"/>
      <c r="BX174" s="103"/>
    </row>
    <row r="175" spans="1:76" outlineLevel="1">
      <c r="A175" s="103"/>
      <c r="B175" s="107" t="s">
        <v>529</v>
      </c>
      <c r="C175" s="110">
        <v>3</v>
      </c>
      <c r="D175" s="120" t="s">
        <v>484</v>
      </c>
      <c r="E175" s="145" t="s">
        <v>564</v>
      </c>
      <c r="F175" s="110">
        <v>1</v>
      </c>
      <c r="G175" s="120" t="s">
        <v>502</v>
      </c>
      <c r="H175" s="104"/>
      <c r="I175" s="102"/>
      <c r="J175" s="176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3"/>
      <c r="BV175" s="103"/>
      <c r="BW175" s="103"/>
      <c r="BX175" s="103"/>
    </row>
    <row r="176" spans="1:76" outlineLevel="1">
      <c r="A176" s="103"/>
      <c r="B176" s="139" t="s">
        <v>537</v>
      </c>
      <c r="C176" s="141">
        <v>3</v>
      </c>
      <c r="D176" s="105" t="s">
        <v>494</v>
      </c>
      <c r="E176" s="145" t="s">
        <v>565</v>
      </c>
      <c r="F176" s="110">
        <v>3</v>
      </c>
      <c r="G176" s="120" t="s">
        <v>503</v>
      </c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/>
      <c r="BK176" s="103"/>
      <c r="BL176" s="103"/>
      <c r="BM176" s="103"/>
      <c r="BN176" s="103"/>
      <c r="BO176" s="103"/>
      <c r="BP176" s="103"/>
      <c r="BQ176" s="103"/>
      <c r="BR176" s="103"/>
      <c r="BS176" s="103"/>
      <c r="BT176" s="103"/>
      <c r="BU176" s="103"/>
      <c r="BV176" s="103"/>
      <c r="BW176" s="103"/>
      <c r="BX176" s="103"/>
    </row>
    <row r="177" spans="1:76" outlineLevel="1">
      <c r="A177" s="103"/>
      <c r="B177" s="139" t="s">
        <v>538</v>
      </c>
      <c r="C177" s="141">
        <v>3</v>
      </c>
      <c r="D177" s="105" t="s">
        <v>495</v>
      </c>
      <c r="E177" s="145" t="s">
        <v>566</v>
      </c>
      <c r="F177" s="110">
        <v>3</v>
      </c>
      <c r="G177" s="120" t="s">
        <v>504</v>
      </c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</row>
    <row r="178" spans="1:76" ht="15.75" outlineLevel="1" thickBot="1">
      <c r="A178" s="103"/>
      <c r="B178" s="108"/>
      <c r="C178" s="113">
        <v>0</v>
      </c>
      <c r="D178" s="121"/>
      <c r="E178" s="145" t="s">
        <v>556</v>
      </c>
      <c r="F178" s="110">
        <v>3</v>
      </c>
      <c r="G178" s="120" t="s">
        <v>513</v>
      </c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3"/>
      <c r="BW178" s="103"/>
      <c r="BX178" s="103"/>
    </row>
    <row r="179" spans="1:76" outlineLevel="1">
      <c r="A179" s="103"/>
      <c r="E179" s="145" t="s">
        <v>557</v>
      </c>
      <c r="F179" s="110">
        <v>3</v>
      </c>
      <c r="G179" s="120" t="s">
        <v>512</v>
      </c>
      <c r="H179" s="191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/>
      <c r="BK179" s="103"/>
      <c r="BL179" s="103"/>
      <c r="BM179" s="103"/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</row>
    <row r="180" spans="1:76" ht="15.75" outlineLevel="1" thickBot="1">
      <c r="A180" s="103"/>
      <c r="E180" s="146"/>
      <c r="F180" s="142">
        <v>0</v>
      </c>
      <c r="G180" s="195"/>
      <c r="H180" s="118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3"/>
      <c r="BN180" s="103"/>
      <c r="BO180" s="103"/>
      <c r="BP180" s="103"/>
      <c r="BQ180" s="103"/>
      <c r="BR180" s="103"/>
      <c r="BS180" s="103"/>
      <c r="BT180" s="103"/>
      <c r="BU180" s="103"/>
      <c r="BV180" s="103"/>
      <c r="BW180" s="103"/>
      <c r="BX180" s="103"/>
    </row>
    <row r="181" spans="1:76">
      <c r="A181" s="103"/>
      <c r="E181" s="103"/>
      <c r="G181" s="176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103"/>
      <c r="BN181" s="103"/>
      <c r="BO181" s="103"/>
      <c r="BP181" s="103"/>
      <c r="BQ181" s="103"/>
      <c r="BR181" s="103"/>
      <c r="BS181" s="103"/>
      <c r="BT181" s="103"/>
      <c r="BU181" s="103"/>
      <c r="BV181" s="103"/>
      <c r="BW181" s="103"/>
      <c r="BX181" s="103"/>
    </row>
    <row r="182" spans="1:76" ht="15.75" outlineLevel="1" thickBot="1">
      <c r="A182" s="103"/>
      <c r="E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103"/>
      <c r="BU182" s="103"/>
      <c r="BV182" s="103"/>
      <c r="BW182" s="103"/>
      <c r="BX182" s="103"/>
    </row>
    <row r="183" spans="1:76" ht="15.75" outlineLevel="1" thickBot="1">
      <c r="A183" s="103"/>
      <c r="B183" s="268" t="s">
        <v>579</v>
      </c>
      <c r="C183" s="268" t="s">
        <v>575</v>
      </c>
      <c r="D183" s="268" t="s">
        <v>586</v>
      </c>
      <c r="E183" s="268" t="s">
        <v>576</v>
      </c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  <c r="BK183" s="103"/>
      <c r="BL183" s="103"/>
      <c r="BM183" s="103"/>
      <c r="BN183" s="103"/>
      <c r="BO183" s="103"/>
      <c r="BP183" s="103"/>
      <c r="BQ183" s="103"/>
      <c r="BR183" s="103"/>
      <c r="BS183" s="103"/>
      <c r="BT183" s="103"/>
      <c r="BU183" s="103"/>
      <c r="BV183" s="103"/>
      <c r="BW183" s="103"/>
      <c r="BX183" s="103"/>
    </row>
    <row r="184" spans="1:76" outlineLevel="1">
      <c r="A184" s="103"/>
      <c r="B184" s="273" t="s">
        <v>174</v>
      </c>
      <c r="C184" s="274" t="s">
        <v>174</v>
      </c>
      <c r="D184" s="274" t="s">
        <v>174</v>
      </c>
      <c r="E184" s="275" t="s">
        <v>174</v>
      </c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  <c r="BG184" s="103"/>
      <c r="BH184" s="103"/>
      <c r="BI184" s="103"/>
      <c r="BJ184" s="103"/>
      <c r="BK184" s="103"/>
      <c r="BL184" s="103"/>
      <c r="BM184" s="103"/>
      <c r="BN184" s="103"/>
      <c r="BO184" s="103"/>
      <c r="BP184" s="103"/>
      <c r="BQ184" s="103"/>
      <c r="BR184" s="103"/>
      <c r="BS184" s="103"/>
      <c r="BT184" s="103"/>
      <c r="BU184" s="103"/>
      <c r="BV184" s="103"/>
      <c r="BW184" s="103"/>
      <c r="BX184" s="103"/>
    </row>
    <row r="185" spans="1:76" outlineLevel="1">
      <c r="A185" s="103"/>
      <c r="B185" s="259" t="s">
        <v>620</v>
      </c>
      <c r="C185" s="260" t="s">
        <v>581</v>
      </c>
      <c r="D185" s="261" t="s">
        <v>678</v>
      </c>
      <c r="E185" s="262" t="s">
        <v>673</v>
      </c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03"/>
      <c r="BO185" s="103"/>
      <c r="BP185" s="103"/>
      <c r="BQ185" s="103"/>
      <c r="BR185" s="103"/>
      <c r="BS185" s="103"/>
      <c r="BT185" s="103"/>
      <c r="BU185" s="103"/>
      <c r="BV185" s="103"/>
      <c r="BW185" s="103"/>
      <c r="BX185" s="103"/>
    </row>
    <row r="186" spans="1:76" outlineLevel="1">
      <c r="A186" s="103"/>
      <c r="B186" s="259" t="s">
        <v>621</v>
      </c>
      <c r="C186" s="260" t="s">
        <v>581</v>
      </c>
      <c r="D186" s="261" t="s">
        <v>679</v>
      </c>
      <c r="E186" s="262" t="s">
        <v>677</v>
      </c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  <c r="BF186" s="103"/>
      <c r="BG186" s="103"/>
      <c r="BH186" s="103"/>
      <c r="BI186" s="103"/>
      <c r="BJ186" s="103"/>
      <c r="BK186" s="103"/>
      <c r="BL186" s="103"/>
      <c r="BM186" s="103"/>
      <c r="BN186" s="103"/>
      <c r="BO186" s="103"/>
      <c r="BP186" s="103"/>
      <c r="BQ186" s="103"/>
      <c r="BR186" s="103"/>
      <c r="BS186" s="103"/>
      <c r="BT186" s="103"/>
      <c r="BU186" s="103"/>
      <c r="BV186" s="103"/>
      <c r="BW186" s="103"/>
      <c r="BX186" s="103"/>
    </row>
    <row r="187" spans="1:76" outlineLevel="1">
      <c r="A187" s="103"/>
      <c r="B187" s="263" t="s">
        <v>580</v>
      </c>
      <c r="C187" s="260" t="s">
        <v>581</v>
      </c>
      <c r="D187" s="261" t="s">
        <v>679</v>
      </c>
      <c r="E187" s="105" t="s">
        <v>301</v>
      </c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  <c r="AR187" s="103"/>
      <c r="AS187" s="103"/>
      <c r="AT187" s="103"/>
      <c r="AU187" s="103"/>
      <c r="AV187" s="103"/>
      <c r="AW187" s="103"/>
      <c r="AX187" s="103"/>
      <c r="AY187" s="103"/>
      <c r="AZ187" s="103"/>
      <c r="BA187" s="103"/>
      <c r="BB187" s="103"/>
      <c r="BC187" s="103"/>
      <c r="BD187" s="103"/>
      <c r="BE187" s="103"/>
      <c r="BF187" s="103"/>
      <c r="BG187" s="103"/>
      <c r="BH187" s="103"/>
      <c r="BI187" s="103"/>
      <c r="BJ187" s="103"/>
      <c r="BK187" s="103"/>
      <c r="BL187" s="103"/>
      <c r="BM187" s="103"/>
      <c r="BN187" s="103"/>
      <c r="BO187" s="103"/>
      <c r="BP187" s="103"/>
      <c r="BQ187" s="103"/>
      <c r="BR187" s="103"/>
      <c r="BS187" s="103"/>
      <c r="BT187" s="103"/>
      <c r="BU187" s="103"/>
      <c r="BV187" s="103"/>
      <c r="BW187" s="103"/>
      <c r="BX187" s="103"/>
    </row>
    <row r="188" spans="1:76" outlineLevel="1">
      <c r="A188" s="103"/>
      <c r="B188" s="263" t="s">
        <v>582</v>
      </c>
      <c r="C188" s="260" t="s">
        <v>581</v>
      </c>
      <c r="D188" s="261" t="s">
        <v>591</v>
      </c>
      <c r="E188" s="105" t="s">
        <v>587</v>
      </c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  <c r="BG188" s="103"/>
      <c r="BH188" s="103"/>
      <c r="BI188" s="103"/>
      <c r="BJ188" s="103"/>
      <c r="BK188" s="103"/>
      <c r="BL188" s="103"/>
      <c r="BM188" s="103"/>
      <c r="BN188" s="103"/>
      <c r="BO188" s="103"/>
      <c r="BP188" s="103"/>
      <c r="BQ188" s="103"/>
      <c r="BR188" s="103"/>
      <c r="BS188" s="103"/>
      <c r="BT188" s="103"/>
      <c r="BU188" s="103"/>
      <c r="BV188" s="103"/>
      <c r="BW188" s="103"/>
      <c r="BX188" s="103"/>
    </row>
    <row r="189" spans="1:76" outlineLevel="1">
      <c r="A189" s="103"/>
      <c r="B189" s="259" t="s">
        <v>622</v>
      </c>
      <c r="C189" s="260" t="s">
        <v>581</v>
      </c>
      <c r="D189" s="261" t="s">
        <v>678</v>
      </c>
      <c r="E189" s="262" t="s">
        <v>674</v>
      </c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  <c r="BF189" s="103"/>
      <c r="BG189" s="103"/>
      <c r="BH189" s="103"/>
      <c r="BI189" s="103"/>
      <c r="BJ189" s="103"/>
      <c r="BK189" s="103"/>
      <c r="BL189" s="103"/>
      <c r="BM189" s="103"/>
      <c r="BN189" s="103"/>
      <c r="BO189" s="103"/>
      <c r="BP189" s="103"/>
      <c r="BQ189" s="103"/>
      <c r="BR189" s="103"/>
      <c r="BS189" s="103"/>
      <c r="BT189" s="103"/>
      <c r="BU189" s="103"/>
      <c r="BV189" s="103"/>
      <c r="BW189" s="103"/>
      <c r="BX189" s="103"/>
    </row>
    <row r="190" spans="1:76" outlineLevel="1">
      <c r="A190" s="103"/>
      <c r="B190" s="263" t="s">
        <v>583</v>
      </c>
      <c r="C190" s="260" t="s">
        <v>581</v>
      </c>
      <c r="D190" s="261" t="s">
        <v>679</v>
      </c>
      <c r="E190" s="105" t="s">
        <v>675</v>
      </c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  <c r="BF190" s="103"/>
      <c r="BG190" s="103"/>
      <c r="BH190" s="103"/>
      <c r="BI190" s="103"/>
      <c r="BJ190" s="103"/>
      <c r="BK190" s="103"/>
      <c r="BL190" s="103"/>
      <c r="BM190" s="103"/>
      <c r="BN190" s="103"/>
      <c r="BO190" s="103"/>
      <c r="BP190" s="103"/>
      <c r="BQ190" s="103"/>
      <c r="BR190" s="103"/>
      <c r="BS190" s="103"/>
      <c r="BT190" s="103"/>
      <c r="BU190" s="103"/>
      <c r="BV190" s="103"/>
      <c r="BW190" s="103"/>
      <c r="BX190" s="103"/>
    </row>
    <row r="191" spans="1:76" outlineLevel="1">
      <c r="A191" s="103"/>
      <c r="B191" s="263" t="s">
        <v>584</v>
      </c>
      <c r="C191" s="260" t="s">
        <v>581</v>
      </c>
      <c r="D191" s="261" t="s">
        <v>679</v>
      </c>
      <c r="E191" s="105" t="s">
        <v>294</v>
      </c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  <c r="BF191" s="103"/>
      <c r="BG191" s="103"/>
      <c r="BH191" s="103"/>
      <c r="BI191" s="103"/>
      <c r="BJ191" s="103"/>
      <c r="BK191" s="103"/>
      <c r="BL191" s="103"/>
      <c r="BM191" s="103"/>
      <c r="BN191" s="103"/>
      <c r="BO191" s="103"/>
      <c r="BP191" s="103"/>
      <c r="BQ191" s="103"/>
      <c r="BR191" s="103"/>
      <c r="BS191" s="103"/>
      <c r="BT191" s="103"/>
      <c r="BU191" s="103"/>
      <c r="BV191" s="103"/>
      <c r="BW191" s="103"/>
      <c r="BX191" s="103"/>
    </row>
    <row r="192" spans="1:76" outlineLevel="1">
      <c r="A192" s="103"/>
      <c r="B192" s="263" t="s">
        <v>585</v>
      </c>
      <c r="C192" s="260" t="s">
        <v>581</v>
      </c>
      <c r="D192" s="261" t="s">
        <v>679</v>
      </c>
      <c r="E192" s="105" t="s">
        <v>303</v>
      </c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3"/>
      <c r="BV192" s="103"/>
      <c r="BW192" s="103"/>
      <c r="BX192" s="103"/>
    </row>
    <row r="193" spans="1:76" outlineLevel="1">
      <c r="A193" s="103"/>
      <c r="B193" s="259" t="s">
        <v>623</v>
      </c>
      <c r="C193" s="260" t="s">
        <v>590</v>
      </c>
      <c r="D193" s="261" t="s">
        <v>678</v>
      </c>
      <c r="E193" s="105" t="s">
        <v>676</v>
      </c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03"/>
      <c r="BF193" s="103"/>
      <c r="BG193" s="103"/>
      <c r="BH193" s="103"/>
      <c r="BI193" s="103"/>
      <c r="BJ193" s="103"/>
      <c r="BK193" s="103"/>
      <c r="BL193" s="103"/>
      <c r="BM193" s="103"/>
      <c r="BN193" s="103"/>
      <c r="BO193" s="103"/>
      <c r="BP193" s="103"/>
      <c r="BQ193" s="103"/>
      <c r="BR193" s="103"/>
      <c r="BS193" s="103"/>
      <c r="BT193" s="103"/>
      <c r="BU193" s="103"/>
      <c r="BV193" s="103"/>
      <c r="BW193" s="103"/>
      <c r="BX193" s="103"/>
    </row>
    <row r="194" spans="1:76" outlineLevel="1">
      <c r="A194" s="103"/>
      <c r="B194" s="263" t="s">
        <v>588</v>
      </c>
      <c r="C194" s="260" t="s">
        <v>581</v>
      </c>
      <c r="D194" s="261" t="s">
        <v>679</v>
      </c>
      <c r="E194" s="105" t="s">
        <v>302</v>
      </c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  <c r="BG194" s="103"/>
      <c r="BH194" s="103"/>
      <c r="BI194" s="103"/>
      <c r="BJ194" s="103"/>
      <c r="BK194" s="103"/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3"/>
      <c r="BW194" s="103"/>
      <c r="BX194" s="103"/>
    </row>
    <row r="195" spans="1:76" outlineLevel="1">
      <c r="A195" s="103"/>
      <c r="B195" s="259" t="s">
        <v>624</v>
      </c>
      <c r="C195" s="260" t="s">
        <v>590</v>
      </c>
      <c r="D195" s="261" t="s">
        <v>680</v>
      </c>
      <c r="E195" s="262" t="s">
        <v>685</v>
      </c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  <c r="BG195" s="103"/>
      <c r="BH195" s="103"/>
      <c r="BI195" s="103"/>
      <c r="BJ195" s="103"/>
      <c r="BK195" s="103"/>
      <c r="BL195" s="103"/>
      <c r="BM195" s="103"/>
      <c r="BN195" s="103"/>
      <c r="BO195" s="103"/>
      <c r="BP195" s="103"/>
      <c r="BQ195" s="103"/>
      <c r="BR195" s="103"/>
      <c r="BS195" s="103"/>
      <c r="BT195" s="103"/>
      <c r="BU195" s="103"/>
      <c r="BV195" s="103"/>
      <c r="BW195" s="103"/>
      <c r="BX195" s="103"/>
    </row>
    <row r="196" spans="1:76" outlineLevel="1">
      <c r="A196" s="103"/>
      <c r="B196" s="259" t="s">
        <v>625</v>
      </c>
      <c r="C196" s="260" t="s">
        <v>590</v>
      </c>
      <c r="D196" s="261" t="s">
        <v>680</v>
      </c>
      <c r="E196" s="262" t="s">
        <v>684</v>
      </c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  <c r="BG196" s="103"/>
      <c r="BH196" s="103"/>
      <c r="BI196" s="103"/>
      <c r="BJ196" s="103"/>
      <c r="BK196" s="103"/>
      <c r="BL196" s="103"/>
      <c r="BM196" s="103"/>
      <c r="BN196" s="103"/>
      <c r="BO196" s="103"/>
      <c r="BP196" s="103"/>
      <c r="BQ196" s="103"/>
      <c r="BR196" s="103"/>
      <c r="BS196" s="103"/>
      <c r="BT196" s="103"/>
      <c r="BU196" s="103"/>
      <c r="BV196" s="103"/>
      <c r="BW196" s="103"/>
      <c r="BX196" s="103"/>
    </row>
    <row r="197" spans="1:76" outlineLevel="1">
      <c r="A197" s="103"/>
      <c r="B197" s="263" t="s">
        <v>589</v>
      </c>
      <c r="C197" s="260" t="s">
        <v>590</v>
      </c>
      <c r="D197" s="261" t="s">
        <v>681</v>
      </c>
      <c r="E197" s="105" t="s">
        <v>686</v>
      </c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  <c r="BG197" s="103"/>
      <c r="BH197" s="103"/>
      <c r="BI197" s="103"/>
      <c r="BJ197" s="103"/>
      <c r="BK197" s="103"/>
      <c r="BL197" s="103"/>
      <c r="BM197" s="103"/>
      <c r="BN197" s="103"/>
      <c r="BO197" s="103"/>
      <c r="BP197" s="103"/>
      <c r="BQ197" s="103"/>
      <c r="BR197" s="103"/>
      <c r="BS197" s="103"/>
      <c r="BT197" s="103"/>
      <c r="BU197" s="103"/>
      <c r="BV197" s="103"/>
      <c r="BW197" s="103"/>
      <c r="BX197" s="103"/>
    </row>
    <row r="198" spans="1:76" outlineLevel="1">
      <c r="A198" s="103"/>
      <c r="B198" s="263" t="s">
        <v>592</v>
      </c>
      <c r="C198" s="260" t="s">
        <v>590</v>
      </c>
      <c r="D198" s="261">
        <v>5</v>
      </c>
      <c r="E198" s="105" t="s">
        <v>687</v>
      </c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  <c r="BH198" s="103"/>
      <c r="BI198" s="103"/>
      <c r="BJ198" s="103"/>
      <c r="BK198" s="103"/>
      <c r="BL198" s="103"/>
      <c r="BM198" s="103"/>
      <c r="BN198" s="103"/>
      <c r="BO198" s="103"/>
      <c r="BP198" s="103"/>
      <c r="BQ198" s="103"/>
      <c r="BR198" s="103"/>
      <c r="BS198" s="103"/>
      <c r="BT198" s="103"/>
      <c r="BU198" s="103"/>
      <c r="BV198" s="103"/>
      <c r="BW198" s="103"/>
      <c r="BX198" s="103"/>
    </row>
    <row r="199" spans="1:76" outlineLevel="1">
      <c r="A199" s="103"/>
      <c r="B199" s="263" t="s">
        <v>593</v>
      </c>
      <c r="C199" s="260" t="s">
        <v>581</v>
      </c>
      <c r="D199" s="261" t="s">
        <v>682</v>
      </c>
      <c r="E199" s="105" t="s">
        <v>594</v>
      </c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3"/>
      <c r="BG199" s="103"/>
      <c r="BH199" s="103"/>
      <c r="BI199" s="103"/>
      <c r="BJ199" s="103"/>
      <c r="BK199" s="103"/>
      <c r="BL199" s="103"/>
      <c r="BM199" s="103"/>
      <c r="BN199" s="103"/>
      <c r="BO199" s="103"/>
      <c r="BP199" s="103"/>
      <c r="BQ199" s="103"/>
      <c r="BR199" s="103"/>
      <c r="BS199" s="103"/>
      <c r="BT199" s="103"/>
      <c r="BU199" s="103"/>
      <c r="BV199" s="103"/>
      <c r="BW199" s="103"/>
      <c r="BX199" s="103"/>
    </row>
    <row r="200" spans="1:76" outlineLevel="1">
      <c r="B200" s="259" t="s">
        <v>637</v>
      </c>
      <c r="C200" s="260" t="s">
        <v>581</v>
      </c>
      <c r="D200" s="261" t="s">
        <v>681</v>
      </c>
      <c r="E200" s="105" t="s">
        <v>688</v>
      </c>
    </row>
    <row r="201" spans="1:76" outlineLevel="1">
      <c r="B201" s="263" t="s">
        <v>596</v>
      </c>
      <c r="C201" s="260" t="s">
        <v>590</v>
      </c>
      <c r="D201" s="261" t="s">
        <v>679</v>
      </c>
      <c r="E201" s="105" t="s">
        <v>597</v>
      </c>
    </row>
    <row r="202" spans="1:76" outlineLevel="1">
      <c r="B202" s="263" t="s">
        <v>595</v>
      </c>
      <c r="C202" s="260" t="s">
        <v>581</v>
      </c>
      <c r="D202" s="261" t="s">
        <v>679</v>
      </c>
      <c r="E202" s="105" t="s">
        <v>689</v>
      </c>
    </row>
    <row r="203" spans="1:76" outlineLevel="1">
      <c r="B203" s="263" t="s">
        <v>598</v>
      </c>
      <c r="C203" s="260" t="s">
        <v>581</v>
      </c>
      <c r="D203" s="261" t="s">
        <v>679</v>
      </c>
      <c r="E203" s="105" t="s">
        <v>690</v>
      </c>
    </row>
    <row r="204" spans="1:76" outlineLevel="1">
      <c r="B204" s="263" t="s">
        <v>599</v>
      </c>
      <c r="C204" s="260" t="s">
        <v>590</v>
      </c>
      <c r="D204" s="261" t="s">
        <v>679</v>
      </c>
      <c r="E204" s="105" t="s">
        <v>691</v>
      </c>
    </row>
    <row r="205" spans="1:76" outlineLevel="1">
      <c r="B205" s="263" t="s">
        <v>600</v>
      </c>
      <c r="C205" s="260" t="s">
        <v>581</v>
      </c>
      <c r="D205" s="261" t="s">
        <v>679</v>
      </c>
      <c r="E205" s="105" t="s">
        <v>300</v>
      </c>
    </row>
    <row r="206" spans="1:76" outlineLevel="1">
      <c r="B206" s="259" t="s">
        <v>638</v>
      </c>
      <c r="C206" s="260" t="s">
        <v>581</v>
      </c>
      <c r="D206" s="261" t="s">
        <v>681</v>
      </c>
      <c r="E206" s="105" t="s">
        <v>692</v>
      </c>
    </row>
    <row r="207" spans="1:76" outlineLevel="1">
      <c r="B207" s="263" t="s">
        <v>601</v>
      </c>
      <c r="C207" s="260" t="s">
        <v>581</v>
      </c>
      <c r="D207" s="261" t="s">
        <v>679</v>
      </c>
      <c r="E207" s="105" t="s">
        <v>693</v>
      </c>
    </row>
    <row r="208" spans="1:76" outlineLevel="1">
      <c r="B208" s="259" t="s">
        <v>626</v>
      </c>
      <c r="C208" s="260" t="s">
        <v>581</v>
      </c>
      <c r="D208" s="261" t="s">
        <v>679</v>
      </c>
      <c r="E208" s="105" t="s">
        <v>627</v>
      </c>
    </row>
    <row r="209" spans="2:5" outlineLevel="1">
      <c r="B209" s="259" t="s">
        <v>628</v>
      </c>
      <c r="C209" s="260" t="s">
        <v>581</v>
      </c>
      <c r="D209" s="261" t="s">
        <v>679</v>
      </c>
      <c r="E209" s="105" t="s">
        <v>629</v>
      </c>
    </row>
    <row r="210" spans="2:5" outlineLevel="1">
      <c r="B210" s="259" t="s">
        <v>639</v>
      </c>
      <c r="C210" s="260" t="s">
        <v>581</v>
      </c>
      <c r="D210" s="261" t="s">
        <v>681</v>
      </c>
      <c r="E210" s="105" t="s">
        <v>694</v>
      </c>
    </row>
    <row r="211" spans="2:5" outlineLevel="1">
      <c r="B211" s="263" t="s">
        <v>643</v>
      </c>
      <c r="C211" s="260" t="s">
        <v>174</v>
      </c>
      <c r="D211" s="260" t="s">
        <v>174</v>
      </c>
      <c r="E211" s="276" t="s">
        <v>695</v>
      </c>
    </row>
    <row r="212" spans="2:5" outlineLevel="1">
      <c r="B212" s="259" t="s">
        <v>640</v>
      </c>
      <c r="C212" s="260" t="s">
        <v>581</v>
      </c>
      <c r="D212" s="261" t="s">
        <v>681</v>
      </c>
      <c r="E212" s="105" t="s">
        <v>696</v>
      </c>
    </row>
    <row r="213" spans="2:5" outlineLevel="1">
      <c r="B213" s="263" t="s">
        <v>602</v>
      </c>
      <c r="C213" s="260" t="s">
        <v>590</v>
      </c>
      <c r="D213" s="261" t="s">
        <v>678</v>
      </c>
      <c r="E213" s="105" t="s">
        <v>697</v>
      </c>
    </row>
    <row r="214" spans="2:5" outlineLevel="1">
      <c r="B214" s="263" t="s">
        <v>603</v>
      </c>
      <c r="C214" s="260" t="s">
        <v>590</v>
      </c>
      <c r="D214" s="261" t="s">
        <v>591</v>
      </c>
      <c r="E214" s="105" t="s">
        <v>698</v>
      </c>
    </row>
    <row r="215" spans="2:5" outlineLevel="1">
      <c r="B215" s="259" t="s">
        <v>630</v>
      </c>
      <c r="C215" s="260" t="s">
        <v>590</v>
      </c>
      <c r="D215" s="261">
        <v>5</v>
      </c>
      <c r="E215" s="262" t="s">
        <v>699</v>
      </c>
    </row>
    <row r="216" spans="2:5" outlineLevel="1">
      <c r="B216" s="263" t="s">
        <v>604</v>
      </c>
      <c r="C216" s="260" t="s">
        <v>581</v>
      </c>
      <c r="D216" s="261" t="s">
        <v>679</v>
      </c>
      <c r="E216" s="105" t="s">
        <v>605</v>
      </c>
    </row>
    <row r="217" spans="2:5" outlineLevel="1">
      <c r="B217" s="259" t="s">
        <v>631</v>
      </c>
      <c r="C217" s="260" t="s">
        <v>581</v>
      </c>
      <c r="D217" s="261" t="s">
        <v>679</v>
      </c>
      <c r="E217" s="105" t="s">
        <v>632</v>
      </c>
    </row>
    <row r="218" spans="2:5" outlineLevel="1">
      <c r="B218" s="259" t="s">
        <v>633</v>
      </c>
      <c r="C218" s="260" t="s">
        <v>581</v>
      </c>
      <c r="D218" s="261" t="s">
        <v>679</v>
      </c>
      <c r="E218" s="262" t="s">
        <v>700</v>
      </c>
    </row>
    <row r="219" spans="2:5" outlineLevel="1">
      <c r="B219" s="259" t="s">
        <v>635</v>
      </c>
      <c r="C219" s="260" t="s">
        <v>581</v>
      </c>
      <c r="D219" s="261">
        <v>2</v>
      </c>
      <c r="E219" s="105" t="s">
        <v>636</v>
      </c>
    </row>
    <row r="220" spans="2:5" outlineLevel="1">
      <c r="B220" s="259" t="s">
        <v>634</v>
      </c>
      <c r="C220" s="260" t="s">
        <v>581</v>
      </c>
      <c r="D220" s="261">
        <v>1</v>
      </c>
      <c r="E220" s="105" t="s">
        <v>701</v>
      </c>
    </row>
    <row r="221" spans="2:5" outlineLevel="1">
      <c r="B221" s="263" t="s">
        <v>606</v>
      </c>
      <c r="C221" s="260" t="s">
        <v>581</v>
      </c>
      <c r="D221" s="261" t="s">
        <v>679</v>
      </c>
      <c r="E221" s="105" t="s">
        <v>304</v>
      </c>
    </row>
    <row r="222" spans="2:5" outlineLevel="1">
      <c r="B222" s="263" t="s">
        <v>607</v>
      </c>
      <c r="C222" s="260" t="s">
        <v>590</v>
      </c>
      <c r="D222" s="261" t="s">
        <v>682</v>
      </c>
      <c r="E222" s="105" t="s">
        <v>702</v>
      </c>
    </row>
    <row r="223" spans="2:5" outlineLevel="1">
      <c r="B223" s="263" t="s">
        <v>608</v>
      </c>
      <c r="C223" s="260" t="s">
        <v>581</v>
      </c>
      <c r="D223" s="261" t="s">
        <v>679</v>
      </c>
      <c r="E223" s="105" t="s">
        <v>609</v>
      </c>
    </row>
    <row r="224" spans="2:5" outlineLevel="1">
      <c r="B224" s="263" t="s">
        <v>610</v>
      </c>
      <c r="C224" s="260" t="s">
        <v>581</v>
      </c>
      <c r="D224" s="261">
        <v>3</v>
      </c>
      <c r="E224" s="105" t="s">
        <v>611</v>
      </c>
    </row>
    <row r="225" spans="2:5" outlineLevel="1">
      <c r="B225" s="263" t="s">
        <v>612</v>
      </c>
      <c r="C225" s="260" t="s">
        <v>590</v>
      </c>
      <c r="D225" s="261" t="s">
        <v>683</v>
      </c>
      <c r="E225" s="105" t="s">
        <v>703</v>
      </c>
    </row>
    <row r="226" spans="2:5" outlineLevel="1">
      <c r="B226" s="259" t="s">
        <v>641</v>
      </c>
      <c r="C226" s="260" t="s">
        <v>581</v>
      </c>
      <c r="D226" s="261" t="s">
        <v>681</v>
      </c>
      <c r="E226" s="105" t="s">
        <v>704</v>
      </c>
    </row>
    <row r="227" spans="2:5" outlineLevel="1">
      <c r="B227" s="263" t="s">
        <v>613</v>
      </c>
      <c r="C227" s="260" t="s">
        <v>590</v>
      </c>
      <c r="D227" s="261">
        <v>5</v>
      </c>
      <c r="E227" s="105" t="s">
        <v>705</v>
      </c>
    </row>
    <row r="228" spans="2:5" outlineLevel="1">
      <c r="B228" s="259" t="s">
        <v>642</v>
      </c>
      <c r="C228" s="260" t="s">
        <v>581</v>
      </c>
      <c r="D228" s="261" t="s">
        <v>681</v>
      </c>
      <c r="E228" s="105" t="s">
        <v>706</v>
      </c>
    </row>
    <row r="229" spans="2:5" outlineLevel="1">
      <c r="B229" s="263" t="s">
        <v>614</v>
      </c>
      <c r="C229" s="260" t="s">
        <v>581</v>
      </c>
      <c r="D229" s="261" t="s">
        <v>681</v>
      </c>
      <c r="E229" s="105" t="s">
        <v>707</v>
      </c>
    </row>
    <row r="230" spans="2:5" outlineLevel="1">
      <c r="B230" s="263" t="s">
        <v>615</v>
      </c>
      <c r="C230" s="260" t="s">
        <v>581</v>
      </c>
      <c r="D230" s="261">
        <v>3</v>
      </c>
      <c r="E230" s="105" t="s">
        <v>616</v>
      </c>
    </row>
    <row r="231" spans="2:5" outlineLevel="1">
      <c r="B231" s="263" t="s">
        <v>617</v>
      </c>
      <c r="C231" s="260" t="s">
        <v>581</v>
      </c>
      <c r="D231" s="261" t="s">
        <v>679</v>
      </c>
      <c r="E231" s="105" t="s">
        <v>708</v>
      </c>
    </row>
    <row r="232" spans="2:5" outlineLevel="1">
      <c r="B232" s="263" t="s">
        <v>618</v>
      </c>
      <c r="C232" s="260" t="s">
        <v>581</v>
      </c>
      <c r="D232" s="261" t="s">
        <v>678</v>
      </c>
      <c r="E232" s="105" t="s">
        <v>709</v>
      </c>
    </row>
    <row r="233" spans="2:5" ht="15.75" outlineLevel="1" thickBot="1">
      <c r="B233" s="264" t="s">
        <v>619</v>
      </c>
      <c r="C233" s="265" t="s">
        <v>590</v>
      </c>
      <c r="D233" s="266" t="s">
        <v>680</v>
      </c>
      <c r="E233" s="267" t="s">
        <v>710</v>
      </c>
    </row>
    <row r="234" spans="2:5" outlineLevel="1"/>
  </sheetData>
  <sortState ref="G40:H51">
    <sortCondition ref="G40:G51"/>
    <sortCondition ref="H40:H51"/>
  </sortState>
  <dataValidations disablePrompts="1" count="15">
    <dataValidation type="list" allowBlank="1" showInputMessage="1" showErrorMessage="1" sqref="I144">
      <formula1>Tables!$B$145:$B$148</formula1>
    </dataValidation>
    <dataValidation type="list" allowBlank="1" showInputMessage="1" showErrorMessage="1" sqref="I143">
      <formula1>Tables!$B$167:$B$169</formula1>
    </dataValidation>
    <dataValidation type="list" allowBlank="1" showInputMessage="1" showErrorMessage="1" sqref="I145">
      <formula1>$B$166:$B$168</formula1>
    </dataValidation>
    <dataValidation type="list" allowBlank="1" showInputMessage="1" showErrorMessage="1" sqref="I146">
      <formula1>$B$171:$B$173</formula1>
    </dataValidation>
    <dataValidation type="list" allowBlank="1" showInputMessage="1" showErrorMessage="1" sqref="I147">
      <formula1>$B$159:$B$159</formula1>
    </dataValidation>
    <dataValidation type="list" allowBlank="1" showInputMessage="1" showErrorMessage="1" sqref="I148">
      <formula1>$B$159:$B$178</formula1>
    </dataValidation>
    <dataValidation type="list" allowBlank="1" showInputMessage="1" showErrorMessage="1" sqref="I149">
      <formula1>#REF!</formula1>
    </dataValidation>
    <dataValidation type="list" allowBlank="1" showInputMessage="1" showErrorMessage="1" sqref="J169">
      <formula1>Tables!$F$152:$F$154</formula1>
    </dataValidation>
    <dataValidation type="list" allowBlank="1" showInputMessage="1" showErrorMessage="1" sqref="J170">
      <formula1>Tables!$F$132:$F$134</formula1>
    </dataValidation>
    <dataValidation type="list" allowBlank="1" showInputMessage="1" showErrorMessage="1" sqref="J171">
      <formula1>$E$166:$E$167</formula1>
    </dataValidation>
    <dataValidation type="list" allowBlank="1" showInputMessage="1" showErrorMessage="1" sqref="J172">
      <formula1>$E$169:$E$172</formula1>
    </dataValidation>
    <dataValidation type="list" allowBlank="1" showInputMessage="1" showErrorMessage="1" sqref="J173">
      <formula1>#REF!</formula1>
    </dataValidation>
    <dataValidation type="list" allowBlank="1" showInputMessage="1" showErrorMessage="1" sqref="J174">
      <formula1>$E$175:$E$177</formula1>
    </dataValidation>
    <dataValidation type="list" allowBlank="1" showInputMessage="1" showErrorMessage="1" sqref="J175">
      <formula1>$F$154:$F$158</formula1>
    </dataValidation>
    <dataValidation type="list" allowBlank="1" showInputMessage="1" showErrorMessage="1" sqref="K170">
      <formula1>OFFSET(colav,MATCH(K170,color,0)-1,0,COUNTIF(color,K170))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BT71"/>
  <sheetViews>
    <sheetView topLeftCell="A22" workbookViewId="0">
      <selection activeCell="J54" sqref="J54"/>
    </sheetView>
  </sheetViews>
  <sheetFormatPr baseColWidth="10" defaultRowHeight="15"/>
  <cols>
    <col min="10" max="10" width="18.28515625" customWidth="1"/>
  </cols>
  <sheetData>
    <row r="1" spans="1:46" ht="15.75" thickBot="1">
      <c r="A1" s="487" t="str">
        <f>VLOOKUP(Etape1!C4,Tables!$B$4:$F$51,5)</f>
        <v>barrens</v>
      </c>
    </row>
    <row r="2" spans="1:46">
      <c r="A2" s="488" t="str">
        <f>Etape1!G3</f>
        <v>Homme</v>
      </c>
    </row>
    <row r="3" spans="1:46" ht="15.75" thickBot="1"/>
    <row r="4" spans="1:46">
      <c r="A4" s="404" t="s">
        <v>522</v>
      </c>
      <c r="B4" s="413" t="s">
        <v>736</v>
      </c>
      <c r="C4" s="413" t="s">
        <v>761</v>
      </c>
      <c r="D4" s="413" t="s">
        <v>774</v>
      </c>
      <c r="E4" s="413" t="s">
        <v>775</v>
      </c>
      <c r="F4" s="413" t="s">
        <v>776</v>
      </c>
      <c r="G4" s="413" t="s">
        <v>777</v>
      </c>
      <c r="H4" s="413" t="s">
        <v>778</v>
      </c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6"/>
    </row>
    <row r="5" spans="1:46">
      <c r="A5" s="407" t="s">
        <v>523</v>
      </c>
      <c r="B5" s="411" t="s">
        <v>855</v>
      </c>
      <c r="C5" s="411" t="s">
        <v>854</v>
      </c>
      <c r="D5" s="411" t="s">
        <v>853</v>
      </c>
      <c r="E5" s="411" t="s">
        <v>852</v>
      </c>
      <c r="F5" s="411" t="s">
        <v>851</v>
      </c>
      <c r="G5" s="411" t="s">
        <v>850</v>
      </c>
      <c r="H5" s="411" t="s">
        <v>849</v>
      </c>
      <c r="I5" s="411" t="s">
        <v>848</v>
      </c>
      <c r="J5" s="411" t="s">
        <v>847</v>
      </c>
      <c r="K5" s="411" t="s">
        <v>846</v>
      </c>
      <c r="L5" s="411" t="s">
        <v>845</v>
      </c>
      <c r="M5" s="411" t="s">
        <v>844</v>
      </c>
      <c r="N5" s="411" t="s">
        <v>843</v>
      </c>
      <c r="O5" s="411" t="s">
        <v>842</v>
      </c>
      <c r="P5" s="411" t="s">
        <v>841</v>
      </c>
      <c r="Q5" s="411" t="s">
        <v>840</v>
      </c>
      <c r="R5" s="411" t="s">
        <v>839</v>
      </c>
      <c r="S5" s="411" t="s">
        <v>838</v>
      </c>
      <c r="T5" s="411" t="s">
        <v>837</v>
      </c>
      <c r="U5" s="411" t="s">
        <v>836</v>
      </c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364"/>
    </row>
    <row r="6" spans="1:46">
      <c r="A6" s="407" t="s">
        <v>524</v>
      </c>
      <c r="B6" s="411" t="s">
        <v>812</v>
      </c>
      <c r="C6" s="411" t="s">
        <v>813</v>
      </c>
      <c r="D6" s="411" t="s">
        <v>814</v>
      </c>
      <c r="E6" s="411" t="s">
        <v>815</v>
      </c>
      <c r="F6" s="411" t="s">
        <v>816</v>
      </c>
      <c r="G6" s="411" t="s">
        <v>817</v>
      </c>
      <c r="H6" s="411" t="s">
        <v>818</v>
      </c>
      <c r="I6" s="411" t="s">
        <v>819</v>
      </c>
      <c r="J6" s="411" t="s">
        <v>820</v>
      </c>
      <c r="K6" s="411" t="s">
        <v>821</v>
      </c>
      <c r="L6" s="411" t="s">
        <v>757</v>
      </c>
      <c r="M6" s="411" t="s">
        <v>822</v>
      </c>
      <c r="N6" s="411" t="s">
        <v>823</v>
      </c>
      <c r="O6" s="411" t="s">
        <v>824</v>
      </c>
      <c r="P6" s="411" t="s">
        <v>825</v>
      </c>
      <c r="Q6" s="411" t="s">
        <v>826</v>
      </c>
      <c r="R6" s="411" t="s">
        <v>827</v>
      </c>
      <c r="S6" s="411" t="s">
        <v>828</v>
      </c>
      <c r="T6" s="411" t="s">
        <v>829</v>
      </c>
      <c r="U6" s="411" t="s">
        <v>830</v>
      </c>
      <c r="V6" s="411" t="s">
        <v>831</v>
      </c>
      <c r="W6" s="411" t="s">
        <v>832</v>
      </c>
      <c r="X6" s="411" t="s">
        <v>833</v>
      </c>
      <c r="Y6" s="411" t="s">
        <v>834</v>
      </c>
      <c r="Z6" s="411" t="s">
        <v>835</v>
      </c>
      <c r="AA6" s="18"/>
      <c r="AB6" s="18"/>
      <c r="AC6" s="18"/>
      <c r="AD6" s="18"/>
      <c r="AE6" s="18"/>
      <c r="AF6" s="18"/>
      <c r="AG6" s="18"/>
      <c r="AH6" s="364"/>
    </row>
    <row r="7" spans="1:46">
      <c r="A7" s="407" t="s">
        <v>525</v>
      </c>
      <c r="B7" s="412" t="s">
        <v>797</v>
      </c>
      <c r="C7" s="412" t="s">
        <v>798</v>
      </c>
      <c r="D7" s="412" t="s">
        <v>799</v>
      </c>
      <c r="E7" s="411" t="s">
        <v>800</v>
      </c>
      <c r="F7" s="411" t="s">
        <v>801</v>
      </c>
      <c r="G7" s="411" t="s">
        <v>802</v>
      </c>
      <c r="H7" s="412" t="s">
        <v>803</v>
      </c>
      <c r="I7" s="411" t="s">
        <v>804</v>
      </c>
      <c r="J7" s="411" t="s">
        <v>805</v>
      </c>
      <c r="K7" s="412" t="s">
        <v>806</v>
      </c>
      <c r="L7" s="411" t="s">
        <v>807</v>
      </c>
      <c r="M7" s="411" t="s">
        <v>808</v>
      </c>
      <c r="N7" s="412" t="s">
        <v>809</v>
      </c>
      <c r="O7" s="411" t="s">
        <v>810</v>
      </c>
      <c r="P7" s="411" t="s">
        <v>811</v>
      </c>
      <c r="Q7" s="412" t="s">
        <v>744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364"/>
    </row>
    <row r="8" spans="1:46">
      <c r="A8" s="407" t="s">
        <v>526</v>
      </c>
      <c r="B8" s="411" t="s">
        <v>745</v>
      </c>
      <c r="C8" s="411" t="s">
        <v>746</v>
      </c>
      <c r="D8" s="411" t="s">
        <v>747</v>
      </c>
      <c r="E8" s="412" t="s">
        <v>748</v>
      </c>
      <c r="F8" s="411" t="s">
        <v>749</v>
      </c>
      <c r="G8" s="411" t="s">
        <v>750</v>
      </c>
      <c r="H8" s="412" t="s">
        <v>751</v>
      </c>
      <c r="I8" s="411" t="s">
        <v>752</v>
      </c>
      <c r="J8" s="411" t="s">
        <v>753</v>
      </c>
      <c r="K8" s="412" t="s">
        <v>754</v>
      </c>
      <c r="L8" s="411" t="s">
        <v>755</v>
      </c>
      <c r="M8" s="411" t="s">
        <v>756</v>
      </c>
      <c r="N8" s="412" t="s">
        <v>757</v>
      </c>
      <c r="O8" s="411" t="s">
        <v>758</v>
      </c>
      <c r="P8" s="411" t="s">
        <v>759</v>
      </c>
      <c r="Q8" s="411" t="s">
        <v>760</v>
      </c>
      <c r="R8" s="411" t="s">
        <v>761</v>
      </c>
      <c r="S8" s="411" t="s">
        <v>762</v>
      </c>
      <c r="T8" s="411" t="s">
        <v>763</v>
      </c>
      <c r="U8" s="411" t="s">
        <v>764</v>
      </c>
      <c r="V8" s="411" t="s">
        <v>765</v>
      </c>
      <c r="W8" s="411" t="s">
        <v>766</v>
      </c>
      <c r="X8" s="411" t="s">
        <v>767</v>
      </c>
      <c r="Y8" s="411" t="s">
        <v>768</v>
      </c>
      <c r="Z8" s="411" t="s">
        <v>769</v>
      </c>
      <c r="AA8" s="411" t="s">
        <v>770</v>
      </c>
      <c r="AB8" s="411" t="s">
        <v>771</v>
      </c>
      <c r="AC8" s="411" t="s">
        <v>772</v>
      </c>
      <c r="AD8" s="411" t="s">
        <v>773</v>
      </c>
      <c r="AE8" s="411" t="s">
        <v>779</v>
      </c>
      <c r="AF8" s="411" t="s">
        <v>780</v>
      </c>
      <c r="AG8" s="411" t="s">
        <v>781</v>
      </c>
      <c r="AH8" s="394" t="s">
        <v>782</v>
      </c>
    </row>
    <row r="9" spans="1:46" ht="15.75" thickBot="1">
      <c r="A9" s="426" t="s">
        <v>527</v>
      </c>
      <c r="B9" s="414" t="s">
        <v>784</v>
      </c>
      <c r="C9" s="414" t="s">
        <v>785</v>
      </c>
      <c r="D9" s="414" t="s">
        <v>786</v>
      </c>
      <c r="E9" s="414" t="s">
        <v>787</v>
      </c>
      <c r="F9" s="414" t="s">
        <v>788</v>
      </c>
      <c r="G9" s="414" t="s">
        <v>789</v>
      </c>
      <c r="H9" s="414" t="s">
        <v>790</v>
      </c>
      <c r="I9" s="414" t="s">
        <v>791</v>
      </c>
      <c r="J9" s="414" t="s">
        <v>792</v>
      </c>
      <c r="K9" s="414" t="s">
        <v>793</v>
      </c>
      <c r="L9" s="414" t="s">
        <v>780</v>
      </c>
      <c r="M9" s="414" t="s">
        <v>794</v>
      </c>
      <c r="N9" s="414" t="s">
        <v>795</v>
      </c>
      <c r="O9" s="411" t="s">
        <v>758</v>
      </c>
      <c r="P9" s="414" t="s">
        <v>796</v>
      </c>
      <c r="Q9" s="409"/>
      <c r="R9" s="409"/>
      <c r="S9" s="409"/>
      <c r="T9" s="409"/>
      <c r="U9" s="409"/>
      <c r="V9" s="409"/>
      <c r="W9" s="409"/>
      <c r="X9" s="409"/>
      <c r="Y9" s="409"/>
      <c r="Z9" s="409"/>
      <c r="AA9" s="409"/>
      <c r="AB9" s="409"/>
      <c r="AC9" s="409"/>
      <c r="AD9" s="409"/>
      <c r="AE9" s="409"/>
      <c r="AF9" s="409"/>
      <c r="AG9" s="409"/>
      <c r="AH9" s="410"/>
    </row>
    <row r="10" spans="1:46" ht="15.75" thickBot="1"/>
    <row r="11" spans="1:46">
      <c r="A11" s="404" t="s">
        <v>522</v>
      </c>
      <c r="B11" s="418" t="s">
        <v>731</v>
      </c>
      <c r="C11" s="418" t="s">
        <v>732</v>
      </c>
      <c r="D11" s="418" t="s">
        <v>733</v>
      </c>
      <c r="E11" s="418" t="s">
        <v>734</v>
      </c>
      <c r="F11" s="418" t="s">
        <v>735</v>
      </c>
      <c r="G11" s="418" t="s">
        <v>737</v>
      </c>
      <c r="H11" s="418" t="s">
        <v>738</v>
      </c>
      <c r="I11" s="418" t="s">
        <v>739</v>
      </c>
      <c r="J11" s="418" t="s">
        <v>740</v>
      </c>
      <c r="K11" s="418" t="s">
        <v>741</v>
      </c>
      <c r="L11" s="418" t="s">
        <v>742</v>
      </c>
      <c r="M11" s="418" t="s">
        <v>743</v>
      </c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5"/>
      <c r="AK11" s="405"/>
      <c r="AL11" s="405"/>
      <c r="AM11" s="405"/>
      <c r="AN11" s="405"/>
      <c r="AO11" s="405"/>
      <c r="AP11" s="405"/>
      <c r="AQ11" s="405"/>
      <c r="AR11" s="405"/>
      <c r="AS11" s="405"/>
      <c r="AT11" s="406"/>
    </row>
    <row r="12" spans="1:46">
      <c r="A12" s="407" t="s">
        <v>523</v>
      </c>
      <c r="B12" s="416" t="s">
        <v>988</v>
      </c>
      <c r="C12" s="416" t="s">
        <v>989</v>
      </c>
      <c r="D12" s="416" t="s">
        <v>990</v>
      </c>
      <c r="E12" s="416" t="s">
        <v>991</v>
      </c>
      <c r="F12" s="416" t="s">
        <v>992</v>
      </c>
      <c r="G12" s="416" t="s">
        <v>993</v>
      </c>
      <c r="H12" s="416" t="s">
        <v>994</v>
      </c>
      <c r="I12" s="416" t="s">
        <v>995</v>
      </c>
      <c r="J12" s="416" t="s">
        <v>996</v>
      </c>
      <c r="K12" s="416" t="s">
        <v>997</v>
      </c>
      <c r="L12" s="416" t="s">
        <v>998</v>
      </c>
      <c r="M12" s="416" t="s">
        <v>999</v>
      </c>
      <c r="N12" s="416" t="s">
        <v>1000</v>
      </c>
      <c r="O12" s="416" t="s">
        <v>1001</v>
      </c>
      <c r="P12" s="416" t="s">
        <v>1002</v>
      </c>
      <c r="Q12" s="416" t="s">
        <v>1003</v>
      </c>
      <c r="R12" s="416" t="s">
        <v>1004</v>
      </c>
      <c r="S12" s="416" t="s">
        <v>1005</v>
      </c>
      <c r="T12" s="416" t="s">
        <v>1006</v>
      </c>
      <c r="U12" s="416" t="s">
        <v>1007</v>
      </c>
      <c r="V12" s="416" t="s">
        <v>1008</v>
      </c>
      <c r="W12" s="416" t="s">
        <v>1009</v>
      </c>
      <c r="X12" s="416" t="s">
        <v>1010</v>
      </c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364"/>
    </row>
    <row r="13" spans="1:46">
      <c r="A13" s="407" t="s">
        <v>524</v>
      </c>
      <c r="B13" s="416" t="s">
        <v>944</v>
      </c>
      <c r="C13" s="416" t="s">
        <v>945</v>
      </c>
      <c r="D13" s="416" t="s">
        <v>946</v>
      </c>
      <c r="E13" s="416" t="s">
        <v>947</v>
      </c>
      <c r="F13" s="416" t="s">
        <v>948</v>
      </c>
      <c r="G13" s="416" t="s">
        <v>949</v>
      </c>
      <c r="H13" s="416" t="s">
        <v>950</v>
      </c>
      <c r="I13" s="416" t="s">
        <v>951</v>
      </c>
      <c r="J13" s="416" t="s">
        <v>952</v>
      </c>
      <c r="K13" s="416" t="s">
        <v>953</v>
      </c>
      <c r="L13" s="416" t="s">
        <v>954</v>
      </c>
      <c r="M13" s="416" t="s">
        <v>955</v>
      </c>
      <c r="N13" s="416" t="s">
        <v>956</v>
      </c>
      <c r="O13" s="416" t="s">
        <v>957</v>
      </c>
      <c r="P13" s="416" t="s">
        <v>958</v>
      </c>
      <c r="Q13" s="416" t="s">
        <v>959</v>
      </c>
      <c r="R13" s="416" t="s">
        <v>960</v>
      </c>
      <c r="S13" s="416" t="s">
        <v>961</v>
      </c>
      <c r="T13" s="416" t="s">
        <v>962</v>
      </c>
      <c r="U13" s="416" t="s">
        <v>963</v>
      </c>
      <c r="V13" s="416" t="s">
        <v>964</v>
      </c>
      <c r="W13" s="416" t="s">
        <v>965</v>
      </c>
      <c r="X13" s="416" t="s">
        <v>966</v>
      </c>
      <c r="Y13" s="416" t="s">
        <v>967</v>
      </c>
      <c r="Z13" s="416" t="s">
        <v>968</v>
      </c>
      <c r="AA13" s="416" t="s">
        <v>828</v>
      </c>
      <c r="AB13" s="416" t="s">
        <v>969</v>
      </c>
      <c r="AC13" s="416" t="s">
        <v>970</v>
      </c>
      <c r="AD13" s="416" t="s">
        <v>971</v>
      </c>
      <c r="AE13" s="416" t="s">
        <v>972</v>
      </c>
      <c r="AF13" s="416" t="s">
        <v>973</v>
      </c>
      <c r="AG13" s="416" t="s">
        <v>974</v>
      </c>
      <c r="AH13" s="416" t="s">
        <v>975</v>
      </c>
      <c r="AI13" s="416" t="s">
        <v>976</v>
      </c>
      <c r="AJ13" s="416" t="s">
        <v>977</v>
      </c>
      <c r="AK13" s="416" t="s">
        <v>978</v>
      </c>
      <c r="AL13" s="416" t="s">
        <v>979</v>
      </c>
      <c r="AM13" s="416" t="s">
        <v>980</v>
      </c>
      <c r="AN13" s="416" t="s">
        <v>981</v>
      </c>
      <c r="AO13" s="416" t="s">
        <v>982</v>
      </c>
      <c r="AP13" s="416" t="s">
        <v>983</v>
      </c>
      <c r="AQ13" s="416" t="s">
        <v>984</v>
      </c>
      <c r="AR13" s="416" t="s">
        <v>985</v>
      </c>
      <c r="AS13" s="416" t="s">
        <v>986</v>
      </c>
      <c r="AT13" s="395" t="s">
        <v>987</v>
      </c>
    </row>
    <row r="14" spans="1:46">
      <c r="A14" s="407" t="s">
        <v>525</v>
      </c>
      <c r="B14" s="416" t="s">
        <v>928</v>
      </c>
      <c r="C14" s="416" t="s">
        <v>929</v>
      </c>
      <c r="D14" s="417" t="s">
        <v>930</v>
      </c>
      <c r="E14" s="416" t="s">
        <v>931</v>
      </c>
      <c r="F14" s="416" t="s">
        <v>932</v>
      </c>
      <c r="G14" s="416" t="s">
        <v>933</v>
      </c>
      <c r="H14" s="416" t="s">
        <v>934</v>
      </c>
      <c r="I14" s="416" t="s">
        <v>935</v>
      </c>
      <c r="J14" s="416" t="s">
        <v>936</v>
      </c>
      <c r="K14" s="416" t="s">
        <v>937</v>
      </c>
      <c r="L14" s="416" t="s">
        <v>938</v>
      </c>
      <c r="M14" s="416" t="s">
        <v>939</v>
      </c>
      <c r="N14" s="416" t="s">
        <v>940</v>
      </c>
      <c r="O14" s="416" t="s">
        <v>941</v>
      </c>
      <c r="P14" s="416" t="s">
        <v>942</v>
      </c>
      <c r="Q14" s="416" t="s">
        <v>943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364"/>
    </row>
    <row r="15" spans="1:46">
      <c r="A15" s="407" t="s">
        <v>526</v>
      </c>
      <c r="B15" s="415" t="s">
        <v>783</v>
      </c>
      <c r="C15" s="415" t="s">
        <v>856</v>
      </c>
      <c r="D15" s="415" t="s">
        <v>857</v>
      </c>
      <c r="E15" s="415" t="s">
        <v>858</v>
      </c>
      <c r="F15" s="415" t="s">
        <v>859</v>
      </c>
      <c r="G15" s="415" t="s">
        <v>860</v>
      </c>
      <c r="H15" s="415" t="s">
        <v>861</v>
      </c>
      <c r="I15" s="415" t="s">
        <v>862</v>
      </c>
      <c r="J15" s="415" t="s">
        <v>863</v>
      </c>
      <c r="K15" s="415" t="s">
        <v>864</v>
      </c>
      <c r="L15" s="415" t="s">
        <v>865</v>
      </c>
      <c r="M15" s="415" t="s">
        <v>752</v>
      </c>
      <c r="N15" s="415" t="s">
        <v>866</v>
      </c>
      <c r="O15" s="415" t="s">
        <v>867</v>
      </c>
      <c r="P15" s="415" t="s">
        <v>868</v>
      </c>
      <c r="Q15" s="415" t="s">
        <v>869</v>
      </c>
      <c r="R15" s="415" t="s">
        <v>870</v>
      </c>
      <c r="S15" s="415" t="s">
        <v>871</v>
      </c>
      <c r="T15" s="415" t="s">
        <v>872</v>
      </c>
      <c r="U15" s="415" t="s">
        <v>873</v>
      </c>
      <c r="V15" s="415" t="s">
        <v>874</v>
      </c>
      <c r="W15" s="415" t="s">
        <v>875</v>
      </c>
      <c r="X15" s="415" t="s">
        <v>876</v>
      </c>
      <c r="Y15" s="415" t="s">
        <v>877</v>
      </c>
      <c r="Z15" s="415" t="s">
        <v>878</v>
      </c>
      <c r="AA15" s="415" t="s">
        <v>760</v>
      </c>
      <c r="AB15" s="415" t="s">
        <v>879</v>
      </c>
      <c r="AC15" s="415" t="s">
        <v>880</v>
      </c>
      <c r="AD15" s="415" t="s">
        <v>881</v>
      </c>
      <c r="AE15" s="415" t="s">
        <v>882</v>
      </c>
      <c r="AF15" s="415" t="s">
        <v>883</v>
      </c>
      <c r="AG15" s="415" t="s">
        <v>884</v>
      </c>
      <c r="AH15" s="415" t="s">
        <v>885</v>
      </c>
      <c r="AI15" s="415" t="s">
        <v>886</v>
      </c>
      <c r="AJ15" s="415" t="s">
        <v>887</v>
      </c>
      <c r="AK15" s="415" t="s">
        <v>888</v>
      </c>
      <c r="AL15" s="415" t="s">
        <v>889</v>
      </c>
      <c r="AM15" s="415" t="s">
        <v>890</v>
      </c>
      <c r="AN15" s="415" t="s">
        <v>891</v>
      </c>
      <c r="AO15" s="415" t="s">
        <v>892</v>
      </c>
      <c r="AP15" s="415" t="s">
        <v>893</v>
      </c>
      <c r="AQ15" s="415" t="s">
        <v>894</v>
      </c>
      <c r="AR15" s="415" t="s">
        <v>895</v>
      </c>
      <c r="AS15" s="415" t="s">
        <v>896</v>
      </c>
      <c r="AT15" s="419" t="s">
        <v>897</v>
      </c>
    </row>
    <row r="16" spans="1:46" ht="15.75" thickBot="1">
      <c r="A16" s="408" t="s">
        <v>527</v>
      </c>
      <c r="B16" s="420" t="s">
        <v>900</v>
      </c>
      <c r="C16" s="420" t="s">
        <v>901</v>
      </c>
      <c r="D16" s="420" t="s">
        <v>902</v>
      </c>
      <c r="E16" s="420" t="s">
        <v>903</v>
      </c>
      <c r="F16" s="420" t="s">
        <v>904</v>
      </c>
      <c r="G16" s="420" t="s">
        <v>905</v>
      </c>
      <c r="H16" s="420" t="s">
        <v>906</v>
      </c>
      <c r="I16" s="420" t="s">
        <v>907</v>
      </c>
      <c r="J16" s="420" t="s">
        <v>908</v>
      </c>
      <c r="K16" s="420" t="s">
        <v>909</v>
      </c>
      <c r="L16" s="420" t="s">
        <v>910</v>
      </c>
      <c r="M16" s="420" t="s">
        <v>911</v>
      </c>
      <c r="N16" s="420" t="s">
        <v>912</v>
      </c>
      <c r="O16" s="420" t="s">
        <v>913</v>
      </c>
      <c r="P16" s="420" t="s">
        <v>914</v>
      </c>
      <c r="Q16" s="420" t="s">
        <v>915</v>
      </c>
      <c r="R16" s="420" t="s">
        <v>916</v>
      </c>
      <c r="S16" s="420" t="s">
        <v>917</v>
      </c>
      <c r="T16" s="420" t="s">
        <v>918</v>
      </c>
      <c r="U16" s="420" t="s">
        <v>919</v>
      </c>
      <c r="V16" s="420" t="s">
        <v>920</v>
      </c>
      <c r="W16" s="420" t="s">
        <v>921</v>
      </c>
      <c r="X16" s="420" t="s">
        <v>922</v>
      </c>
      <c r="Y16" s="420" t="s">
        <v>923</v>
      </c>
      <c r="Z16" s="420" t="s">
        <v>924</v>
      </c>
      <c r="AA16" s="420" t="s">
        <v>925</v>
      </c>
      <c r="AB16" s="420" t="s">
        <v>926</v>
      </c>
      <c r="AC16" s="420" t="s">
        <v>927</v>
      </c>
      <c r="AD16" s="409"/>
      <c r="AE16" s="409"/>
      <c r="AF16" s="409"/>
      <c r="AG16" s="409"/>
      <c r="AH16" s="409"/>
      <c r="AI16" s="409"/>
      <c r="AJ16" s="409"/>
      <c r="AK16" s="409"/>
      <c r="AL16" s="409"/>
      <c r="AM16" s="409"/>
      <c r="AN16" s="409"/>
      <c r="AO16" s="409"/>
      <c r="AP16" s="409"/>
      <c r="AQ16" s="409"/>
      <c r="AR16" s="409"/>
      <c r="AS16" s="409"/>
      <c r="AT16" s="410"/>
    </row>
    <row r="17" spans="1:72" ht="15.75" thickBot="1">
      <c r="L17" s="176"/>
      <c r="M17" s="118"/>
      <c r="N17" s="176"/>
      <c r="O17" s="176"/>
      <c r="P17" s="176"/>
      <c r="Q17" s="176"/>
    </row>
    <row r="18" spans="1:72">
      <c r="A18" s="404" t="s">
        <v>522</v>
      </c>
      <c r="B18" s="422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5"/>
      <c r="AA18" s="405"/>
      <c r="AB18" s="405"/>
      <c r="AC18" s="405"/>
      <c r="AD18" s="405"/>
      <c r="AE18" s="405"/>
      <c r="AF18" s="405"/>
      <c r="AG18" s="405"/>
      <c r="AH18" s="405"/>
      <c r="AI18" s="405"/>
      <c r="AJ18" s="405"/>
      <c r="AK18" s="405"/>
      <c r="AL18" s="405"/>
      <c r="AM18" s="405"/>
      <c r="AN18" s="405"/>
      <c r="AO18" s="405"/>
      <c r="AP18" s="405"/>
      <c r="AQ18" s="405"/>
      <c r="AR18" s="405"/>
      <c r="AS18" s="405"/>
      <c r="AT18" s="405"/>
      <c r="AU18" s="405"/>
      <c r="AV18" s="405"/>
      <c r="AW18" s="405"/>
      <c r="AX18" s="405"/>
      <c r="AY18" s="423"/>
      <c r="AZ18" s="423"/>
      <c r="BA18" s="423"/>
      <c r="BB18" s="423"/>
      <c r="BC18" s="423"/>
      <c r="BD18" s="423"/>
      <c r="BE18" s="423"/>
      <c r="BF18" s="423"/>
      <c r="BG18" s="423"/>
      <c r="BH18" s="423"/>
      <c r="BI18" s="423"/>
      <c r="BJ18" s="423"/>
      <c r="BK18" s="423"/>
      <c r="BL18" s="423"/>
      <c r="BM18" s="423"/>
      <c r="BN18" s="423"/>
      <c r="BO18" s="423"/>
      <c r="BP18" s="423"/>
      <c r="BQ18" s="423"/>
      <c r="BR18" s="423"/>
      <c r="BS18" s="144"/>
    </row>
    <row r="19" spans="1:72">
      <c r="A19" s="407" t="s">
        <v>523</v>
      </c>
      <c r="B19" s="421" t="s">
        <v>1166</v>
      </c>
      <c r="C19" s="421" t="s">
        <v>1167</v>
      </c>
      <c r="D19" s="421" t="s">
        <v>1168</v>
      </c>
      <c r="E19" s="421" t="s">
        <v>1169</v>
      </c>
      <c r="F19" s="421" t="s">
        <v>1170</v>
      </c>
      <c r="G19" s="421" t="s">
        <v>1171</v>
      </c>
      <c r="H19" s="421" t="s">
        <v>1172</v>
      </c>
      <c r="I19" s="421" t="s">
        <v>1173</v>
      </c>
      <c r="J19" s="421" t="s">
        <v>1174</v>
      </c>
      <c r="K19" s="421" t="s">
        <v>1175</v>
      </c>
      <c r="L19" s="421" t="s">
        <v>1176</v>
      </c>
      <c r="M19" s="421" t="s">
        <v>1177</v>
      </c>
      <c r="N19" s="421" t="s">
        <v>1178</v>
      </c>
      <c r="O19" s="421" t="s">
        <v>1179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260"/>
      <c r="AZ19" s="260"/>
      <c r="BA19" s="260"/>
      <c r="BB19" s="260"/>
      <c r="BC19" s="260"/>
      <c r="BD19" s="260"/>
      <c r="BE19" s="260"/>
      <c r="BF19" s="260"/>
      <c r="BG19" s="260"/>
      <c r="BH19" s="260"/>
      <c r="BI19" s="260"/>
      <c r="BJ19" s="260"/>
      <c r="BK19" s="260"/>
      <c r="BL19" s="260"/>
      <c r="BM19" s="260"/>
      <c r="BN19" s="260"/>
      <c r="BO19" s="260"/>
      <c r="BP19" s="260"/>
      <c r="BQ19" s="260"/>
      <c r="BR19" s="260"/>
      <c r="BS19" s="105"/>
    </row>
    <row r="20" spans="1:72">
      <c r="A20" s="407" t="s">
        <v>524</v>
      </c>
      <c r="B20" s="421" t="s">
        <v>1097</v>
      </c>
      <c r="C20" s="421" t="s">
        <v>1098</v>
      </c>
      <c r="D20" s="421" t="s">
        <v>1099</v>
      </c>
      <c r="E20" s="421" t="s">
        <v>1100</v>
      </c>
      <c r="F20" s="421" t="s">
        <v>1101</v>
      </c>
      <c r="G20" s="421" t="s">
        <v>1102</v>
      </c>
      <c r="H20" s="421" t="s">
        <v>1103</v>
      </c>
      <c r="I20" s="421" t="s">
        <v>1104</v>
      </c>
      <c r="J20" s="421" t="s">
        <v>1105</v>
      </c>
      <c r="K20" s="421" t="s">
        <v>1106</v>
      </c>
      <c r="L20" s="421" t="s">
        <v>1107</v>
      </c>
      <c r="M20" s="421" t="s">
        <v>1108</v>
      </c>
      <c r="N20" s="421" t="s">
        <v>1109</v>
      </c>
      <c r="O20" s="421" t="s">
        <v>1110</v>
      </c>
      <c r="P20" s="421" t="s">
        <v>1111</v>
      </c>
      <c r="Q20" s="421" t="s">
        <v>1112</v>
      </c>
      <c r="R20" s="421" t="s">
        <v>1113</v>
      </c>
      <c r="S20" s="421" t="s">
        <v>1114</v>
      </c>
      <c r="T20" s="421" t="s">
        <v>1115</v>
      </c>
      <c r="U20" s="421" t="s">
        <v>1116</v>
      </c>
      <c r="V20" s="421" t="s">
        <v>1117</v>
      </c>
      <c r="W20" s="421" t="s">
        <v>1118</v>
      </c>
      <c r="X20" s="421" t="s">
        <v>1119</v>
      </c>
      <c r="Y20" s="421" t="s">
        <v>1120</v>
      </c>
      <c r="Z20" s="421" t="s">
        <v>1121</v>
      </c>
      <c r="AA20" s="421" t="s">
        <v>1122</v>
      </c>
      <c r="AB20" s="421" t="s">
        <v>1123</v>
      </c>
      <c r="AC20" s="421" t="s">
        <v>1124</v>
      </c>
      <c r="AD20" s="421" t="s">
        <v>1125</v>
      </c>
      <c r="AE20" s="421" t="s">
        <v>1126</v>
      </c>
      <c r="AF20" s="421" t="s">
        <v>1127</v>
      </c>
      <c r="AG20" s="421" t="s">
        <v>1128</v>
      </c>
      <c r="AH20" s="421" t="s">
        <v>1129</v>
      </c>
      <c r="AI20" s="421" t="s">
        <v>1130</v>
      </c>
      <c r="AJ20" s="421" t="s">
        <v>1131</v>
      </c>
      <c r="AK20" s="421" t="s">
        <v>1132</v>
      </c>
      <c r="AL20" s="421" t="s">
        <v>1133</v>
      </c>
      <c r="AM20" s="421" t="s">
        <v>1134</v>
      </c>
      <c r="AN20" s="421" t="s">
        <v>1135</v>
      </c>
      <c r="AO20" s="421" t="s">
        <v>1136</v>
      </c>
      <c r="AP20" s="421" t="s">
        <v>1137</v>
      </c>
      <c r="AQ20" s="421" t="s">
        <v>1138</v>
      </c>
      <c r="AR20" s="421" t="s">
        <v>1139</v>
      </c>
      <c r="AS20" s="421" t="s">
        <v>1140</v>
      </c>
      <c r="AT20" s="421" t="s">
        <v>1141</v>
      </c>
      <c r="AU20" s="421" t="s">
        <v>1142</v>
      </c>
      <c r="AV20" s="421" t="s">
        <v>1143</v>
      </c>
      <c r="AW20" s="421" t="s">
        <v>1144</v>
      </c>
      <c r="AX20" s="421" t="s">
        <v>1145</v>
      </c>
      <c r="AY20" s="421" t="s">
        <v>1146</v>
      </c>
      <c r="AZ20" s="421" t="s">
        <v>1147</v>
      </c>
      <c r="BA20" s="421" t="s">
        <v>1148</v>
      </c>
      <c r="BB20" s="421" t="s">
        <v>1149</v>
      </c>
      <c r="BC20" s="421" t="s">
        <v>1150</v>
      </c>
      <c r="BD20" s="421" t="s">
        <v>1151</v>
      </c>
      <c r="BE20" s="421" t="s">
        <v>979</v>
      </c>
      <c r="BF20" s="421" t="s">
        <v>1152</v>
      </c>
      <c r="BG20" s="421" t="s">
        <v>1153</v>
      </c>
      <c r="BH20" s="421" t="s">
        <v>1154</v>
      </c>
      <c r="BI20" s="421" t="s">
        <v>1155</v>
      </c>
      <c r="BJ20" s="421" t="s">
        <v>1156</v>
      </c>
      <c r="BK20" s="421" t="s">
        <v>1157</v>
      </c>
      <c r="BL20" s="421" t="s">
        <v>1158</v>
      </c>
      <c r="BM20" s="421" t="s">
        <v>1159</v>
      </c>
      <c r="BN20" s="421" t="s">
        <v>1160</v>
      </c>
      <c r="BO20" s="421" t="s">
        <v>1161</v>
      </c>
      <c r="BP20" s="421" t="s">
        <v>1162</v>
      </c>
      <c r="BQ20" s="421" t="s">
        <v>1163</v>
      </c>
      <c r="BR20" s="421" t="s">
        <v>1164</v>
      </c>
      <c r="BS20" s="424" t="s">
        <v>1165</v>
      </c>
    </row>
    <row r="21" spans="1:72">
      <c r="A21" s="407" t="s">
        <v>1180</v>
      </c>
      <c r="B21" s="421" t="s">
        <v>1088</v>
      </c>
      <c r="C21" s="421" t="s">
        <v>1089</v>
      </c>
      <c r="D21" s="421" t="s">
        <v>1090</v>
      </c>
      <c r="E21" s="421" t="s">
        <v>1091</v>
      </c>
      <c r="F21" s="421" t="s">
        <v>1092</v>
      </c>
      <c r="G21" s="421" t="s">
        <v>1093</v>
      </c>
      <c r="H21" s="421" t="s">
        <v>1094</v>
      </c>
      <c r="I21" s="421" t="s">
        <v>1095</v>
      </c>
      <c r="J21" s="421" t="s">
        <v>1096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260"/>
      <c r="AZ21" s="260"/>
      <c r="BA21" s="260"/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0"/>
      <c r="BN21" s="260"/>
      <c r="BO21" s="260"/>
      <c r="BP21" s="260"/>
      <c r="BQ21" s="260"/>
      <c r="BR21" s="260"/>
      <c r="BS21" s="105"/>
    </row>
    <row r="22" spans="1:72">
      <c r="A22" s="407" t="s">
        <v>526</v>
      </c>
      <c r="B22" s="421" t="s">
        <v>1011</v>
      </c>
      <c r="C22" s="421" t="s">
        <v>1012</v>
      </c>
      <c r="D22" s="421" t="s">
        <v>1013</v>
      </c>
      <c r="E22" s="421" t="s">
        <v>1014</v>
      </c>
      <c r="F22" s="421" t="s">
        <v>1015</v>
      </c>
      <c r="G22" s="421" t="s">
        <v>1016</v>
      </c>
      <c r="H22" s="421" t="s">
        <v>1017</v>
      </c>
      <c r="I22" s="421" t="s">
        <v>1018</v>
      </c>
      <c r="J22" s="421" t="s">
        <v>1019</v>
      </c>
      <c r="K22" s="421" t="s">
        <v>1020</v>
      </c>
      <c r="L22" s="421" t="s">
        <v>1021</v>
      </c>
      <c r="M22" s="421" t="s">
        <v>1022</v>
      </c>
      <c r="N22" s="421" t="s">
        <v>1023</v>
      </c>
      <c r="O22" s="421" t="s">
        <v>1024</v>
      </c>
      <c r="P22" s="421" t="s">
        <v>1025</v>
      </c>
      <c r="Q22" s="421" t="s">
        <v>1026</v>
      </c>
      <c r="R22" s="421" t="s">
        <v>1027</v>
      </c>
      <c r="S22" s="421" t="s">
        <v>1028</v>
      </c>
      <c r="T22" s="421" t="s">
        <v>1029</v>
      </c>
      <c r="U22" s="421" t="s">
        <v>1030</v>
      </c>
      <c r="V22" s="421" t="s">
        <v>1031</v>
      </c>
      <c r="W22" s="421" t="s">
        <v>1032</v>
      </c>
      <c r="X22" s="421" t="s">
        <v>1033</v>
      </c>
      <c r="Y22" s="421" t="s">
        <v>1034</v>
      </c>
      <c r="Z22" s="421" t="s">
        <v>1035</v>
      </c>
      <c r="AA22" s="421" t="s">
        <v>1036</v>
      </c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260"/>
      <c r="AZ22" s="260"/>
      <c r="BA22" s="260"/>
      <c r="BB22" s="260"/>
      <c r="BC22" s="260"/>
      <c r="BD22" s="260"/>
      <c r="BE22" s="260"/>
      <c r="BF22" s="260"/>
      <c r="BG22" s="260"/>
      <c r="BH22" s="260"/>
      <c r="BI22" s="260"/>
      <c r="BJ22" s="260"/>
      <c r="BK22" s="260"/>
      <c r="BL22" s="260"/>
      <c r="BM22" s="260"/>
      <c r="BN22" s="260"/>
      <c r="BO22" s="260"/>
      <c r="BP22" s="260"/>
      <c r="BQ22" s="260"/>
      <c r="BR22" s="260"/>
      <c r="BS22" s="105"/>
    </row>
    <row r="23" spans="1:72" ht="15.75" thickBot="1">
      <c r="A23" s="408" t="s">
        <v>527</v>
      </c>
      <c r="B23" s="427" t="s">
        <v>1037</v>
      </c>
      <c r="C23" s="425" t="s">
        <v>1038</v>
      </c>
      <c r="D23" s="425" t="s">
        <v>1039</v>
      </c>
      <c r="E23" s="425" t="s">
        <v>1040</v>
      </c>
      <c r="F23" s="425" t="s">
        <v>1041</v>
      </c>
      <c r="G23" s="425" t="s">
        <v>1042</v>
      </c>
      <c r="H23" s="425" t="s">
        <v>1043</v>
      </c>
      <c r="I23" s="425" t="s">
        <v>1044</v>
      </c>
      <c r="J23" s="425" t="s">
        <v>1045</v>
      </c>
      <c r="K23" s="425" t="s">
        <v>1046</v>
      </c>
      <c r="L23" s="425" t="s">
        <v>1047</v>
      </c>
      <c r="M23" s="425" t="s">
        <v>1048</v>
      </c>
      <c r="N23" s="425" t="s">
        <v>1049</v>
      </c>
      <c r="O23" s="425" t="s">
        <v>1050</v>
      </c>
      <c r="P23" s="425" t="s">
        <v>1051</v>
      </c>
      <c r="Q23" s="425" t="s">
        <v>1052</v>
      </c>
      <c r="R23" s="425" t="s">
        <v>1053</v>
      </c>
      <c r="S23" s="425" t="s">
        <v>1054</v>
      </c>
      <c r="T23" s="425" t="s">
        <v>1055</v>
      </c>
      <c r="U23" s="425" t="s">
        <v>1056</v>
      </c>
      <c r="V23" s="425" t="s">
        <v>1058</v>
      </c>
      <c r="W23" s="425" t="s">
        <v>1057</v>
      </c>
      <c r="X23" s="425" t="s">
        <v>1059</v>
      </c>
      <c r="Y23" s="425" t="s">
        <v>1060</v>
      </c>
      <c r="Z23" s="425" t="s">
        <v>1061</v>
      </c>
      <c r="AA23" s="425" t="s">
        <v>1062</v>
      </c>
      <c r="AB23" s="425" t="s">
        <v>1063</v>
      </c>
      <c r="AC23" s="425" t="s">
        <v>1064</v>
      </c>
      <c r="AD23" s="425" t="s">
        <v>1065</v>
      </c>
      <c r="AE23" s="425" t="s">
        <v>1066</v>
      </c>
      <c r="AF23" s="425" t="s">
        <v>1067</v>
      </c>
      <c r="AG23" s="425" t="s">
        <v>1068</v>
      </c>
      <c r="AH23" s="425" t="s">
        <v>1069</v>
      </c>
      <c r="AI23" s="425" t="s">
        <v>1070</v>
      </c>
      <c r="AJ23" s="425" t="s">
        <v>1071</v>
      </c>
      <c r="AK23" s="425" t="s">
        <v>1072</v>
      </c>
      <c r="AL23" s="425" t="s">
        <v>1073</v>
      </c>
      <c r="AM23" s="425" t="s">
        <v>1074</v>
      </c>
      <c r="AN23" s="425" t="s">
        <v>1075</v>
      </c>
      <c r="AO23" s="425" t="s">
        <v>1076</v>
      </c>
      <c r="AP23" s="425" t="s">
        <v>1077</v>
      </c>
      <c r="AQ23" s="425" t="s">
        <v>1078</v>
      </c>
      <c r="AR23" s="425" t="s">
        <v>1079</v>
      </c>
      <c r="AS23" s="425" t="s">
        <v>1080</v>
      </c>
      <c r="AT23" s="425" t="s">
        <v>1081</v>
      </c>
      <c r="AU23" s="425" t="s">
        <v>1082</v>
      </c>
      <c r="AV23" s="425" t="s">
        <v>1083</v>
      </c>
      <c r="AW23" s="425" t="s">
        <v>1084</v>
      </c>
      <c r="AX23" s="425" t="s">
        <v>1085</v>
      </c>
      <c r="AY23" s="425" t="s">
        <v>1086</v>
      </c>
      <c r="AZ23" s="425" t="s">
        <v>1087</v>
      </c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7"/>
    </row>
    <row r="24" spans="1:72">
      <c r="L24" s="208"/>
      <c r="M24" s="176"/>
      <c r="N24" s="176"/>
      <c r="O24" s="176"/>
      <c r="P24" s="176"/>
      <c r="Q24" s="176"/>
    </row>
    <row r="25" spans="1:72" ht="15.75" thickBot="1">
      <c r="L25" s="208"/>
      <c r="M25" s="176"/>
      <c r="N25" s="176"/>
      <c r="O25" s="176"/>
      <c r="P25" s="176"/>
      <c r="Q25" s="176"/>
    </row>
    <row r="26" spans="1:72" ht="15.75" thickBot="1">
      <c r="A26" s="428" t="s">
        <v>899</v>
      </c>
      <c r="B26" s="429" t="str">
        <f>VLOOKUP($A$1,$A$4:$AH$9,2)</f>
        <v>Anichka</v>
      </c>
      <c r="C26" s="430" t="str">
        <f>VLOOKUP($A$1,$A$4:$AH$9,3)</f>
        <v>Kara</v>
      </c>
      <c r="D26" s="430" t="str">
        <f>VLOOKUP($A$1,$A$4:$AH$9,4)</f>
        <v>Luba</v>
      </c>
      <c r="E26" s="430" t="str">
        <f>VLOOKUP($A$1,$A$4:$AH$9,5)</f>
        <v>Orenda</v>
      </c>
      <c r="F26" s="430" t="str">
        <f>VLOOKUP($A$1,$A$4:$AH$9,6)</f>
        <v>Oxana</v>
      </c>
      <c r="G26" s="430" t="str">
        <f>VLOOKUP($A$1,$A$4:$AH$9,7)</f>
        <v>Salome</v>
      </c>
      <c r="H26" s="430" t="str">
        <f>VLOOKUP($A$1,$A$4:$AH$9,8)</f>
        <v>Yasmela</v>
      </c>
      <c r="I26" s="430">
        <f>VLOOKUP($A$1,$A$4:$AH$9,9)</f>
        <v>0</v>
      </c>
      <c r="J26" s="430">
        <f>VLOOKUP($A$1,$A$4:$AH$9,10)</f>
        <v>0</v>
      </c>
      <c r="K26" s="430">
        <f>VLOOKUP($A$1,$A$4:$AH$9,11)</f>
        <v>0</v>
      </c>
      <c r="L26" s="430">
        <f>VLOOKUP($A$1,$A$4:$AH$9,12)</f>
        <v>0</v>
      </c>
      <c r="M26" s="430">
        <f>VLOOKUP($A$1,$A$4:$AH$9,13)</f>
        <v>0</v>
      </c>
      <c r="N26" s="430">
        <f>VLOOKUP($A$1,$A$4:$AH$9,14)</f>
        <v>0</v>
      </c>
      <c r="O26" s="430">
        <f>VLOOKUP($A$1,$A$4:$AH$9,15)</f>
        <v>0</v>
      </c>
      <c r="P26" s="430">
        <f>VLOOKUP($A$1,$A$4:$AH$9,16)</f>
        <v>0</v>
      </c>
      <c r="Q26" s="430">
        <f>VLOOKUP($A$1,$A$4:$AH$9,17)</f>
        <v>0</v>
      </c>
      <c r="R26" s="430">
        <f>VLOOKUP($A$1,$A$4:$AH$9,18)</f>
        <v>0</v>
      </c>
      <c r="S26" s="430">
        <f>VLOOKUP($A$1,$A$4:$AH$9,19)</f>
        <v>0</v>
      </c>
      <c r="T26" s="430">
        <f>VLOOKUP($A$1,$A$4:$AH$9,20)</f>
        <v>0</v>
      </c>
      <c r="U26" s="430">
        <f>VLOOKUP($A$1,$A$4:$AH$9,21)</f>
        <v>0</v>
      </c>
      <c r="V26" s="430">
        <f>VLOOKUP($A$1,$A$4:$AH$9,22)</f>
        <v>0</v>
      </c>
      <c r="W26" s="430">
        <f>VLOOKUP($A$1,$A$4:$AH$9,23)</f>
        <v>0</v>
      </c>
      <c r="X26" s="430">
        <f>VLOOKUP($A$1,$A$4:$AH$9,24)</f>
        <v>0</v>
      </c>
      <c r="Y26" s="430">
        <f>VLOOKUP($A$1,$A$4:$AH$9,25)</f>
        <v>0</v>
      </c>
      <c r="Z26" s="430">
        <f>VLOOKUP($A$1,$A$4:$AH$9,26)</f>
        <v>0</v>
      </c>
      <c r="AA26" s="430">
        <f>VLOOKUP($A$1,$A$4:$AH$9,27)</f>
        <v>0</v>
      </c>
      <c r="AB26" s="430">
        <f>VLOOKUP($A$1,$A$4:$AH$9,28)</f>
        <v>0</v>
      </c>
      <c r="AC26" s="430">
        <f>VLOOKUP($A$1,$A$4:$AH$9,29)</f>
        <v>0</v>
      </c>
      <c r="AD26" s="430">
        <f>VLOOKUP($A$1,$A$4:$AH$9,30)</f>
        <v>0</v>
      </c>
      <c r="AE26" s="430">
        <f>VLOOKUP($A$1,$A$4:$AH$9,31)</f>
        <v>0</v>
      </c>
      <c r="AF26" s="430">
        <f>VLOOKUP($A$1,$A$4:$AH$9,32)</f>
        <v>0</v>
      </c>
      <c r="AG26" s="430">
        <f>VLOOKUP($A$1,$A$4:$AH$9,33)</f>
        <v>0</v>
      </c>
      <c r="AH26" s="431">
        <f>VLOOKUP($A$1,$A$4:$AH$9,34)</f>
        <v>0</v>
      </c>
    </row>
    <row r="27" spans="1:72" ht="15.75" thickBot="1">
      <c r="A27" s="432" t="s">
        <v>898</v>
      </c>
      <c r="B27" s="429" t="str">
        <f>VLOOKUP($A$1,$A$11:$AT$16,2)</f>
        <v>Ahmad</v>
      </c>
      <c r="C27" s="430" t="str">
        <f>VLOOKUP($A$1,$A$11:$AT$16,3)</f>
        <v>Akando</v>
      </c>
      <c r="D27" s="430" t="str">
        <f>VLOOKUP($A$1,$A$11:$AT$16,4)</f>
        <v>Akkutho</v>
      </c>
      <c r="E27" s="430" t="str">
        <f>VLOOKUP($A$1,$A$11:$AT$16,5)</f>
        <v>Assad</v>
      </c>
      <c r="F27" s="430" t="str">
        <f>VLOOKUP($A$1,$A$11:$AT$16,6)</f>
        <v>Derk</v>
      </c>
      <c r="G27" s="430" t="str">
        <f>VLOOKUP($A$1,$A$11:$AT$16,7)</f>
        <v>Gorm</v>
      </c>
      <c r="H27" s="430" t="str">
        <f>VLOOKUP($A$1,$A$11:$AT$16,8)</f>
        <v>Joka</v>
      </c>
      <c r="I27" s="430" t="str">
        <f>VLOOKUP($A$1,$A$11:$AT$16,9)</f>
        <v>Kalantes</v>
      </c>
      <c r="J27" s="430" t="str">
        <f>VLOOKUP($A$1,$A$11:$AT$16,10)</f>
        <v>Kevas</v>
      </c>
      <c r="K27" s="430" t="str">
        <f>VLOOKUP($A$1,$A$11:$AT$16,11)</f>
        <v>Korman</v>
      </c>
      <c r="L27" s="430" t="str">
        <f>VLOOKUP($A$1,$A$11:$AT$16,12)</f>
        <v>Vanko</v>
      </c>
      <c r="M27" s="430" t="str">
        <f>VLOOKUP($A$1,$A$11:$AT$16,13)</f>
        <v>Zogar</v>
      </c>
      <c r="N27" s="430">
        <f>VLOOKUP($A$1,$A$11:$AT$16,14)</f>
        <v>0</v>
      </c>
      <c r="O27" s="430">
        <f>VLOOKUP($A$1,$A$11:$AT$16,15)</f>
        <v>0</v>
      </c>
      <c r="P27" s="430">
        <f>VLOOKUP($A$1,$A$11:$AT$16,16)</f>
        <v>0</v>
      </c>
      <c r="Q27" s="430">
        <f>VLOOKUP($A$1,$A$11:$AT$16,17)</f>
        <v>0</v>
      </c>
      <c r="R27" s="430">
        <f>VLOOKUP($A$1,$A$11:$AT$16,18)</f>
        <v>0</v>
      </c>
      <c r="S27" s="430">
        <f>VLOOKUP($A$1,$A$11:$AT$16,19)</f>
        <v>0</v>
      </c>
      <c r="T27" s="430">
        <f>VLOOKUP($A$1,$A$11:$AT$16,20)</f>
        <v>0</v>
      </c>
      <c r="U27" s="430">
        <f>VLOOKUP($A$1,$A$11:$AT$16,21)</f>
        <v>0</v>
      </c>
      <c r="V27" s="430">
        <f>VLOOKUP($A$1,$A$11:$AT$16,22)</f>
        <v>0</v>
      </c>
      <c r="W27" s="430">
        <f>VLOOKUP($A$1,$A$11:$AT$16,23)</f>
        <v>0</v>
      </c>
      <c r="X27" s="430">
        <f>VLOOKUP($A$1,$A$11:$AT$16,24)</f>
        <v>0</v>
      </c>
      <c r="Y27" s="430">
        <f>VLOOKUP($A$1,$A$11:$AT$16,25)</f>
        <v>0</v>
      </c>
      <c r="Z27" s="430">
        <f>VLOOKUP($A$1,$A$11:$AT$16,26)</f>
        <v>0</v>
      </c>
      <c r="AA27" s="430">
        <f>VLOOKUP($A$1,$A$11:$AT$16,27)</f>
        <v>0</v>
      </c>
      <c r="AB27" s="430">
        <f>VLOOKUP($A$1,$A$11:$AT$16,28)</f>
        <v>0</v>
      </c>
      <c r="AC27" s="430">
        <f>VLOOKUP($A$1,$A$11:$AT$16,29)</f>
        <v>0</v>
      </c>
      <c r="AD27" s="430">
        <f>VLOOKUP($A$1,$A$11:$AT$16,30)</f>
        <v>0</v>
      </c>
      <c r="AE27" s="430">
        <f>VLOOKUP($A$1,$A$11:$AT$16,31)</f>
        <v>0</v>
      </c>
      <c r="AF27" s="430">
        <f>VLOOKUP($A$1,$A$11:$AT$16,32)</f>
        <v>0</v>
      </c>
      <c r="AG27" s="430">
        <f>VLOOKUP($A$1,$A$11:$AT$16,33)</f>
        <v>0</v>
      </c>
      <c r="AH27" s="430">
        <f>VLOOKUP($A$1,$A$11:$AT$16,34)</f>
        <v>0</v>
      </c>
      <c r="AI27" s="430">
        <f>VLOOKUP($A$1,$A$11:$AT$16,35)</f>
        <v>0</v>
      </c>
      <c r="AJ27" s="430">
        <f>VLOOKUP($A$1,$A$11:$AT$16,36)</f>
        <v>0</v>
      </c>
      <c r="AK27" s="430">
        <f>VLOOKUP($A$1,$A$11:$AT$16,37)</f>
        <v>0</v>
      </c>
      <c r="AL27" s="430">
        <f>VLOOKUP($A$1,$A$11:$AT$16,38)</f>
        <v>0</v>
      </c>
      <c r="AM27" s="430">
        <f>VLOOKUP($A$1,$A$11:$AT$16,39)</f>
        <v>0</v>
      </c>
      <c r="AN27" s="430">
        <f>VLOOKUP($A$1,$A$11:$AT$16,40)</f>
        <v>0</v>
      </c>
      <c r="AO27" s="430">
        <f>VLOOKUP($A$1,$A$11:$AT$16,41)</f>
        <v>0</v>
      </c>
      <c r="AP27" s="430">
        <f>VLOOKUP($A$1,$A$11:$AT$16,42)</f>
        <v>0</v>
      </c>
      <c r="AQ27" s="430">
        <f>VLOOKUP($A$1,$A$11:$AT$16,43)</f>
        <v>0</v>
      </c>
      <c r="AR27" s="430">
        <f>VLOOKUP($A$1,$A$11:$AT$16,44)</f>
        <v>0</v>
      </c>
      <c r="AS27" s="430">
        <f>VLOOKUP($A$1,$A$11:$AT$16,45)</f>
        <v>0</v>
      </c>
      <c r="AT27" s="431">
        <f>VLOOKUP($A$1,$A$11:$AT$16,46)</f>
        <v>0</v>
      </c>
    </row>
    <row r="30" spans="1:72" ht="15.75" thickBot="1">
      <c r="A30" s="176"/>
      <c r="B30" s="176"/>
      <c r="C30" s="176"/>
      <c r="D30" s="118"/>
      <c r="E30" s="176"/>
      <c r="F30" s="176"/>
      <c r="L30" s="208"/>
      <c r="M30" s="176"/>
      <c r="N30" s="208"/>
      <c r="O30" s="208"/>
      <c r="P30" s="176"/>
      <c r="Q30" s="176"/>
    </row>
    <row r="31" spans="1:72" s="437" customFormat="1" ht="15.75" thickBot="1">
      <c r="A31" s="434" t="s">
        <v>729</v>
      </c>
      <c r="C31" s="435" t="str">
        <f>VLOOKUP($A$2,$A$26:$AT$27,2)</f>
        <v>Ahmad</v>
      </c>
      <c r="D31" s="435" t="str">
        <f>VLOOKUP($A$2,$A$26:$AT$27,3)</f>
        <v>Akando</v>
      </c>
      <c r="E31" s="435" t="str">
        <f>VLOOKUP($A$2,$A$26:$AT$27,4)</f>
        <v>Akkutho</v>
      </c>
      <c r="F31" s="435" t="str">
        <f>VLOOKUP($A$2,$A$26:$AT$27,5)</f>
        <v>Assad</v>
      </c>
      <c r="G31" s="435" t="str">
        <f>VLOOKUP($A$2,$A$26:$AT$27,6)</f>
        <v>Derk</v>
      </c>
      <c r="H31" s="435" t="str">
        <f>VLOOKUP($A$2,$A$26:$AT$27,7)</f>
        <v>Gorm</v>
      </c>
      <c r="I31" s="435" t="str">
        <f>VLOOKUP($A$2,$A$26:$AT$27,8)</f>
        <v>Joka</v>
      </c>
      <c r="J31" s="435" t="str">
        <f>VLOOKUP($A$2,$A$26:$AT$27,9)</f>
        <v>Kalantes</v>
      </c>
      <c r="K31" s="435" t="str">
        <f>VLOOKUP($A$2,$A$26:$AT$27,10)</f>
        <v>Kevas</v>
      </c>
      <c r="L31" s="435" t="str">
        <f>VLOOKUP($A$2,$A$26:$AT$27,11)</f>
        <v>Korman</v>
      </c>
      <c r="M31" s="435" t="str">
        <f>VLOOKUP($A$2,$A$26:$AT$27,12)</f>
        <v>Vanko</v>
      </c>
      <c r="N31" s="435" t="str">
        <f>VLOOKUP($A$2,$A$26:$AT$27,13)</f>
        <v>Zogar</v>
      </c>
      <c r="O31" s="435">
        <f>VLOOKUP($A$2,$A$26:$AT$27,14)</f>
        <v>0</v>
      </c>
      <c r="P31" s="435">
        <f>VLOOKUP($A$2,$A$26:$AT$27,15)</f>
        <v>0</v>
      </c>
      <c r="Q31" s="435">
        <f>VLOOKUP($A$2,$A$26:$AT$27,16)</f>
        <v>0</v>
      </c>
      <c r="R31" s="435">
        <f>VLOOKUP($A$2,$A$26:$AT$27,17)</f>
        <v>0</v>
      </c>
      <c r="S31" s="435">
        <f>VLOOKUP($A$2,$A$26:$AT$27,18)</f>
        <v>0</v>
      </c>
      <c r="T31" s="435">
        <f>VLOOKUP($A$2,$A$26:$AT$27,19)</f>
        <v>0</v>
      </c>
      <c r="U31" s="435">
        <f>VLOOKUP($A$2,$A$26:$AT$27,20)</f>
        <v>0</v>
      </c>
      <c r="V31" s="435">
        <f>VLOOKUP($A$2,$A$26:$AT$27,21)</f>
        <v>0</v>
      </c>
      <c r="W31" s="435">
        <f>VLOOKUP($A$2,$A$26:$AT$27,22)</f>
        <v>0</v>
      </c>
      <c r="X31" s="435">
        <f>VLOOKUP($A$2,$A$26:$AT$27,23)</f>
        <v>0</v>
      </c>
      <c r="Y31" s="435">
        <f>VLOOKUP($A$2,$A$26:$AT$27,24)</f>
        <v>0</v>
      </c>
      <c r="Z31" s="435">
        <f>VLOOKUP($A$2,$A$26:$AT$27,25)</f>
        <v>0</v>
      </c>
      <c r="AA31" s="435">
        <f>VLOOKUP($A$2,$A$26:$AT$27,26)</f>
        <v>0</v>
      </c>
      <c r="AB31" s="435">
        <f>VLOOKUP($A$2,$A$26:$AT$27,27)</f>
        <v>0</v>
      </c>
      <c r="AC31" s="435">
        <f>VLOOKUP($A$2,$A$26:$AT$27,28)</f>
        <v>0</v>
      </c>
      <c r="AD31" s="435">
        <f>VLOOKUP($A$2,$A$26:$AT$27,29)</f>
        <v>0</v>
      </c>
      <c r="AE31" s="435">
        <f>VLOOKUP($A$2,$A$26:$AT$27,30)</f>
        <v>0</v>
      </c>
      <c r="AF31" s="435">
        <f>VLOOKUP($A$2,$A$26:$AT$27,31)</f>
        <v>0</v>
      </c>
      <c r="AG31" s="435">
        <f>VLOOKUP($A$2,$A$26:$AT$27,32)</f>
        <v>0</v>
      </c>
      <c r="AH31" s="435">
        <f>VLOOKUP($A$2,$A$26:$AT$27,33)</f>
        <v>0</v>
      </c>
      <c r="AI31" s="435">
        <f>VLOOKUP($A$2,$A$26:$AT$27,34)</f>
        <v>0</v>
      </c>
      <c r="AJ31" s="435">
        <f>VLOOKUP($A$2,$A$26:$AT$27,35)</f>
        <v>0</v>
      </c>
      <c r="AK31" s="435">
        <f>VLOOKUP($A$2,$A$26:$AT$27,36)</f>
        <v>0</v>
      </c>
      <c r="AL31" s="435">
        <f>VLOOKUP($A$2,$A$26:$AT$27,37)</f>
        <v>0</v>
      </c>
      <c r="AM31" s="435">
        <f>VLOOKUP($A$2,$A$26:$AT$27,38)</f>
        <v>0</v>
      </c>
      <c r="AN31" s="435">
        <f>VLOOKUP($A$2,$A$26:$AT$27,39)</f>
        <v>0</v>
      </c>
      <c r="AO31" s="435">
        <f>VLOOKUP($A$2,$A$26:$AT$27,40)</f>
        <v>0</v>
      </c>
      <c r="AP31" s="435">
        <f>VLOOKUP($A$2,$A$26:$AT$27,41)</f>
        <v>0</v>
      </c>
      <c r="AQ31" s="435">
        <f>VLOOKUP($A$2,$A$26:$AT$27,42)</f>
        <v>0</v>
      </c>
      <c r="AR31" s="435">
        <f>VLOOKUP($A$2,$A$26:$AT$27,43)</f>
        <v>0</v>
      </c>
      <c r="AS31" s="435">
        <f>VLOOKUP($A$2,$A$26:$AT$27,44)</f>
        <v>0</v>
      </c>
      <c r="AT31" s="435">
        <f>VLOOKUP($A$2,$A$26:$AT$27,45)</f>
        <v>0</v>
      </c>
      <c r="AU31" s="436">
        <f>VLOOKUP($A$2,$A$26:$AT$27,46)</f>
        <v>0</v>
      </c>
    </row>
    <row r="32" spans="1:72" ht="15.75" thickBot="1">
      <c r="A32" s="433" t="s">
        <v>730</v>
      </c>
      <c r="C32" s="429">
        <f>VLOOKUP($A$1,$A$18:$BS$23,2)</f>
        <v>0</v>
      </c>
      <c r="D32" s="430">
        <f>VLOOKUP($A$1,$A$18:$BS$23,3)</f>
        <v>0</v>
      </c>
      <c r="E32" s="430">
        <f>VLOOKUP($A$1,$A$18:$BS$23,4)</f>
        <v>0</v>
      </c>
      <c r="F32" s="430">
        <f>VLOOKUP($A$1,$A$18:$BS$23,5)</f>
        <v>0</v>
      </c>
      <c r="G32" s="430">
        <f>VLOOKUP($A$1,$A$18:$BS$23,6)</f>
        <v>0</v>
      </c>
      <c r="H32" s="430">
        <f>VLOOKUP($A$1,$A$18:$BS$23,7)</f>
        <v>0</v>
      </c>
      <c r="I32" s="430">
        <f>VLOOKUP($A$1,$A$18:$BS$23,8)</f>
        <v>0</v>
      </c>
      <c r="J32" s="430">
        <f>VLOOKUP($A$1,$A$18:$BS$23,9)</f>
        <v>0</v>
      </c>
      <c r="K32" s="430">
        <f>VLOOKUP($A$1,$A$18:$BS$23,10)</f>
        <v>0</v>
      </c>
      <c r="L32" s="430">
        <f>VLOOKUP($A$1,$A$18:$BS$23,11)</f>
        <v>0</v>
      </c>
      <c r="M32" s="430">
        <f>VLOOKUP($A$1,$A$18:$BS$23,12)</f>
        <v>0</v>
      </c>
      <c r="N32" s="430">
        <f>VLOOKUP($A$1,$A$18:$BS$23,13)</f>
        <v>0</v>
      </c>
      <c r="O32" s="430">
        <f>VLOOKUP($A$1,$A$18:$BS$23,14)</f>
        <v>0</v>
      </c>
      <c r="P32" s="430">
        <f>VLOOKUP($A$1,$A$18:$BS$23,15)</f>
        <v>0</v>
      </c>
      <c r="Q32" s="430">
        <f>VLOOKUP($A$1,$A$18:$BS$23,16)</f>
        <v>0</v>
      </c>
      <c r="R32" s="430">
        <f>VLOOKUP($A$1,$A$18:$BS$23,17)</f>
        <v>0</v>
      </c>
      <c r="S32" s="430">
        <f>VLOOKUP($A$1,$A$18:$BS$23,18)</f>
        <v>0</v>
      </c>
      <c r="T32" s="430">
        <f>VLOOKUP($A$1,$A$18:$BS$23,19)</f>
        <v>0</v>
      </c>
      <c r="U32" s="430">
        <f>VLOOKUP($A$1,$A$18:$BS$23,20)</f>
        <v>0</v>
      </c>
      <c r="V32" s="430">
        <f>VLOOKUP($A$1,$A$18:$BS$23,21)</f>
        <v>0</v>
      </c>
      <c r="W32" s="430">
        <f>VLOOKUP($A$1,$A$18:$BS$23,22)</f>
        <v>0</v>
      </c>
      <c r="X32" s="430">
        <f>VLOOKUP($A$1,$A$18:$BS$23,23)</f>
        <v>0</v>
      </c>
      <c r="Y32" s="430">
        <f>VLOOKUP($A$1,$A$18:$BS$23,24)</f>
        <v>0</v>
      </c>
      <c r="Z32" s="430">
        <f>VLOOKUP($A$1,$A$18:$BS$23,25)</f>
        <v>0</v>
      </c>
      <c r="AA32" s="430">
        <f>VLOOKUP($A$1,$A$18:$BS$23,26)</f>
        <v>0</v>
      </c>
      <c r="AB32" s="430">
        <f>VLOOKUP($A$1,$A$18:$BS$23,27)</f>
        <v>0</v>
      </c>
      <c r="AC32" s="430">
        <f>VLOOKUP($A$1,$A$18:$BS$23,28)</f>
        <v>0</v>
      </c>
      <c r="AD32" s="430">
        <f>VLOOKUP($A$1,$A$18:$BS$23,29)</f>
        <v>0</v>
      </c>
      <c r="AE32" s="430">
        <f>VLOOKUP($A$1,$A$18:$BS$23,30)</f>
        <v>0</v>
      </c>
      <c r="AF32" s="430">
        <f>VLOOKUP($A$1,$A$18:$BS$23,31)</f>
        <v>0</v>
      </c>
      <c r="AG32" s="430">
        <f>VLOOKUP($A$1,$A$18:$BS$23,32)</f>
        <v>0</v>
      </c>
      <c r="AH32" s="430">
        <f>VLOOKUP($A$1,$A$18:$BS$23,33)</f>
        <v>0</v>
      </c>
      <c r="AI32" s="430">
        <f>VLOOKUP($A$1,$A$18:$BS$23,34)</f>
        <v>0</v>
      </c>
      <c r="AJ32" s="430">
        <f>VLOOKUP($A$1,$A$18:$BS$23,35)</f>
        <v>0</v>
      </c>
      <c r="AK32" s="430">
        <f>VLOOKUP($A$1,$A$18:$BS$23,36)</f>
        <v>0</v>
      </c>
      <c r="AL32" s="430">
        <f>VLOOKUP($A$1,$A$18:$BS$23,37)</f>
        <v>0</v>
      </c>
      <c r="AM32" s="430">
        <f>VLOOKUP($A$1,$A$18:$BS$23,38)</f>
        <v>0</v>
      </c>
      <c r="AN32" s="430">
        <f>VLOOKUP($A$1,$A$18:$BS$23,39)</f>
        <v>0</v>
      </c>
      <c r="AO32" s="430">
        <f>VLOOKUP($A$1,$A$18:$BS$23,40)</f>
        <v>0</v>
      </c>
      <c r="AP32" s="430">
        <f>VLOOKUP($A$1,$A$18:$BS$23,41)</f>
        <v>0</v>
      </c>
      <c r="AQ32" s="430">
        <f>VLOOKUP($A$1,$A$18:$BS$23,42)</f>
        <v>0</v>
      </c>
      <c r="AR32" s="430">
        <f>VLOOKUP($A$1,$A$18:$BS$23,43)</f>
        <v>0</v>
      </c>
      <c r="AS32" s="430">
        <f>VLOOKUP($A$1,$A$18:$BS$23,44)</f>
        <v>0</v>
      </c>
      <c r="AT32" s="430">
        <f>VLOOKUP($A$1,$A$18:$BS$23,45)</f>
        <v>0</v>
      </c>
      <c r="AU32" s="430">
        <f>VLOOKUP($A$1,$A$18:$BS$23,46)</f>
        <v>0</v>
      </c>
      <c r="AV32" s="430">
        <f>VLOOKUP($A$1,$A$18:$BS$23,47)</f>
        <v>0</v>
      </c>
      <c r="AW32" s="430">
        <f>VLOOKUP($A$1,$A$18:$BS$23,48)</f>
        <v>0</v>
      </c>
      <c r="AX32" s="430">
        <f>VLOOKUP($A$1,$A$18:$BS$23,49)</f>
        <v>0</v>
      </c>
      <c r="AY32" s="430">
        <f>VLOOKUP($A$1,$A$18:$BS$23,50)</f>
        <v>0</v>
      </c>
      <c r="AZ32" s="430">
        <f>VLOOKUP($A$1,$A$18:$BS$23,51)</f>
        <v>0</v>
      </c>
      <c r="BA32" s="430">
        <f>VLOOKUP($A$1,$A$18:$BS$23,52)</f>
        <v>0</v>
      </c>
      <c r="BB32" s="430">
        <f>VLOOKUP($A$1,$A$18:$BS$23,53)</f>
        <v>0</v>
      </c>
      <c r="BC32" s="430">
        <f>VLOOKUP($A$1,$A$18:$BS$23,53)</f>
        <v>0</v>
      </c>
      <c r="BD32" s="430">
        <f>VLOOKUP($A$1,$A$18:$BS$23,54)</f>
        <v>0</v>
      </c>
      <c r="BE32" s="430">
        <f>VLOOKUP($A$1,$A$18:$BS$23,55)</f>
        <v>0</v>
      </c>
      <c r="BF32" s="430">
        <f>VLOOKUP($A$1,$A$18:$BS$23,56)</f>
        <v>0</v>
      </c>
      <c r="BG32" s="430">
        <f>VLOOKUP($A$1,$A$18:$BS$23,57)</f>
        <v>0</v>
      </c>
      <c r="BH32" s="430">
        <f>VLOOKUP($A$1,$A$18:$BS$23,58)</f>
        <v>0</v>
      </c>
      <c r="BI32" s="430">
        <f>VLOOKUP($A$1,$A$18:$BS$23,59)</f>
        <v>0</v>
      </c>
      <c r="BJ32" s="430">
        <f>VLOOKUP($A$1,$A$18:$BS$23,60)</f>
        <v>0</v>
      </c>
      <c r="BK32" s="430">
        <f>VLOOKUP($A$1,$A$18:$BS$23,61)</f>
        <v>0</v>
      </c>
      <c r="BL32" s="430">
        <f>VLOOKUP($A$1,$A$18:$BS$23,62)</f>
        <v>0</v>
      </c>
      <c r="BM32" s="430">
        <f>VLOOKUP($A$1,$A$18:$BS$23,63)</f>
        <v>0</v>
      </c>
      <c r="BN32" s="430">
        <f>VLOOKUP($A$1,$A$18:$BS$23,64)</f>
        <v>0</v>
      </c>
      <c r="BO32" s="430">
        <f>VLOOKUP($A$1,$A$18:$BS$23,65)</f>
        <v>0</v>
      </c>
      <c r="BP32" s="430">
        <f>VLOOKUP($A$1,$A$18:$BS$23,66)</f>
        <v>0</v>
      </c>
      <c r="BQ32" s="430">
        <f>VLOOKUP($A$1,$A$18:$BS$23,67)</f>
        <v>0</v>
      </c>
      <c r="BR32" s="430">
        <f>VLOOKUP($A$1,$A$18:$BS$23,68)</f>
        <v>0</v>
      </c>
      <c r="BS32" s="430">
        <f>VLOOKUP($A$1,$A$18:$BS$23,69)</f>
        <v>0</v>
      </c>
      <c r="BT32" s="431">
        <f>VLOOKUP($A$1,$A$18:$BS$23,70)</f>
        <v>0</v>
      </c>
    </row>
    <row r="33" spans="1:17">
      <c r="A33" s="176"/>
      <c r="B33" s="176"/>
      <c r="C33" s="176"/>
      <c r="D33" s="176"/>
      <c r="E33" s="176"/>
      <c r="F33" s="176"/>
      <c r="L33" s="208"/>
      <c r="M33" s="176"/>
      <c r="N33" s="208"/>
      <c r="O33" s="208"/>
      <c r="P33" s="176"/>
      <c r="Q33" s="176"/>
    </row>
    <row r="34" spans="1:17">
      <c r="A34" s="176"/>
      <c r="B34" s="176"/>
      <c r="C34" s="176"/>
      <c r="D34" s="118"/>
      <c r="E34" s="118"/>
      <c r="F34" s="176"/>
      <c r="L34" s="176"/>
      <c r="M34" s="176"/>
      <c r="N34" s="208"/>
      <c r="O34" s="208"/>
      <c r="P34" s="176"/>
      <c r="Q34" s="208"/>
    </row>
    <row r="35" spans="1:17">
      <c r="A35" s="208"/>
      <c r="B35" s="176"/>
      <c r="C35" s="176"/>
      <c r="D35" s="176"/>
      <c r="E35" s="176"/>
      <c r="F35" s="176"/>
      <c r="L35" s="176"/>
      <c r="M35" s="176"/>
      <c r="N35" s="208"/>
      <c r="O35" s="208"/>
      <c r="P35" s="176"/>
      <c r="Q35" s="208"/>
    </row>
    <row r="36" spans="1:17">
      <c r="A36" s="208"/>
      <c r="B36" s="176"/>
      <c r="C36" s="176"/>
      <c r="D36" s="176"/>
      <c r="E36" s="176"/>
      <c r="F36" s="176"/>
      <c r="L36" s="176"/>
      <c r="M36" s="176"/>
      <c r="N36" s="208"/>
      <c r="O36" s="208"/>
      <c r="P36" s="176"/>
      <c r="Q36" s="208"/>
    </row>
    <row r="37" spans="1:17" ht="15.75" thickBot="1">
      <c r="A37" s="208"/>
      <c r="B37" s="176"/>
      <c r="D37" s="118"/>
      <c r="E37" s="118"/>
      <c r="F37" s="176"/>
      <c r="L37" s="176"/>
      <c r="M37" s="176"/>
      <c r="N37" s="208"/>
      <c r="O37" s="208"/>
      <c r="P37" s="176"/>
      <c r="Q37" s="208"/>
    </row>
    <row r="38" spans="1:17" ht="15.75" thickBot="1">
      <c r="A38" s="208"/>
      <c r="B38" s="176"/>
      <c r="C38" s="176"/>
      <c r="D38" s="176"/>
      <c r="E38" s="176"/>
      <c r="F38" s="176"/>
      <c r="J38" s="582" t="s">
        <v>1210</v>
      </c>
      <c r="L38" s="176"/>
      <c r="M38" s="176"/>
      <c r="N38" s="208"/>
      <c r="O38" s="208"/>
      <c r="P38" s="176"/>
      <c r="Q38" s="208"/>
    </row>
    <row r="39" spans="1:17" ht="16.5" thickBot="1">
      <c r="A39" s="208"/>
      <c r="B39" s="176"/>
      <c r="C39" s="547" t="s">
        <v>1189</v>
      </c>
      <c r="D39" s="548"/>
      <c r="E39" s="548"/>
      <c r="F39" s="548"/>
      <c r="G39" s="548"/>
      <c r="H39" s="549"/>
      <c r="J39" s="579" t="s">
        <v>1192</v>
      </c>
      <c r="K39" s="586" t="s">
        <v>1207</v>
      </c>
      <c r="L39" s="580" t="s">
        <v>1193</v>
      </c>
      <c r="M39" s="585" t="s">
        <v>1194</v>
      </c>
      <c r="N39" s="585"/>
      <c r="O39" s="581" t="s">
        <v>1195</v>
      </c>
      <c r="P39" s="208"/>
      <c r="Q39" s="208"/>
    </row>
    <row r="40" spans="1:17" ht="15.75" thickBot="1">
      <c r="A40" s="208"/>
      <c r="B40" s="176"/>
      <c r="C40" s="543"/>
      <c r="D40" s="568" t="s">
        <v>1185</v>
      </c>
      <c r="E40" s="569" t="s">
        <v>1186</v>
      </c>
      <c r="F40" s="18"/>
      <c r="G40" s="18"/>
      <c r="H40" s="364"/>
      <c r="J40" s="82" t="s">
        <v>1204</v>
      </c>
      <c r="K40" s="405" t="s">
        <v>1204</v>
      </c>
      <c r="L40" s="405" t="s">
        <v>1204</v>
      </c>
      <c r="M40" s="405" t="s">
        <v>1212</v>
      </c>
      <c r="N40" s="405" t="s">
        <v>1204</v>
      </c>
      <c r="O40" s="406"/>
      <c r="P40" s="208"/>
      <c r="Q40" s="208"/>
    </row>
    <row r="41" spans="1:17">
      <c r="A41" s="208"/>
      <c r="B41" s="176"/>
      <c r="C41" s="543"/>
      <c r="D41" s="558">
        <v>1</v>
      </c>
      <c r="E41" s="559">
        <v>1</v>
      </c>
      <c r="F41" s="562">
        <v>0</v>
      </c>
      <c r="G41" s="563" t="s">
        <v>652</v>
      </c>
      <c r="H41" s="364"/>
      <c r="J41" s="106" t="s">
        <v>1214</v>
      </c>
      <c r="K41" s="208" t="s">
        <v>1215</v>
      </c>
      <c r="L41" s="587" t="s">
        <v>1216</v>
      </c>
      <c r="M41" s="583" t="s">
        <v>1217</v>
      </c>
      <c r="N41" s="583" t="s">
        <v>1227</v>
      </c>
      <c r="O41" s="574"/>
      <c r="P41" s="208"/>
      <c r="Q41" s="208"/>
    </row>
    <row r="42" spans="1:17">
      <c r="A42" s="208"/>
      <c r="B42" s="176"/>
      <c r="C42" s="543"/>
      <c r="D42" s="558">
        <v>2</v>
      </c>
      <c r="E42" s="559">
        <v>1</v>
      </c>
      <c r="F42" s="564">
        <v>1</v>
      </c>
      <c r="G42" s="565" t="s">
        <v>653</v>
      </c>
      <c r="H42" s="364"/>
      <c r="J42" s="543" t="s">
        <v>1201</v>
      </c>
      <c r="K42" s="18" t="s">
        <v>1213</v>
      </c>
      <c r="L42" s="573" t="s">
        <v>1202</v>
      </c>
      <c r="M42" s="583" t="s">
        <v>1203</v>
      </c>
      <c r="N42" s="583" t="s">
        <v>1225</v>
      </c>
      <c r="O42" s="574"/>
      <c r="P42" s="208"/>
      <c r="Q42" s="208"/>
    </row>
    <row r="43" spans="1:17" ht="15.75" thickBot="1">
      <c r="A43" s="208"/>
      <c r="B43" s="176"/>
      <c r="C43" s="543"/>
      <c r="D43" s="558">
        <v>3</v>
      </c>
      <c r="E43" s="559">
        <v>2</v>
      </c>
      <c r="F43" s="566">
        <v>2</v>
      </c>
      <c r="G43" s="567" t="s">
        <v>654</v>
      </c>
      <c r="H43" s="364"/>
      <c r="J43" s="551" t="s">
        <v>1228</v>
      </c>
      <c r="K43" s="552" t="s">
        <v>1218</v>
      </c>
      <c r="L43" s="595" t="s">
        <v>1229</v>
      </c>
      <c r="M43" s="584" t="s">
        <v>1230</v>
      </c>
      <c r="N43" s="584" t="s">
        <v>1227</v>
      </c>
      <c r="O43" s="575"/>
      <c r="P43" s="208"/>
      <c r="Q43" s="208"/>
    </row>
    <row r="44" spans="1:17" ht="15.75" thickBot="1">
      <c r="A44" s="208"/>
      <c r="B44" s="176"/>
      <c r="C44" s="543"/>
      <c r="D44" s="558">
        <v>4</v>
      </c>
      <c r="E44" s="559">
        <v>2</v>
      </c>
      <c r="F44" s="18"/>
      <c r="G44" s="18"/>
      <c r="H44" s="364"/>
      <c r="J44" s="106" t="s">
        <v>1221</v>
      </c>
      <c r="K44" s="208" t="s">
        <v>1222</v>
      </c>
      <c r="L44" s="587" t="s">
        <v>1219</v>
      </c>
      <c r="M44" s="583" t="s">
        <v>1223</v>
      </c>
      <c r="N44" s="583" t="s">
        <v>1227</v>
      </c>
      <c r="O44" s="574"/>
      <c r="P44" s="208"/>
      <c r="Q44" s="208"/>
    </row>
    <row r="45" spans="1:17">
      <c r="A45" s="208"/>
      <c r="B45" s="176"/>
      <c r="C45" s="543"/>
      <c r="D45" s="558">
        <v>5</v>
      </c>
      <c r="E45" s="559">
        <v>3</v>
      </c>
      <c r="F45" s="200" t="s">
        <v>1185</v>
      </c>
      <c r="G45" s="553">
        <f>Etape2!M5</f>
        <v>3</v>
      </c>
      <c r="H45" s="364"/>
      <c r="J45" s="106" t="s">
        <v>1231</v>
      </c>
      <c r="K45" s="208" t="s">
        <v>1232</v>
      </c>
      <c r="L45" s="587" t="s">
        <v>1219</v>
      </c>
      <c r="M45" s="583" t="s">
        <v>1233</v>
      </c>
      <c r="N45" s="583" t="s">
        <v>1234</v>
      </c>
      <c r="O45" s="574"/>
      <c r="P45" s="208"/>
      <c r="Q45" s="208"/>
    </row>
    <row r="46" spans="1:17" ht="15.75" thickBot="1">
      <c r="A46" s="208"/>
      <c r="B46" s="176"/>
      <c r="C46" s="543"/>
      <c r="D46" s="558">
        <v>6</v>
      </c>
      <c r="E46" s="559">
        <v>3</v>
      </c>
      <c r="F46" s="200" t="s">
        <v>1190</v>
      </c>
      <c r="G46" s="554">
        <f>F51</f>
        <v>0</v>
      </c>
      <c r="H46" s="364"/>
      <c r="J46" s="543" t="s">
        <v>1198</v>
      </c>
      <c r="K46" s="18" t="s">
        <v>1213</v>
      </c>
      <c r="L46" s="573" t="s">
        <v>1199</v>
      </c>
      <c r="M46" s="583" t="s">
        <v>1200</v>
      </c>
      <c r="N46" s="583" t="s">
        <v>1226</v>
      </c>
      <c r="O46" s="574"/>
      <c r="P46" s="208"/>
      <c r="Q46" s="208"/>
    </row>
    <row r="47" spans="1:17" ht="15.75" thickBot="1">
      <c r="A47" s="208"/>
      <c r="B47" s="176"/>
      <c r="C47" s="543"/>
      <c r="D47" s="560">
        <v>7</v>
      </c>
      <c r="E47" s="561">
        <v>5</v>
      </c>
      <c r="F47" s="18"/>
      <c r="G47" s="18"/>
      <c r="H47" s="364"/>
      <c r="J47" s="106" t="s">
        <v>1224</v>
      </c>
      <c r="K47" s="208" t="s">
        <v>1218</v>
      </c>
      <c r="L47" s="587" t="s">
        <v>1219</v>
      </c>
      <c r="M47" s="583" t="s">
        <v>1220</v>
      </c>
      <c r="N47" s="583" t="s">
        <v>1226</v>
      </c>
      <c r="O47" s="364"/>
    </row>
    <row r="48" spans="1:17" ht="15.75" thickBot="1">
      <c r="A48" s="208"/>
      <c r="B48" s="208"/>
      <c r="C48" s="543"/>
      <c r="D48" s="18"/>
      <c r="E48" s="18"/>
      <c r="F48" s="18"/>
      <c r="G48" s="18"/>
      <c r="H48" s="364"/>
      <c r="J48" s="83" t="s">
        <v>1196</v>
      </c>
      <c r="K48" s="409" t="s">
        <v>1212</v>
      </c>
      <c r="L48" s="544" t="str">
        <f>CONCATENATE(E53," ",G43)</f>
        <v>2 G</v>
      </c>
      <c r="M48" s="584" t="s">
        <v>1197</v>
      </c>
      <c r="N48" s="584" t="s">
        <v>70</v>
      </c>
      <c r="O48" s="410"/>
    </row>
    <row r="49" spans="1:20" ht="15.75" thickBot="1">
      <c r="A49" s="208"/>
      <c r="B49" s="208"/>
      <c r="C49" s="543"/>
      <c r="D49" s="545" t="s">
        <v>1187</v>
      </c>
      <c r="E49" s="546"/>
      <c r="F49" s="555">
        <f>IF(OR(Etape2!B13=G49,Etape2!B14=G49,Etape2!B15=G49,Etape2!B16=G49,Etape2!B17=G49,Etape2!B18=G49,Etape2!B19=G49,Etape2!B20=G49,Etape2!B21=G49,Etape2!B22=G49),1,0)</f>
        <v>0</v>
      </c>
      <c r="G49" s="176" t="str">
        <f>Tables!$B$122</f>
        <v>(5) Arme fatale</v>
      </c>
      <c r="H49" s="364"/>
    </row>
    <row r="50" spans="1:20" ht="15.75" thickBot="1">
      <c r="A50" s="208"/>
      <c r="B50" s="208"/>
      <c r="C50" s="543"/>
      <c r="D50" s="545" t="s">
        <v>1188</v>
      </c>
      <c r="E50" s="546"/>
      <c r="F50" s="556">
        <f>IF(OR(Etape2!B40=G50,Etape2!B41=G50,Etape2!B42=G50,Etape2!B43=G50),1,0)</f>
        <v>0</v>
      </c>
      <c r="G50" s="18" t="str">
        <f>Tables!$B$190</f>
        <v>Armes corporelles</v>
      </c>
      <c r="H50" s="364"/>
    </row>
    <row r="51" spans="1:20" ht="15.75" thickBot="1">
      <c r="A51" s="208"/>
      <c r="B51" s="208"/>
      <c r="C51" s="550"/>
      <c r="E51" s="176"/>
      <c r="F51" s="557">
        <f>SUM(F49:F50)</f>
        <v>0</v>
      </c>
      <c r="G51" s="260"/>
      <c r="H51" s="364"/>
      <c r="J51" s="103"/>
      <c r="L51" s="103"/>
      <c r="S51" s="103"/>
      <c r="T51" s="103"/>
    </row>
    <row r="52" spans="1:20" ht="15.75" thickBot="1">
      <c r="A52" s="208"/>
      <c r="B52" s="208"/>
      <c r="C52" s="550"/>
      <c r="E52" s="176"/>
      <c r="F52" s="208"/>
      <c r="G52" s="260"/>
      <c r="H52" s="364"/>
      <c r="J52" s="103"/>
      <c r="L52" s="103"/>
      <c r="S52" s="103"/>
      <c r="T52" s="103"/>
    </row>
    <row r="53" spans="1:20" ht="15.75" thickBot="1">
      <c r="A53" s="208"/>
      <c r="B53" s="208"/>
      <c r="C53" s="551"/>
      <c r="D53" s="487" t="s">
        <v>1191</v>
      </c>
      <c r="E53" s="571">
        <f>VLOOKUP(G45,D41:E47,2)</f>
        <v>2</v>
      </c>
      <c r="F53" s="570" t="str">
        <f>VLOOKUP(F51,F41:G43,2)</f>
        <v>I</v>
      </c>
      <c r="G53" s="265"/>
      <c r="H53" s="572" t="str">
        <f>CONCATENATE(E53,"  ",F53)</f>
        <v>2  I</v>
      </c>
      <c r="J53" s="103"/>
      <c r="L53" s="103"/>
      <c r="S53" s="103"/>
      <c r="T53" s="103"/>
    </row>
    <row r="54" spans="1:20">
      <c r="A54" s="208"/>
      <c r="B54" s="208"/>
      <c r="C54" s="208"/>
      <c r="D54" s="208"/>
      <c r="E54" s="176"/>
      <c r="F54" s="208"/>
      <c r="G54" s="103"/>
      <c r="J54" s="103"/>
      <c r="L54" s="103"/>
      <c r="S54" s="103"/>
      <c r="T54" s="103"/>
    </row>
    <row r="55" spans="1:20">
      <c r="A55" s="208"/>
      <c r="B55" s="208"/>
      <c r="C55" s="208"/>
      <c r="D55" s="208"/>
      <c r="E55" s="176"/>
      <c r="F55" s="208"/>
      <c r="G55" s="103"/>
      <c r="J55" s="103"/>
      <c r="L55" s="103"/>
      <c r="S55" s="103"/>
      <c r="T55" s="103"/>
    </row>
    <row r="56" spans="1:20">
      <c r="A56" s="208"/>
      <c r="B56" s="208"/>
      <c r="C56" s="208"/>
      <c r="D56" s="208"/>
      <c r="E56" s="176"/>
      <c r="F56" s="208"/>
      <c r="G56" s="103"/>
      <c r="J56" s="103"/>
      <c r="L56" s="103"/>
      <c r="S56" s="103"/>
      <c r="T56" s="103"/>
    </row>
    <row r="57" spans="1:20">
      <c r="A57" s="208"/>
      <c r="B57" s="208"/>
      <c r="C57" s="208"/>
      <c r="D57" s="208"/>
      <c r="E57" s="176"/>
      <c r="F57" s="208"/>
      <c r="G57" s="103"/>
      <c r="J57" s="103"/>
      <c r="L57" s="103"/>
      <c r="S57" s="103"/>
      <c r="T57" s="103"/>
    </row>
    <row r="58" spans="1:20">
      <c r="A58" s="208"/>
      <c r="B58" s="208"/>
      <c r="C58" s="208"/>
      <c r="D58" s="208"/>
      <c r="E58" s="176"/>
      <c r="F58" s="208"/>
      <c r="G58" s="103"/>
      <c r="J58" s="103"/>
      <c r="L58" s="103"/>
      <c r="S58" s="103"/>
      <c r="T58" s="103"/>
    </row>
    <row r="59" spans="1:20">
      <c r="A59" s="208"/>
      <c r="B59" s="208"/>
      <c r="C59" s="208"/>
      <c r="D59" s="208"/>
      <c r="E59" s="176"/>
      <c r="F59" s="208"/>
      <c r="G59" s="103"/>
      <c r="J59" s="103"/>
      <c r="L59" s="103"/>
      <c r="S59" s="103"/>
      <c r="T59" s="103"/>
    </row>
    <row r="60" spans="1:20">
      <c r="A60" s="208"/>
      <c r="B60" s="208"/>
      <c r="C60" s="208"/>
      <c r="D60" s="208"/>
      <c r="E60" s="176"/>
      <c r="F60" s="208"/>
      <c r="G60" s="103"/>
      <c r="J60" s="103"/>
      <c r="L60" s="103"/>
      <c r="S60" s="103"/>
      <c r="T60" s="103"/>
    </row>
    <row r="61" spans="1:20">
      <c r="G61" s="103"/>
      <c r="J61" s="103"/>
      <c r="L61" s="103"/>
      <c r="S61" s="103"/>
      <c r="T61" s="103"/>
    </row>
    <row r="62" spans="1:20">
      <c r="G62" s="103"/>
      <c r="J62" s="103"/>
      <c r="L62" s="103"/>
      <c r="S62" s="103"/>
      <c r="T62" s="103"/>
    </row>
    <row r="63" spans="1:20">
      <c r="G63" s="103"/>
      <c r="J63" s="103"/>
      <c r="L63" s="103"/>
      <c r="S63" s="103"/>
      <c r="T63" s="103"/>
    </row>
    <row r="64" spans="1:20">
      <c r="G64" s="103"/>
      <c r="J64" s="103"/>
      <c r="L64" s="103"/>
      <c r="S64" s="103"/>
      <c r="T64" s="103"/>
    </row>
    <row r="65" spans="7:20">
      <c r="G65" s="103"/>
      <c r="J65" s="103"/>
      <c r="L65" s="103"/>
      <c r="S65" s="103"/>
      <c r="T65" s="103"/>
    </row>
    <row r="66" spans="7:20">
      <c r="G66" s="103"/>
      <c r="J66" s="103"/>
      <c r="L66" s="103"/>
      <c r="S66" s="103"/>
      <c r="T66" s="103"/>
    </row>
    <row r="67" spans="7:20">
      <c r="G67" s="103"/>
      <c r="J67" s="103"/>
      <c r="L67" s="103"/>
      <c r="S67" s="103"/>
      <c r="T67" s="103"/>
    </row>
    <row r="68" spans="7:20">
      <c r="G68" s="103"/>
      <c r="J68" s="103"/>
      <c r="L68" s="103"/>
      <c r="S68" s="103"/>
      <c r="T68" s="103"/>
    </row>
    <row r="69" spans="7:20">
      <c r="G69" s="103"/>
      <c r="J69" s="103"/>
      <c r="L69" s="103"/>
      <c r="S69" s="103"/>
      <c r="T69" s="103"/>
    </row>
    <row r="70" spans="7:20">
      <c r="G70" s="103"/>
      <c r="J70" s="103"/>
      <c r="L70" s="103"/>
      <c r="S70" s="103"/>
      <c r="T70" s="103"/>
    </row>
    <row r="71" spans="7:20">
      <c r="G71" s="103"/>
      <c r="J71" s="103"/>
      <c r="L71" s="103"/>
      <c r="S71" s="103"/>
      <c r="T71" s="103"/>
    </row>
  </sheetData>
  <sortState ref="J41:N48">
    <sortCondition ref="J41:J48"/>
    <sortCondition ref="K41:K48"/>
    <sortCondition ref="L41:L48"/>
    <sortCondition ref="M41:M48"/>
    <sortCondition ref="N41:N48"/>
  </sortState>
  <mergeCells count="4">
    <mergeCell ref="M39:N39"/>
    <mergeCell ref="D50:E50"/>
    <mergeCell ref="D49:E49"/>
    <mergeCell ref="C39:H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16</vt:i4>
      </vt:variant>
    </vt:vector>
  </HeadingPairs>
  <TitlesOfParts>
    <vt:vector size="22" baseType="lpstr">
      <vt:lpstr>Index</vt:lpstr>
      <vt:lpstr>Etape1</vt:lpstr>
      <vt:lpstr>Etape2</vt:lpstr>
      <vt:lpstr>FICHE</vt:lpstr>
      <vt:lpstr>Tables</vt:lpstr>
      <vt:lpstr>Tables2</vt:lpstr>
      <vt:lpstr>_</vt:lpstr>
      <vt:lpstr>Acosta</vt:lpstr>
      <vt:lpstr>Tables!Apti_cano</vt:lpstr>
      <vt:lpstr>Apti_Cano</vt:lpstr>
      <vt:lpstr>colav</vt:lpstr>
      <vt:lpstr>colc</vt:lpstr>
      <vt:lpstr>cold</vt:lpstr>
      <vt:lpstr>color</vt:lpstr>
      <vt:lpstr>colv</vt:lpstr>
      <vt:lpstr>Connaissance__OCG</vt:lpstr>
      <vt:lpstr>Environnement__Urbain</vt:lpstr>
      <vt:lpstr>Origines</vt:lpstr>
      <vt:lpstr>score_faible</vt:lpstr>
      <vt:lpstr>score_fort</vt:lpstr>
      <vt:lpstr>Etape2!Zone_d_impression</vt:lpstr>
      <vt:lpstr>FICHE!Zone_d_impression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gselaquet</dc:creator>
  <cp:lastModifiedBy>gselaquet</cp:lastModifiedBy>
  <cp:lastPrinted>2012-12-16T22:59:30Z</cp:lastPrinted>
  <dcterms:created xsi:type="dcterms:W3CDTF">2012-12-12T13:22:12Z</dcterms:created>
  <dcterms:modified xsi:type="dcterms:W3CDTF">2012-12-19T12:22:53Z</dcterms:modified>
</cp:coreProperties>
</file>