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915" windowHeight="8475" tabRatio="22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K14" i="1" l="1"/>
  <c r="K15" i="1"/>
  <c r="K4" i="1"/>
  <c r="K1" i="1"/>
  <c r="K13" i="1"/>
  <c r="K12" i="1"/>
  <c r="K10" i="1"/>
  <c r="K9" i="1"/>
  <c r="K7" i="1"/>
  <c r="K5" i="1"/>
  <c r="K6" i="1"/>
  <c r="K3" i="1"/>
  <c r="K2" i="1"/>
  <c r="G19" i="1"/>
  <c r="G9" i="1"/>
  <c r="G8" i="1"/>
  <c r="G11" i="1"/>
  <c r="G5" i="1"/>
  <c r="G3" i="1"/>
  <c r="G1" i="1"/>
  <c r="G2" i="1"/>
  <c r="G15" i="1"/>
  <c r="G14" i="1"/>
  <c r="G13" i="1"/>
  <c r="G12" i="1"/>
  <c r="G10" i="1"/>
  <c r="G7" i="1"/>
  <c r="G6" i="1"/>
  <c r="G4" i="1"/>
  <c r="E19" i="1"/>
  <c r="I9" i="1"/>
  <c r="I8" i="1"/>
  <c r="F15" i="1"/>
  <c r="F14" i="1"/>
  <c r="F13" i="1"/>
  <c r="F12" i="1"/>
  <c r="F11" i="1"/>
  <c r="F10" i="1"/>
  <c r="F9" i="1"/>
  <c r="F8" i="1"/>
  <c r="F7" i="1"/>
  <c r="I7" i="1" s="1"/>
  <c r="F6" i="1"/>
  <c r="F5" i="1"/>
  <c r="F4" i="1"/>
  <c r="F3" i="1"/>
  <c r="F2" i="1"/>
  <c r="F1" i="1"/>
  <c r="I2" i="1"/>
  <c r="I3" i="1"/>
  <c r="I1" i="1"/>
  <c r="I15" i="1"/>
  <c r="I5" i="1"/>
  <c r="I4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80" i="1" s="1"/>
  <c r="I59" i="1"/>
  <c r="I14" i="1" l="1"/>
  <c r="I13" i="1"/>
  <c r="I12" i="1"/>
  <c r="I11" i="1"/>
  <c r="I10" i="1"/>
  <c r="I6" i="1"/>
  <c r="D80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E80" i="1"/>
  <c r="F80" i="1"/>
  <c r="C80" i="1"/>
  <c r="B80" i="1"/>
  <c r="E11" i="1"/>
  <c r="E8" i="1"/>
  <c r="E7" i="1"/>
  <c r="H80" i="1" l="1"/>
  <c r="I80" i="1"/>
</calcChain>
</file>

<file path=xl/sharedStrings.xml><?xml version="1.0" encoding="utf-8"?>
<sst xmlns="http://schemas.openxmlformats.org/spreadsheetml/2006/main" count="204" uniqueCount="180">
  <si>
    <t>Domaines</t>
  </si>
  <si>
    <t>Maison-Clair</t>
  </si>
  <si>
    <t>Montsuif</t>
  </si>
  <si>
    <t>Rudegrange</t>
  </si>
  <si>
    <t>Richeseaux</t>
  </si>
  <si>
    <t>Sasivec</t>
  </si>
  <si>
    <t>Basbourg</t>
  </si>
  <si>
    <t>Belledouves</t>
  </si>
  <si>
    <t>Mortepuy</t>
  </si>
  <si>
    <t>Picpère</t>
  </si>
  <si>
    <t>Hauteherbe</t>
  </si>
  <si>
    <t>Malemotte</t>
  </si>
  <si>
    <t>Aiguefolle</t>
  </si>
  <si>
    <t>Grandfond</t>
  </si>
  <si>
    <t>Castelfou</t>
  </si>
  <si>
    <t>Laimort</t>
  </si>
  <si>
    <t>Paysan</t>
  </si>
  <si>
    <t>Riche fermier</t>
  </si>
  <si>
    <t>Aubergiste</t>
  </si>
  <si>
    <t>Commerçant urbain</t>
  </si>
  <si>
    <t>Mercenaire</t>
  </si>
  <si>
    <t>Artisan talentueux</t>
  </si>
  <si>
    <t>Receleur type</t>
  </si>
  <si>
    <t>Médecin</t>
  </si>
  <si>
    <t>Maître-artisan</t>
  </si>
  <si>
    <t>Noble</t>
  </si>
  <si>
    <t>Seigneur sorcier</t>
  </si>
  <si>
    <t>Aristocrate</t>
  </si>
  <si>
    <t>15-25</t>
  </si>
  <si>
    <t>25-45</t>
  </si>
  <si>
    <t>35-50</t>
  </si>
  <si>
    <t>35-65</t>
  </si>
  <si>
    <t>35-80</t>
  </si>
  <si>
    <t>40-135</t>
  </si>
  <si>
    <t>50-165</t>
  </si>
  <si>
    <t>65-250</t>
  </si>
  <si>
    <t>250-835</t>
  </si>
  <si>
    <t>415-835</t>
  </si>
  <si>
    <t>500-1350</t>
  </si>
  <si>
    <t>1700+</t>
  </si>
  <si>
    <t>Pa</t>
  </si>
  <si>
    <t>Fermier</t>
  </si>
  <si>
    <t>Batelier</t>
  </si>
  <si>
    <t>Bucheron</t>
  </si>
  <si>
    <t>Maréchal ferrant</t>
  </si>
  <si>
    <t>Soldat</t>
  </si>
  <si>
    <t>Marchand</t>
  </si>
  <si>
    <t>Rebouteuse</t>
  </si>
  <si>
    <t>Prêtre</t>
  </si>
  <si>
    <t>Mendiant</t>
  </si>
  <si>
    <t>Scribe</t>
  </si>
  <si>
    <t>Femmes</t>
  </si>
  <si>
    <t>Hommes</t>
  </si>
  <si>
    <t>Métiers</t>
  </si>
  <si>
    <t>Nombre</t>
  </si>
  <si>
    <t>Enfant (-14 ans)</t>
  </si>
  <si>
    <t>Poterie</t>
  </si>
  <si>
    <t>Artisan (cuir/tapisserie)</t>
  </si>
  <si>
    <t>Vieux (+45 ans dont 2 anciens du village)</t>
  </si>
  <si>
    <t>Berger gasconnais</t>
  </si>
  <si>
    <t>Fermier riche (Bourgeois)</t>
  </si>
  <si>
    <t>Femme au foyer</t>
  </si>
  <si>
    <t>Revenus mensuels (Pa/personne)</t>
  </si>
  <si>
    <t>Revenus totaux (Pa)</t>
  </si>
  <si>
    <t>Totaux</t>
  </si>
  <si>
    <t>soit 79 Co.</t>
  </si>
  <si>
    <t>Récupéré par les personnes</t>
  </si>
  <si>
    <t>Pour les impôts 50%)</t>
  </si>
  <si>
    <t>Pour la ville (10%)</t>
  </si>
  <si>
    <t>Messager (-14 ans)</t>
  </si>
  <si>
    <t>Professeur (itinérant 1 fois/2 mois)</t>
  </si>
  <si>
    <t>Dépenses personnel</t>
  </si>
  <si>
    <t>Dépenses de terrain</t>
  </si>
  <si>
    <t>Pertes</t>
  </si>
  <si>
    <t>dont 2 Pa volées</t>
  </si>
  <si>
    <t>/</t>
  </si>
  <si>
    <t>Facteur d'impact</t>
  </si>
  <si>
    <t>Valeurs de références</t>
  </si>
  <si>
    <t>Infos diverses</t>
  </si>
  <si>
    <t>Espérance de vie = 45-55 ans</t>
  </si>
  <si>
    <t>Impôts = Dimes, Chevalier, Roi,…</t>
  </si>
  <si>
    <t>Denrées particulières</t>
  </si>
  <si>
    <t>Pêche</t>
  </si>
  <si>
    <t>Fromage</t>
  </si>
  <si>
    <t>Elevage</t>
  </si>
  <si>
    <t>Mine d'or/fer</t>
  </si>
  <si>
    <t>Mouton/Laine/Tissus</t>
  </si>
  <si>
    <t>Le domaine/les gens vous appartiennent ==&gt; Fuites des personnes vu le manque de chef de village.</t>
  </si>
  <si>
    <t>Pégase/Fermes</t>
  </si>
  <si>
    <t>Vin</t>
  </si>
  <si>
    <t>Marécage</t>
  </si>
  <si>
    <t>Mine pierre</t>
  </si>
  <si>
    <t>Bijous/chevaux</t>
  </si>
  <si>
    <t>Problèmes rencontrés à Maison-Clair</t>
  </si>
  <si>
    <t>Incursions Orques</t>
  </si>
  <si>
    <t>Terrier Gobelin</t>
  </si>
  <si>
    <t>Impossibilité d'utiliser les ressources de la montagne</t>
  </si>
  <si>
    <t>Terrain disponible réduit</t>
  </si>
  <si>
    <t>Attaque directe impossible</t>
  </si>
  <si>
    <t>Attaque directe possible</t>
  </si>
  <si>
    <t>Draguage (nécessite un ingénieur)</t>
  </si>
  <si>
    <t>Groupe d'homme bête dans la forêt</t>
  </si>
  <si>
    <t>Empêche les trajets/Braconne sur vos terres</t>
  </si>
  <si>
    <t>Toutes les transactions sont surveillées par le Chevalier de ChateauMouss</t>
  </si>
  <si>
    <t>La chasse est possible selon des normes très strictes données par ChateauMouss</t>
  </si>
  <si>
    <t>Pillage/tue</t>
  </si>
  <si>
    <t>Manque d'allier</t>
  </si>
  <si>
    <t>Groupe de 5 et de 10</t>
  </si>
  <si>
    <t xml:space="preserve">Groupe de 5 - 8 </t>
  </si>
  <si>
    <t>Difficile</t>
  </si>
  <si>
    <t>Moyen</t>
  </si>
  <si>
    <t>Facile</t>
  </si>
  <si>
    <t>Facile-Difficile</t>
  </si>
  <si>
    <t>Groupe de hors-la-loi x2 dans la forêt</t>
  </si>
  <si>
    <t>Pas de rébellion possible, Tentative d'étouffement par les voisins</t>
  </si>
  <si>
    <t>Tentent de récupérer votre terrain</t>
  </si>
  <si>
    <t>Etouffement par les voisins hostiles</t>
  </si>
  <si>
    <t>Taxes trop importantes (50-75%)</t>
  </si>
  <si>
    <t>Perte d'un grand nombre de villageois</t>
  </si>
  <si>
    <t>Hors la loi, plus de seigneur, Appaté par les voisins,…</t>
  </si>
  <si>
    <t>Perte importante de bénéfices pour le domaine</t>
  </si>
  <si>
    <t>Rebelle</t>
  </si>
  <si>
    <t>Un agitateur sévit dans la région (34 hommes)</t>
  </si>
  <si>
    <t>Description</t>
  </si>
  <si>
    <t>Difficulté</t>
  </si>
  <si>
    <t>Alliers, Diviser, Récupérer,…</t>
  </si>
  <si>
    <t>Croisade</t>
  </si>
  <si>
    <t>Le roi a besoin de plus de croisés</t>
  </si>
  <si>
    <t>Alliers, Payer, Equipement,…</t>
  </si>
  <si>
    <t>Le village ne fait rien pour faire avancer "la quête"</t>
  </si>
  <si>
    <t>"Quête"</t>
  </si>
  <si>
    <t>Trouver le Graal ou une relique</t>
  </si>
  <si>
    <t>Rebelle, Voisins, Appater, Envahir</t>
  </si>
  <si>
    <t>Négocier, Voler, Rebelle,…</t>
  </si>
  <si>
    <t>Envahir, Alliers, Négocier</t>
  </si>
  <si>
    <t>Négocier, Payer, Rebelle, Elfe, Nain,…</t>
  </si>
  <si>
    <t>Vols</t>
  </si>
  <si>
    <t>Main d'œuvre qualifiée</t>
  </si>
  <si>
    <t>Prêtre un peu trop zélé</t>
  </si>
  <si>
    <t>Un voleur sévit dans votre village</t>
  </si>
  <si>
    <t>Pas de forgeron, soldat, secteur tertiaire,…</t>
  </si>
  <si>
    <t>Evincer</t>
  </si>
  <si>
    <t>Trouver, Punir,…</t>
  </si>
  <si>
    <t>Voir perte villageois</t>
  </si>
  <si>
    <t>Remettre le village à neuf</t>
  </si>
  <si>
    <t>Pas de construction durable, fort en ruine, …</t>
  </si>
  <si>
    <t>Négocier matières, ingénieur,…</t>
  </si>
  <si>
    <t>Gains</t>
  </si>
  <si>
    <t>Solutions</t>
  </si>
  <si>
    <t>Animosité</t>
  </si>
  <si>
    <t>Notoriété + , Terrain +15% superficie</t>
  </si>
  <si>
    <t>Notoriété + , Biens 200 Co, stop les incursions pour  1 ans</t>
  </si>
  <si>
    <t>Notoriété + , Biens 55 Co, 3 captifs</t>
  </si>
  <si>
    <t>Notoriété + , Biens 25 Co,</t>
  </si>
  <si>
    <t>Notoriété + , Biens 11 Co,</t>
  </si>
  <si>
    <t xml:space="preserve">Notoriété + </t>
  </si>
  <si>
    <t>Notoriété + , revenus augmenté en fonction des taxes</t>
  </si>
  <si>
    <t>Notoriété + , variable</t>
  </si>
  <si>
    <t>Notoriété + , récompense de 500 Co</t>
  </si>
  <si>
    <t>Notoriété + (fonction de ce qui est envoyé)</t>
  </si>
  <si>
    <t>Notoriété diminuée mais liberté d'action augmentée</t>
  </si>
  <si>
    <t>Notoriété = facilite les négociations, échanges, recrues,…mais augmente l'animosité (fonction de publicité faite)</t>
  </si>
  <si>
    <t>Notoriété + (vol de 10% des bénéfices)</t>
  </si>
  <si>
    <t>Notoriété +</t>
  </si>
  <si>
    <t>Caisse</t>
  </si>
  <si>
    <t>243 Pa</t>
  </si>
  <si>
    <t>Facteur de taille</t>
  </si>
  <si>
    <t>Habitants (5438)</t>
  </si>
  <si>
    <t>Croissance de 0,02%/an</t>
  </si>
  <si>
    <t>Revenu bruts (Co)</t>
  </si>
  <si>
    <t>Fonds propres (Co)</t>
  </si>
  <si>
    <t>Notoriété Brut</t>
  </si>
  <si>
    <t>Notoriété Nette</t>
  </si>
  <si>
    <t>Référence (1 à 5)</t>
  </si>
  <si>
    <t>Ennemi</t>
  </si>
  <si>
    <t>Neutre</t>
  </si>
  <si>
    <t>Allié</t>
  </si>
  <si>
    <t>Bon allié</t>
  </si>
  <si>
    <t>Aggressif</t>
  </si>
  <si>
    <t>Animosité: valeurs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</si>
</sst>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0" fillId="0" borderId="0" xfId="0" applyFont="1"/>
    <xf numFmtId="0" fontId="4" fillId="0" borderId="0" xfId="0" applyFont="1"/>
    <xf numFmtId="0" fontId="5" fillId="2" borderId="0" xfId="0" applyFont="1" applyFill="1"/>
    <xf numFmtId="0" fontId="3" fillId="0" borderId="0" xfId="0" applyFont="1"/>
    <xf numFmtId="9" fontId="0" fillId="0" borderId="0" xfId="0" applyNumberFormat="1" applyFont="1"/>
    <xf numFmtId="0" fontId="7" fillId="0" borderId="0" xfId="0" applyFont="1"/>
    <xf numFmtId="0" fontId="0" fillId="0" borderId="0" xfId="0" applyNumberFormat="1" applyFont="1"/>
    <xf numFmtId="0" fontId="0" fillId="3" borderId="0" xfId="0" applyFill="1"/>
    <xf numFmtId="0" fontId="0" fillId="4" borderId="0" xfId="0" applyFill="1"/>
    <xf numFmtId="0" fontId="1" fillId="5" borderId="0" xfId="0" applyFont="1" applyFill="1"/>
    <xf numFmtId="0" fontId="0" fillId="7" borderId="0" xfId="0" applyFill="1"/>
    <xf numFmtId="0" fontId="9" fillId="0" borderId="0" xfId="0" applyFont="1"/>
    <xf numFmtId="0" fontId="0" fillId="9" borderId="0" xfId="0" applyFill="1"/>
    <xf numFmtId="0" fontId="1" fillId="10" borderId="0" xfId="0" applyFont="1" applyFill="1"/>
    <xf numFmtId="0" fontId="4" fillId="8" borderId="0" xfId="0" applyFont="1" applyFill="1"/>
    <xf numFmtId="0" fontId="3" fillId="7" borderId="0" xfId="0" applyFont="1" applyFill="1"/>
    <xf numFmtId="0" fontId="4" fillId="7" borderId="0" xfId="0" applyFont="1" applyFill="1"/>
    <xf numFmtId="0" fontId="8" fillId="6" borderId="0" xfId="0" applyFont="1" applyFill="1"/>
    <xf numFmtId="0" fontId="2" fillId="11" borderId="0" xfId="0" applyFont="1" applyFill="1"/>
    <xf numFmtId="0" fontId="1" fillId="11" borderId="0" xfId="0" applyFont="1" applyFill="1"/>
    <xf numFmtId="43" fontId="0" fillId="0" borderId="0" xfId="1" applyFont="1"/>
    <xf numFmtId="43" fontId="0" fillId="0" borderId="0" xfId="0" applyNumberFormat="1"/>
    <xf numFmtId="10" fontId="0" fillId="0" borderId="0" xfId="0" applyNumberFormat="1"/>
    <xf numFmtId="10" fontId="0" fillId="0" borderId="0" xfId="0" applyNumberFormat="1" applyFont="1"/>
    <xf numFmtId="0" fontId="1" fillId="3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topLeftCell="A10" zoomScale="80" zoomScaleNormal="80" workbookViewId="0">
      <selection activeCell="H16" sqref="H16"/>
    </sheetView>
  </sheetViews>
  <sheetFormatPr baseColWidth="10" defaultRowHeight="15" x14ac:dyDescent="0.25"/>
  <cols>
    <col min="1" max="1" width="42.7109375" customWidth="1"/>
    <col min="2" max="2" width="19.5703125" customWidth="1"/>
    <col min="3" max="3" width="10.28515625" customWidth="1"/>
    <col min="4" max="4" width="35.140625" customWidth="1"/>
    <col min="5" max="5" width="36" customWidth="1"/>
    <col min="6" max="6" width="20.28515625" customWidth="1"/>
    <col min="7" max="7" width="57.28515625" customWidth="1"/>
    <col min="8" max="8" width="17.5703125" customWidth="1"/>
    <col min="9" max="9" width="22" customWidth="1"/>
    <col min="10" max="10" width="11.42578125" customWidth="1"/>
    <col min="11" max="11" width="18.5703125" customWidth="1"/>
  </cols>
  <sheetData>
    <row r="1" spans="1:11" s="7" customFormat="1" ht="18.75" x14ac:dyDescent="0.3">
      <c r="A1" s="19" t="s">
        <v>1</v>
      </c>
      <c r="B1" s="6">
        <v>0</v>
      </c>
      <c r="C1" s="2"/>
      <c r="D1" s="2" t="s">
        <v>44</v>
      </c>
      <c r="E1" s="2">
        <v>42</v>
      </c>
      <c r="F1" s="2">
        <f>(22.6*E1)/12</f>
        <v>79.100000000000009</v>
      </c>
      <c r="G1" s="22">
        <f xml:space="preserve"> (1*E1*F1)/E19</f>
        <v>0.61092313350496508</v>
      </c>
      <c r="H1" s="2" t="s">
        <v>173</v>
      </c>
      <c r="I1" s="2">
        <f>F1/5*1</f>
        <v>15.820000000000002</v>
      </c>
      <c r="J1" s="2">
        <v>1</v>
      </c>
      <c r="K1" s="25">
        <f>G1/G19</f>
        <v>5.4436445935614685E-4</v>
      </c>
    </row>
    <row r="2" spans="1:11" x14ac:dyDescent="0.25">
      <c r="A2" s="19" t="s">
        <v>2</v>
      </c>
      <c r="B2" s="6">
        <v>-0.1</v>
      </c>
      <c r="C2" s="2"/>
      <c r="D2" t="s">
        <v>23</v>
      </c>
      <c r="E2" s="2">
        <v>44</v>
      </c>
      <c r="F2" s="2">
        <f>(22.6*E2-0.1*(22.6*E2))/12</f>
        <v>74.58</v>
      </c>
      <c r="G2" s="22">
        <f>(2*E2*F2)/E19</f>
        <v>1.206884884148584</v>
      </c>
      <c r="H2">
        <v>4</v>
      </c>
      <c r="I2">
        <f>F2/5</f>
        <v>14.916</v>
      </c>
      <c r="J2">
        <v>2</v>
      </c>
      <c r="K2" s="25">
        <f>G2/G19</f>
        <v>1.0753975441974493E-3</v>
      </c>
    </row>
    <row r="3" spans="1:11" x14ac:dyDescent="0.25">
      <c r="A3" s="19" t="s">
        <v>3</v>
      </c>
      <c r="B3" s="6">
        <v>0.08</v>
      </c>
      <c r="C3" s="2"/>
      <c r="D3" t="s">
        <v>75</v>
      </c>
      <c r="E3" s="2">
        <v>57</v>
      </c>
      <c r="F3" s="2">
        <f>(22.6*E3+0.08*(22.6*E3))/12</f>
        <v>115.938</v>
      </c>
      <c r="G3" s="22">
        <f>(2*E3*F3)/E19</f>
        <v>2.4304766458256712</v>
      </c>
      <c r="H3">
        <v>3</v>
      </c>
      <c r="I3">
        <f>F3/5</f>
        <v>23.1876</v>
      </c>
      <c r="J3">
        <v>2</v>
      </c>
      <c r="K3" s="25">
        <f>G3/G19</f>
        <v>2.1656817899364748E-3</v>
      </c>
    </row>
    <row r="4" spans="1:11" x14ac:dyDescent="0.25">
      <c r="A4" s="19" t="s">
        <v>4</v>
      </c>
      <c r="B4" s="6">
        <v>0.15</v>
      </c>
      <c r="C4" s="2"/>
      <c r="D4" t="s">
        <v>82</v>
      </c>
      <c r="E4" s="2">
        <v>102</v>
      </c>
      <c r="F4" s="2">
        <f>(22.6*E4+0.15*(22.6*E4))/12</f>
        <v>220.91500000000005</v>
      </c>
      <c r="G4" s="22">
        <f>(3*E4*F4)/E19</f>
        <v>12.43103898492093</v>
      </c>
      <c r="H4">
        <v>4</v>
      </c>
      <c r="I4">
        <f>F4/5</f>
        <v>44.183000000000007</v>
      </c>
      <c r="J4">
        <v>3</v>
      </c>
      <c r="K4" s="25">
        <f>G4/G19</f>
        <v>1.1076705800021354E-2</v>
      </c>
    </row>
    <row r="5" spans="1:11" x14ac:dyDescent="0.25">
      <c r="A5" s="19" t="s">
        <v>13</v>
      </c>
      <c r="B5" s="6">
        <v>0.1</v>
      </c>
      <c r="C5" s="2"/>
      <c r="D5" t="s">
        <v>82</v>
      </c>
      <c r="E5" s="2">
        <v>56</v>
      </c>
      <c r="F5" s="2">
        <f>(22.6*E5+0.1*(22.6*E5))/12</f>
        <v>116.01333333333334</v>
      </c>
      <c r="G5" s="22">
        <f>(2*E5*F5)/E19</f>
        <v>2.3893882554860855</v>
      </c>
      <c r="H5">
        <v>2</v>
      </c>
      <c r="I5">
        <f>F5/5</f>
        <v>23.202666666666666</v>
      </c>
      <c r="J5">
        <v>2</v>
      </c>
      <c r="K5" s="25">
        <f>G5/G19</f>
        <v>2.1290698854818189E-3</v>
      </c>
    </row>
    <row r="6" spans="1:11" x14ac:dyDescent="0.25">
      <c r="A6" s="19" t="s">
        <v>5</v>
      </c>
      <c r="B6" s="6">
        <v>0.09</v>
      </c>
      <c r="C6" s="2"/>
      <c r="D6" t="s">
        <v>83</v>
      </c>
      <c r="E6" s="2">
        <v>60</v>
      </c>
      <c r="F6" s="2">
        <f>(22.6*E6+0.09*(22.6*E6))/12</f>
        <v>123.17</v>
      </c>
      <c r="G6" s="22">
        <f>(2*E6*F6)/E19</f>
        <v>2.7179845531445386</v>
      </c>
      <c r="H6">
        <v>3</v>
      </c>
      <c r="I6">
        <f>F6/5</f>
        <v>24.634</v>
      </c>
      <c r="J6">
        <v>2</v>
      </c>
      <c r="K6" s="25">
        <f>G6/G19</f>
        <v>2.4218663701967352E-3</v>
      </c>
    </row>
    <row r="7" spans="1:11" x14ac:dyDescent="0.25">
      <c r="A7" s="19" t="s">
        <v>6</v>
      </c>
      <c r="B7" s="6">
        <v>0.18</v>
      </c>
      <c r="C7" s="2"/>
      <c r="D7" t="s">
        <v>84</v>
      </c>
      <c r="E7" s="2">
        <f>133+99+18+19+55+45+32</f>
        <v>401</v>
      </c>
      <c r="F7" s="2">
        <f>(22.6*E7+0.18*(22.6*E7))/12</f>
        <v>891.15566666666666</v>
      </c>
      <c r="G7" s="22">
        <f>(4*E7*F7)/E19</f>
        <v>262.85650778472478</v>
      </c>
      <c r="H7">
        <v>3</v>
      </c>
      <c r="I7">
        <f>F7/5</f>
        <v>178.23113333333333</v>
      </c>
      <c r="J7">
        <v>4</v>
      </c>
      <c r="K7" s="25">
        <f>G7/G19</f>
        <v>0.23421889416357092</v>
      </c>
    </row>
    <row r="8" spans="1:11" x14ac:dyDescent="0.25">
      <c r="A8" s="19" t="s">
        <v>7</v>
      </c>
      <c r="B8" s="6">
        <v>0.24</v>
      </c>
      <c r="C8" s="2"/>
      <c r="D8" t="s">
        <v>88</v>
      </c>
      <c r="E8" s="2">
        <f>38+14+15+62+41+59+25+134+98+37+1234+45</f>
        <v>1802</v>
      </c>
      <c r="F8" s="2">
        <f>(22.6*E8+0.24*(22.6*E8))/12</f>
        <v>4208.2706666666672</v>
      </c>
      <c r="G8" s="22">
        <f>(5*E8*F8)/E19</f>
        <v>6972.5117150913329</v>
      </c>
      <c r="H8">
        <v>3</v>
      </c>
      <c r="I8">
        <f>F8/5</f>
        <v>841.65413333333345</v>
      </c>
      <c r="J8">
        <v>5</v>
      </c>
      <c r="K8" s="25">
        <v>1</v>
      </c>
    </row>
    <row r="9" spans="1:11" x14ac:dyDescent="0.25">
      <c r="A9" s="19" t="s">
        <v>8</v>
      </c>
      <c r="B9" s="6">
        <v>0.11</v>
      </c>
      <c r="C9" s="2"/>
      <c r="D9" t="s">
        <v>85</v>
      </c>
      <c r="E9" s="2">
        <v>552</v>
      </c>
      <c r="F9" s="2">
        <f>(22.6*E9+0.11*(22.6*E9))/12</f>
        <v>1153.9560000000001</v>
      </c>
      <c r="G9" s="22">
        <f>(4*E9*F9)/E19</f>
        <v>468.54263479220305</v>
      </c>
      <c r="H9">
        <v>3</v>
      </c>
      <c r="I9">
        <f>F9/5</f>
        <v>230.79120000000003</v>
      </c>
      <c r="J9">
        <v>4</v>
      </c>
      <c r="K9" s="25">
        <f>G9/G19</f>
        <v>0.41749598940647953</v>
      </c>
    </row>
    <row r="10" spans="1:11" x14ac:dyDescent="0.25">
      <c r="A10" s="19" t="s">
        <v>9</v>
      </c>
      <c r="B10" s="6">
        <v>0.05</v>
      </c>
      <c r="C10" s="2"/>
      <c r="D10" t="s">
        <v>89</v>
      </c>
      <c r="E10" s="2">
        <v>278</v>
      </c>
      <c r="F10" s="2">
        <f>(22.6*E10+0.05*(22.6*E10))/12</f>
        <v>549.745</v>
      </c>
      <c r="G10" s="22">
        <f>(3*E10*F10)/E19</f>
        <v>84.31175616035307</v>
      </c>
      <c r="H10">
        <v>3</v>
      </c>
      <c r="I10">
        <f>F10/5</f>
        <v>109.949</v>
      </c>
      <c r="J10">
        <v>3</v>
      </c>
      <c r="K10" s="25">
        <f>G10/G19</f>
        <v>7.51261837087151E-2</v>
      </c>
    </row>
    <row r="11" spans="1:11" x14ac:dyDescent="0.25">
      <c r="A11" s="19" t="s">
        <v>10</v>
      </c>
      <c r="B11" s="6">
        <v>0.16</v>
      </c>
      <c r="C11" s="2"/>
      <c r="D11" t="s">
        <v>86</v>
      </c>
      <c r="E11" s="2">
        <f>92+850+110+5+84+48+58+20</f>
        <v>1267</v>
      </c>
      <c r="F11" s="2">
        <f>(22.6*E11+0.16*(22.6*E11))/12</f>
        <v>2767.9726666666666</v>
      </c>
      <c r="G11" s="22">
        <f>(4*E11*F11)/E19</f>
        <v>2579.6405801152382</v>
      </c>
      <c r="H11">
        <v>3</v>
      </c>
      <c r="I11">
        <f>F11/5</f>
        <v>553.59453333333329</v>
      </c>
      <c r="J11">
        <v>4</v>
      </c>
      <c r="K11" s="25">
        <v>1</v>
      </c>
    </row>
    <row r="12" spans="1:11" x14ac:dyDescent="0.25">
      <c r="A12" s="19" t="s">
        <v>11</v>
      </c>
      <c r="B12" s="6">
        <v>-0.2</v>
      </c>
      <c r="C12" s="2"/>
      <c r="D12" t="s">
        <v>90</v>
      </c>
      <c r="E12" s="2">
        <v>112</v>
      </c>
      <c r="F12" s="2">
        <f>(22.6*E12-0.2*(22.6*E12))/12</f>
        <v>168.7466666666667</v>
      </c>
      <c r="G12" s="22">
        <f>(3*E12*F12)/E19</f>
        <v>10.426421478484739</v>
      </c>
      <c r="H12">
        <v>3</v>
      </c>
      <c r="I12">
        <f>F12/5</f>
        <v>33.74933333333334</v>
      </c>
      <c r="J12">
        <v>3</v>
      </c>
      <c r="K12" s="25">
        <f>G12/G19</f>
        <v>9.2904867730115755E-3</v>
      </c>
    </row>
    <row r="13" spans="1:11" x14ac:dyDescent="0.25">
      <c r="A13" s="19" t="s">
        <v>12</v>
      </c>
      <c r="B13" s="6">
        <v>0.03</v>
      </c>
      <c r="C13" s="2"/>
      <c r="D13" t="s">
        <v>91</v>
      </c>
      <c r="E13" s="2">
        <v>323</v>
      </c>
      <c r="F13" s="2">
        <f>(22.6*E13+0.03*(22.6*E13))/12</f>
        <v>626.56616666666662</v>
      </c>
      <c r="G13" s="22">
        <f>(4*E13*F13)/E19</f>
        <v>148.86419406644598</v>
      </c>
      <c r="H13">
        <v>3</v>
      </c>
      <c r="I13">
        <f>F13/5</f>
        <v>125.31323333333333</v>
      </c>
      <c r="J13">
        <v>4</v>
      </c>
      <c r="K13" s="25">
        <f>G13/G19</f>
        <v>0.13264578156592394</v>
      </c>
    </row>
    <row r="14" spans="1:11" x14ac:dyDescent="0.25">
      <c r="A14" s="19" t="s">
        <v>14</v>
      </c>
      <c r="B14" s="6">
        <v>0.2</v>
      </c>
      <c r="C14" s="2"/>
      <c r="D14" t="s">
        <v>92</v>
      </c>
      <c r="E14" s="2">
        <v>317</v>
      </c>
      <c r="F14" s="2">
        <f>(22.6*E14+0.2*(22.6*E14))/12</f>
        <v>716.42000000000007</v>
      </c>
      <c r="G14" s="22">
        <f>(3*E14*F14)/E19</f>
        <v>125.28786686281722</v>
      </c>
      <c r="H14">
        <v>3</v>
      </c>
      <c r="I14">
        <f>F14/5</f>
        <v>143.28400000000002</v>
      </c>
      <c r="J14">
        <v>3</v>
      </c>
      <c r="K14" s="25">
        <f>G14/G19</f>
        <v>0.11163804113518336</v>
      </c>
    </row>
    <row r="15" spans="1:11" x14ac:dyDescent="0.25">
      <c r="A15" s="19" t="s">
        <v>15</v>
      </c>
      <c r="B15" s="6">
        <v>-0.11</v>
      </c>
      <c r="C15" s="2"/>
      <c r="D15" t="s">
        <v>75</v>
      </c>
      <c r="E15" s="2">
        <v>25</v>
      </c>
      <c r="F15" s="8">
        <f>502.5/12</f>
        <v>41.875</v>
      </c>
      <c r="G15" s="22">
        <f>(1*E15*F15)/E19</f>
        <v>0.19251103346818682</v>
      </c>
      <c r="H15">
        <v>5</v>
      </c>
      <c r="I15">
        <f>F15/5</f>
        <v>8.375</v>
      </c>
      <c r="J15" s="8">
        <v>1</v>
      </c>
      <c r="K15" s="25">
        <f>G15/G19</f>
        <v>1.7153739792561141E-4</v>
      </c>
    </row>
    <row r="16" spans="1:11" x14ac:dyDescent="0.25">
      <c r="A16" s="20"/>
      <c r="B16" s="2"/>
      <c r="C16" s="2"/>
      <c r="E16" s="3"/>
      <c r="F16" s="2"/>
    </row>
    <row r="17" spans="1:11" s="21" customFormat="1" ht="18.75" x14ac:dyDescent="0.3">
      <c r="A17" s="11" t="s">
        <v>0</v>
      </c>
      <c r="B17" s="11" t="s">
        <v>76</v>
      </c>
      <c r="C17" s="11"/>
      <c r="D17" s="11" t="s">
        <v>81</v>
      </c>
      <c r="E17" s="11" t="s">
        <v>167</v>
      </c>
      <c r="F17" s="11" t="s">
        <v>169</v>
      </c>
      <c r="G17" s="11" t="s">
        <v>171</v>
      </c>
      <c r="H17" s="11" t="s">
        <v>149</v>
      </c>
      <c r="I17" s="11" t="s">
        <v>170</v>
      </c>
      <c r="J17" s="11" t="s">
        <v>166</v>
      </c>
      <c r="K17" s="11" t="s">
        <v>172</v>
      </c>
    </row>
    <row r="18" spans="1:11" ht="18.75" x14ac:dyDescent="0.3">
      <c r="A18" s="1"/>
      <c r="E18" t="s">
        <v>168</v>
      </c>
    </row>
    <row r="19" spans="1:11" x14ac:dyDescent="0.25">
      <c r="E19">
        <f>SUM(E1:E15)</f>
        <v>5438</v>
      </c>
      <c r="G19" s="23">
        <f>SUM(G1,G2,G3,G4,G5,G6,G7,G9,G10,G12,G13,G14,G15)</f>
        <v>1122.2685886355277</v>
      </c>
      <c r="K19" s="24"/>
    </row>
    <row r="21" spans="1:11" s="1" customFormat="1" ht="18.75" x14ac:dyDescent="0.3">
      <c r="A21" s="15" t="s">
        <v>93</v>
      </c>
      <c r="B21" s="15" t="s">
        <v>123</v>
      </c>
      <c r="C21" s="15"/>
      <c r="D21" s="15"/>
      <c r="E21" s="15" t="s">
        <v>148</v>
      </c>
      <c r="F21" s="15" t="s">
        <v>124</v>
      </c>
      <c r="G21" s="15" t="s">
        <v>147</v>
      </c>
      <c r="I21" s="26" t="s">
        <v>179</v>
      </c>
    </row>
    <row r="22" spans="1:11" x14ac:dyDescent="0.25">
      <c r="I22" s="10">
        <v>1</v>
      </c>
      <c r="J22" t="s">
        <v>177</v>
      </c>
    </row>
    <row r="23" spans="1:11" x14ac:dyDescent="0.25">
      <c r="A23" s="16" t="s">
        <v>94</v>
      </c>
      <c r="B23" t="s">
        <v>96</v>
      </c>
      <c r="E23" t="s">
        <v>98</v>
      </c>
      <c r="F23" t="s">
        <v>109</v>
      </c>
      <c r="G23" t="s">
        <v>151</v>
      </c>
      <c r="I23" s="10">
        <v>2</v>
      </c>
      <c r="J23" t="s">
        <v>176</v>
      </c>
    </row>
    <row r="24" spans="1:11" x14ac:dyDescent="0.25">
      <c r="A24" s="16" t="s">
        <v>95</v>
      </c>
      <c r="B24" t="s">
        <v>96</v>
      </c>
      <c r="E24" t="s">
        <v>99</v>
      </c>
      <c r="F24" t="s">
        <v>110</v>
      </c>
      <c r="G24" t="s">
        <v>152</v>
      </c>
      <c r="I24" s="10">
        <v>3</v>
      </c>
      <c r="J24" t="s">
        <v>175</v>
      </c>
    </row>
    <row r="25" spans="1:11" x14ac:dyDescent="0.25">
      <c r="A25" s="16" t="s">
        <v>90</v>
      </c>
      <c r="B25" t="s">
        <v>97</v>
      </c>
      <c r="E25" t="s">
        <v>100</v>
      </c>
      <c r="F25" t="s">
        <v>111</v>
      </c>
      <c r="G25" t="s">
        <v>150</v>
      </c>
      <c r="I25" s="10">
        <v>4</v>
      </c>
      <c r="J25" t="s">
        <v>174</v>
      </c>
    </row>
    <row r="26" spans="1:11" x14ac:dyDescent="0.25">
      <c r="A26" s="16" t="s">
        <v>113</v>
      </c>
      <c r="B26" t="s">
        <v>102</v>
      </c>
      <c r="E26" t="s">
        <v>107</v>
      </c>
      <c r="F26" t="s">
        <v>110</v>
      </c>
      <c r="G26" t="s">
        <v>153</v>
      </c>
      <c r="I26" s="10">
        <v>5</v>
      </c>
      <c r="J26" t="s">
        <v>178</v>
      </c>
    </row>
    <row r="27" spans="1:11" x14ac:dyDescent="0.25">
      <c r="A27" s="16" t="s">
        <v>101</v>
      </c>
      <c r="B27" t="s">
        <v>105</v>
      </c>
      <c r="E27" t="s">
        <v>108</v>
      </c>
      <c r="F27" t="s">
        <v>109</v>
      </c>
      <c r="G27" t="s">
        <v>154</v>
      </c>
    </row>
    <row r="28" spans="1:11" x14ac:dyDescent="0.25">
      <c r="A28" s="16" t="s">
        <v>106</v>
      </c>
      <c r="B28" t="s">
        <v>114</v>
      </c>
      <c r="E28" t="s">
        <v>135</v>
      </c>
      <c r="F28" t="s">
        <v>112</v>
      </c>
      <c r="G28" t="s">
        <v>155</v>
      </c>
    </row>
    <row r="29" spans="1:11" x14ac:dyDescent="0.25">
      <c r="A29" s="16" t="s">
        <v>116</v>
      </c>
      <c r="B29" t="s">
        <v>115</v>
      </c>
      <c r="E29" t="s">
        <v>134</v>
      </c>
      <c r="F29" t="s">
        <v>109</v>
      </c>
      <c r="G29" t="s">
        <v>155</v>
      </c>
    </row>
    <row r="30" spans="1:11" x14ac:dyDescent="0.25">
      <c r="A30" s="16" t="s">
        <v>117</v>
      </c>
      <c r="B30" t="s">
        <v>120</v>
      </c>
      <c r="E30" t="s">
        <v>133</v>
      </c>
      <c r="F30" t="s">
        <v>109</v>
      </c>
      <c r="G30" t="s">
        <v>156</v>
      </c>
    </row>
    <row r="31" spans="1:11" x14ac:dyDescent="0.25">
      <c r="A31" s="16" t="s">
        <v>118</v>
      </c>
      <c r="B31" t="s">
        <v>119</v>
      </c>
      <c r="E31" t="s">
        <v>132</v>
      </c>
      <c r="F31" t="s">
        <v>110</v>
      </c>
      <c r="G31" t="s">
        <v>155</v>
      </c>
    </row>
    <row r="32" spans="1:11" x14ac:dyDescent="0.25">
      <c r="A32" s="16" t="s">
        <v>130</v>
      </c>
      <c r="B32" t="s">
        <v>129</v>
      </c>
      <c r="E32" t="s">
        <v>131</v>
      </c>
      <c r="F32" t="s">
        <v>109</v>
      </c>
      <c r="G32" t="s">
        <v>157</v>
      </c>
    </row>
    <row r="33" spans="1:7" x14ac:dyDescent="0.25">
      <c r="A33" s="16" t="s">
        <v>121</v>
      </c>
      <c r="B33" t="s">
        <v>122</v>
      </c>
      <c r="E33" t="s">
        <v>125</v>
      </c>
      <c r="F33" t="s">
        <v>110</v>
      </c>
      <c r="G33" t="s">
        <v>158</v>
      </c>
    </row>
    <row r="34" spans="1:7" x14ac:dyDescent="0.25">
      <c r="A34" s="16" t="s">
        <v>126</v>
      </c>
      <c r="B34" t="s">
        <v>127</v>
      </c>
      <c r="E34" t="s">
        <v>128</v>
      </c>
      <c r="F34" t="s">
        <v>111</v>
      </c>
      <c r="G34" t="s">
        <v>159</v>
      </c>
    </row>
    <row r="35" spans="1:7" x14ac:dyDescent="0.25">
      <c r="A35" s="16" t="s">
        <v>48</v>
      </c>
      <c r="B35" t="s">
        <v>138</v>
      </c>
      <c r="E35" t="s">
        <v>141</v>
      </c>
      <c r="F35" t="s">
        <v>111</v>
      </c>
      <c r="G35" t="s">
        <v>160</v>
      </c>
    </row>
    <row r="36" spans="1:7" x14ac:dyDescent="0.25">
      <c r="A36" s="16" t="s">
        <v>136</v>
      </c>
      <c r="B36" t="s">
        <v>139</v>
      </c>
      <c r="E36" t="s">
        <v>142</v>
      </c>
      <c r="F36" t="s">
        <v>110</v>
      </c>
      <c r="G36" t="s">
        <v>162</v>
      </c>
    </row>
    <row r="37" spans="1:7" x14ac:dyDescent="0.25">
      <c r="A37" s="16" t="s">
        <v>137</v>
      </c>
      <c r="B37" t="s">
        <v>140</v>
      </c>
      <c r="E37" t="s">
        <v>143</v>
      </c>
      <c r="F37" t="s">
        <v>110</v>
      </c>
      <c r="G37" t="s">
        <v>163</v>
      </c>
    </row>
    <row r="38" spans="1:7" x14ac:dyDescent="0.25">
      <c r="A38" s="16" t="s">
        <v>144</v>
      </c>
      <c r="B38" t="s">
        <v>145</v>
      </c>
      <c r="E38" t="s">
        <v>146</v>
      </c>
      <c r="F38" t="s">
        <v>110</v>
      </c>
      <c r="G38" t="s">
        <v>155</v>
      </c>
    </row>
    <row r="40" spans="1:7" x14ac:dyDescent="0.25">
      <c r="A40" s="9" t="s">
        <v>77</v>
      </c>
      <c r="B40" s="14"/>
      <c r="C40" s="14"/>
      <c r="D40" s="14"/>
      <c r="E40" s="14" t="s">
        <v>78</v>
      </c>
      <c r="F40" s="14"/>
    </row>
    <row r="41" spans="1:7" x14ac:dyDescent="0.25">
      <c r="B41" t="s">
        <v>40</v>
      </c>
    </row>
    <row r="42" spans="1:7" x14ac:dyDescent="0.25">
      <c r="A42" t="s">
        <v>16</v>
      </c>
      <c r="B42" t="s">
        <v>28</v>
      </c>
      <c r="E42" t="s">
        <v>79</v>
      </c>
    </row>
    <row r="43" spans="1:7" x14ac:dyDescent="0.25">
      <c r="A43" t="s">
        <v>17</v>
      </c>
      <c r="B43" t="s">
        <v>29</v>
      </c>
      <c r="E43" t="s">
        <v>80</v>
      </c>
    </row>
    <row r="44" spans="1:7" x14ac:dyDescent="0.25">
      <c r="A44" t="s">
        <v>18</v>
      </c>
      <c r="B44" t="s">
        <v>30</v>
      </c>
      <c r="E44" t="s">
        <v>87</v>
      </c>
    </row>
    <row r="45" spans="1:7" x14ac:dyDescent="0.25">
      <c r="A45" t="s">
        <v>19</v>
      </c>
      <c r="B45" t="s">
        <v>31</v>
      </c>
      <c r="E45" t="s">
        <v>103</v>
      </c>
    </row>
    <row r="46" spans="1:7" x14ac:dyDescent="0.25">
      <c r="A46" t="s">
        <v>20</v>
      </c>
      <c r="B46" t="s">
        <v>32</v>
      </c>
      <c r="E46" t="s">
        <v>104</v>
      </c>
    </row>
    <row r="47" spans="1:7" x14ac:dyDescent="0.25">
      <c r="A47" t="s">
        <v>21</v>
      </c>
      <c r="B47" t="s">
        <v>33</v>
      </c>
      <c r="E47" t="s">
        <v>161</v>
      </c>
    </row>
    <row r="48" spans="1:7" x14ac:dyDescent="0.25">
      <c r="A48" t="s">
        <v>22</v>
      </c>
      <c r="B48" t="s">
        <v>34</v>
      </c>
    </row>
    <row r="49" spans="1:9" x14ac:dyDescent="0.25">
      <c r="A49" t="s">
        <v>23</v>
      </c>
      <c r="B49" t="s">
        <v>35</v>
      </c>
    </row>
    <row r="50" spans="1:9" x14ac:dyDescent="0.25">
      <c r="A50" t="s">
        <v>24</v>
      </c>
      <c r="B50" t="s">
        <v>36</v>
      </c>
    </row>
    <row r="51" spans="1:9" x14ac:dyDescent="0.25">
      <c r="A51" t="s">
        <v>25</v>
      </c>
      <c r="B51" t="s">
        <v>37</v>
      </c>
    </row>
    <row r="52" spans="1:9" x14ac:dyDescent="0.25">
      <c r="A52" t="s">
        <v>26</v>
      </c>
      <c r="B52" t="s">
        <v>38</v>
      </c>
    </row>
    <row r="53" spans="1:9" x14ac:dyDescent="0.25">
      <c r="A53" t="s">
        <v>27</v>
      </c>
      <c r="B53" t="s">
        <v>39</v>
      </c>
    </row>
    <row r="56" spans="1:9" ht="28.5" x14ac:dyDescent="0.45">
      <c r="A56" s="13" t="s">
        <v>1</v>
      </c>
    </row>
    <row r="58" spans="1:9" x14ac:dyDescent="0.25">
      <c r="A58" s="4" t="s">
        <v>53</v>
      </c>
      <c r="B58" s="4" t="s">
        <v>54</v>
      </c>
      <c r="C58" s="4" t="s">
        <v>51</v>
      </c>
      <c r="D58" s="4" t="s">
        <v>52</v>
      </c>
      <c r="E58" s="4" t="s">
        <v>62</v>
      </c>
      <c r="F58" s="4" t="s">
        <v>63</v>
      </c>
      <c r="G58" s="4" t="s">
        <v>66</v>
      </c>
      <c r="H58" s="4" t="s">
        <v>68</v>
      </c>
      <c r="I58" s="4" t="s">
        <v>67</v>
      </c>
    </row>
    <row r="59" spans="1:9" x14ac:dyDescent="0.25">
      <c r="A59" s="12" t="s">
        <v>41</v>
      </c>
      <c r="B59">
        <v>7</v>
      </c>
      <c r="C59">
        <v>5</v>
      </c>
      <c r="D59">
        <v>2</v>
      </c>
      <c r="E59">
        <v>12.5</v>
      </c>
      <c r="F59">
        <v>87.5</v>
      </c>
      <c r="G59">
        <f>0.4*(E59)</f>
        <v>5</v>
      </c>
      <c r="H59">
        <f t="shared" ref="H59:H78" si="0">0.1*(E59)*B59</f>
        <v>8.75</v>
      </c>
      <c r="I59">
        <f>0.5*(E59)*B59</f>
        <v>43.75</v>
      </c>
    </row>
    <row r="60" spans="1:9" x14ac:dyDescent="0.25">
      <c r="A60" s="12" t="s">
        <v>60</v>
      </c>
      <c r="B60">
        <v>1</v>
      </c>
      <c r="D60">
        <v>1</v>
      </c>
      <c r="E60">
        <v>35</v>
      </c>
      <c r="F60">
        <v>35</v>
      </c>
      <c r="G60">
        <f>0.4*(E60)</f>
        <v>14</v>
      </c>
      <c r="H60">
        <f t="shared" si="0"/>
        <v>3.5</v>
      </c>
      <c r="I60">
        <f t="shared" ref="I59:I67" si="1">0.5*(E60)*B60</f>
        <v>17.5</v>
      </c>
    </row>
    <row r="61" spans="1:9" x14ac:dyDescent="0.25">
      <c r="A61" s="12" t="s">
        <v>42</v>
      </c>
      <c r="B61">
        <v>1</v>
      </c>
      <c r="D61">
        <v>1</v>
      </c>
      <c r="E61">
        <v>15</v>
      </c>
      <c r="F61">
        <v>15</v>
      </c>
      <c r="G61">
        <f>0.4*(E61)</f>
        <v>6</v>
      </c>
      <c r="H61">
        <f t="shared" si="0"/>
        <v>1.5</v>
      </c>
      <c r="I61">
        <f t="shared" si="1"/>
        <v>7.5</v>
      </c>
    </row>
    <row r="62" spans="1:9" x14ac:dyDescent="0.25">
      <c r="A62" s="12" t="s">
        <v>43</v>
      </c>
      <c r="B62">
        <v>2</v>
      </c>
      <c r="D62">
        <v>2</v>
      </c>
      <c r="E62">
        <v>16</v>
      </c>
      <c r="F62">
        <v>32</v>
      </c>
      <c r="G62">
        <f>0.4*(E62)</f>
        <v>6.4</v>
      </c>
      <c r="H62">
        <f t="shared" si="0"/>
        <v>3.2</v>
      </c>
      <c r="I62">
        <f t="shared" si="1"/>
        <v>16</v>
      </c>
    </row>
    <row r="63" spans="1:9" x14ac:dyDescent="0.25">
      <c r="A63" s="12" t="s">
        <v>18</v>
      </c>
      <c r="B63">
        <v>1</v>
      </c>
      <c r="D63">
        <v>1</v>
      </c>
      <c r="E63">
        <v>30</v>
      </c>
      <c r="F63">
        <v>30</v>
      </c>
      <c r="G63">
        <f>0.4*(E63)</f>
        <v>12</v>
      </c>
      <c r="H63">
        <f t="shared" si="0"/>
        <v>3</v>
      </c>
      <c r="I63">
        <f t="shared" si="1"/>
        <v>15</v>
      </c>
    </row>
    <row r="64" spans="1:9" x14ac:dyDescent="0.25">
      <c r="A64" s="12" t="s">
        <v>44</v>
      </c>
      <c r="B64">
        <v>1</v>
      </c>
      <c r="D64">
        <v>1</v>
      </c>
      <c r="E64">
        <v>100</v>
      </c>
      <c r="F64">
        <v>100</v>
      </c>
      <c r="G64">
        <f>0.4*(E64)</f>
        <v>40</v>
      </c>
      <c r="H64">
        <f t="shared" si="0"/>
        <v>10</v>
      </c>
      <c r="I64">
        <f t="shared" si="1"/>
        <v>50</v>
      </c>
    </row>
    <row r="65" spans="1:9" x14ac:dyDescent="0.25">
      <c r="A65" s="17" t="s">
        <v>45</v>
      </c>
      <c r="B65">
        <v>1</v>
      </c>
      <c r="D65">
        <v>1</v>
      </c>
      <c r="E65">
        <v>20</v>
      </c>
      <c r="F65">
        <v>50</v>
      </c>
      <c r="G65">
        <f>0.4*(E65)</f>
        <v>8</v>
      </c>
      <c r="H65">
        <f t="shared" si="0"/>
        <v>2</v>
      </c>
      <c r="I65">
        <f t="shared" si="1"/>
        <v>10</v>
      </c>
    </row>
    <row r="66" spans="1:9" x14ac:dyDescent="0.25">
      <c r="A66" s="12" t="s">
        <v>46</v>
      </c>
      <c r="B66">
        <v>3</v>
      </c>
      <c r="C66">
        <v>1</v>
      </c>
      <c r="D66">
        <v>2</v>
      </c>
      <c r="E66">
        <v>28</v>
      </c>
      <c r="F66">
        <v>84</v>
      </c>
      <c r="G66">
        <f>0.4*(E66)</f>
        <v>11.200000000000001</v>
      </c>
      <c r="H66">
        <f t="shared" si="0"/>
        <v>8.4</v>
      </c>
      <c r="I66">
        <f t="shared" si="1"/>
        <v>42</v>
      </c>
    </row>
    <row r="67" spans="1:9" x14ac:dyDescent="0.25">
      <c r="A67" s="12" t="s">
        <v>47</v>
      </c>
      <c r="B67">
        <v>1</v>
      </c>
      <c r="C67">
        <v>1</v>
      </c>
      <c r="E67">
        <v>24</v>
      </c>
      <c r="F67">
        <v>24</v>
      </c>
      <c r="G67">
        <f>0.4*(E67)</f>
        <v>9.6000000000000014</v>
      </c>
      <c r="H67">
        <f t="shared" si="0"/>
        <v>2.4000000000000004</v>
      </c>
      <c r="I67">
        <f t="shared" si="1"/>
        <v>12</v>
      </c>
    </row>
    <row r="68" spans="1:9" x14ac:dyDescent="0.25">
      <c r="A68" s="12" t="s">
        <v>48</v>
      </c>
      <c r="B68">
        <v>1</v>
      </c>
      <c r="D68">
        <v>1</v>
      </c>
      <c r="E68">
        <v>60</v>
      </c>
      <c r="F68">
        <v>60</v>
      </c>
      <c r="G68">
        <f>0.65*(E68)</f>
        <v>39</v>
      </c>
      <c r="H68">
        <f t="shared" si="0"/>
        <v>6</v>
      </c>
      <c r="I68">
        <f>0.25*(E68)*B68</f>
        <v>15</v>
      </c>
    </row>
    <row r="69" spans="1:9" x14ac:dyDescent="0.25">
      <c r="A69" s="17" t="s">
        <v>70</v>
      </c>
      <c r="B69">
        <v>1</v>
      </c>
      <c r="D69">
        <v>1</v>
      </c>
      <c r="E69">
        <v>25</v>
      </c>
      <c r="F69">
        <v>44</v>
      </c>
      <c r="G69">
        <f>0.4*(E69)</f>
        <v>10</v>
      </c>
      <c r="H69">
        <f t="shared" si="0"/>
        <v>2.5</v>
      </c>
      <c r="I69">
        <f t="shared" ref="I69:I78" si="2">0.5*(E69)*B69</f>
        <v>12.5</v>
      </c>
    </row>
    <row r="70" spans="1:9" x14ac:dyDescent="0.25">
      <c r="A70" s="12" t="s">
        <v>49</v>
      </c>
      <c r="B70">
        <v>2</v>
      </c>
      <c r="C70">
        <v>1</v>
      </c>
      <c r="D70">
        <v>2</v>
      </c>
      <c r="E70">
        <v>5</v>
      </c>
      <c r="F70">
        <v>15</v>
      </c>
      <c r="G70">
        <f>0.4*(E70)</f>
        <v>2</v>
      </c>
      <c r="H70">
        <f t="shared" si="0"/>
        <v>1</v>
      </c>
      <c r="I70">
        <f t="shared" si="2"/>
        <v>5</v>
      </c>
    </row>
    <row r="71" spans="1:9" x14ac:dyDescent="0.25">
      <c r="A71" s="17" t="s">
        <v>50</v>
      </c>
      <c r="B71">
        <v>1</v>
      </c>
      <c r="D71">
        <v>1</v>
      </c>
      <c r="E71">
        <v>22</v>
      </c>
      <c r="F71">
        <v>35</v>
      </c>
      <c r="G71">
        <f>0.4*(E71)</f>
        <v>8.8000000000000007</v>
      </c>
      <c r="H71">
        <f t="shared" si="0"/>
        <v>2.2000000000000002</v>
      </c>
      <c r="I71">
        <f t="shared" si="2"/>
        <v>11</v>
      </c>
    </row>
    <row r="72" spans="1:9" x14ac:dyDescent="0.25">
      <c r="A72" s="12" t="s">
        <v>55</v>
      </c>
      <c r="B72">
        <v>5</v>
      </c>
      <c r="C72">
        <v>3</v>
      </c>
      <c r="D72">
        <v>1</v>
      </c>
      <c r="E72">
        <v>6</v>
      </c>
      <c r="F72">
        <v>30</v>
      </c>
      <c r="G72">
        <f>0.4*(E72)</f>
        <v>2.4000000000000004</v>
      </c>
      <c r="H72">
        <f t="shared" si="0"/>
        <v>3.0000000000000004</v>
      </c>
      <c r="I72">
        <f t="shared" si="2"/>
        <v>15</v>
      </c>
    </row>
    <row r="73" spans="1:9" x14ac:dyDescent="0.25">
      <c r="A73" s="12" t="s">
        <v>58</v>
      </c>
      <c r="B73">
        <v>5</v>
      </c>
      <c r="C73">
        <v>3</v>
      </c>
      <c r="D73">
        <v>2</v>
      </c>
      <c r="E73">
        <v>12</v>
      </c>
      <c r="F73">
        <v>60</v>
      </c>
      <c r="G73">
        <f>0.4*(E73)</f>
        <v>4.8000000000000007</v>
      </c>
      <c r="H73">
        <f t="shared" si="0"/>
        <v>6.0000000000000009</v>
      </c>
      <c r="I73">
        <f t="shared" si="2"/>
        <v>30</v>
      </c>
    </row>
    <row r="74" spans="1:9" x14ac:dyDescent="0.25">
      <c r="A74" s="12" t="s">
        <v>56</v>
      </c>
      <c r="B74">
        <v>1</v>
      </c>
      <c r="C74">
        <v>1</v>
      </c>
      <c r="E74">
        <v>27</v>
      </c>
      <c r="F74">
        <v>27</v>
      </c>
      <c r="G74">
        <f>0.4*(E74)</f>
        <v>10.8</v>
      </c>
      <c r="H74">
        <f t="shared" si="0"/>
        <v>2.7</v>
      </c>
      <c r="I74">
        <f t="shared" si="2"/>
        <v>13.5</v>
      </c>
    </row>
    <row r="75" spans="1:9" x14ac:dyDescent="0.25">
      <c r="A75" s="12" t="s">
        <v>59</v>
      </c>
      <c r="B75">
        <v>3</v>
      </c>
      <c r="C75">
        <v>2</v>
      </c>
      <c r="D75">
        <v>1</v>
      </c>
      <c r="E75">
        <v>23</v>
      </c>
      <c r="F75">
        <v>69</v>
      </c>
      <c r="G75">
        <f>0.4*(E75)</f>
        <v>9.2000000000000011</v>
      </c>
      <c r="H75">
        <f t="shared" si="0"/>
        <v>6.9</v>
      </c>
      <c r="I75">
        <f t="shared" si="2"/>
        <v>34.5</v>
      </c>
    </row>
    <row r="76" spans="1:9" x14ac:dyDescent="0.25">
      <c r="A76" s="12" t="s">
        <v>57</v>
      </c>
      <c r="B76">
        <v>2</v>
      </c>
      <c r="C76">
        <v>2</v>
      </c>
      <c r="E76">
        <v>37</v>
      </c>
      <c r="F76">
        <v>74</v>
      </c>
      <c r="G76">
        <f>0.4*(E76)</f>
        <v>14.8</v>
      </c>
      <c r="H76">
        <f t="shared" si="0"/>
        <v>7.4</v>
      </c>
      <c r="I76">
        <f t="shared" si="2"/>
        <v>37</v>
      </c>
    </row>
    <row r="77" spans="1:9" x14ac:dyDescent="0.25">
      <c r="A77" s="17" t="s">
        <v>69</v>
      </c>
      <c r="B77">
        <v>1</v>
      </c>
      <c r="C77">
        <v>1</v>
      </c>
      <c r="D77">
        <v>1</v>
      </c>
      <c r="E77">
        <v>10</v>
      </c>
      <c r="F77">
        <v>33</v>
      </c>
      <c r="G77">
        <f>0.4*(E77)</f>
        <v>4</v>
      </c>
      <c r="H77">
        <f t="shared" si="0"/>
        <v>1</v>
      </c>
      <c r="I77">
        <f t="shared" si="2"/>
        <v>5</v>
      </c>
    </row>
    <row r="78" spans="1:9" x14ac:dyDescent="0.25">
      <c r="A78" s="12" t="s">
        <v>61</v>
      </c>
      <c r="B78">
        <v>1</v>
      </c>
      <c r="C78">
        <v>1</v>
      </c>
      <c r="E78">
        <v>45</v>
      </c>
      <c r="F78">
        <v>45</v>
      </c>
      <c r="G78">
        <f>0.4*(E78)</f>
        <v>18</v>
      </c>
      <c r="H78">
        <f t="shared" si="0"/>
        <v>4.5</v>
      </c>
      <c r="I78">
        <f t="shared" si="2"/>
        <v>22.5</v>
      </c>
    </row>
    <row r="79" spans="1:9" x14ac:dyDescent="0.25">
      <c r="A79" s="12"/>
    </row>
    <row r="80" spans="1:9" x14ac:dyDescent="0.25">
      <c r="A80" s="18" t="s">
        <v>64</v>
      </c>
      <c r="B80">
        <f>SUM(B59:B78)</f>
        <v>41</v>
      </c>
      <c r="C80">
        <f>SUM(C59:C78)</f>
        <v>21</v>
      </c>
      <c r="D80">
        <f>SUM(D59:D77)</f>
        <v>21</v>
      </c>
      <c r="E80">
        <f>SUM(E59:E78)</f>
        <v>552.5</v>
      </c>
      <c r="F80">
        <f>SUM(F59:F78)</f>
        <v>949.5</v>
      </c>
      <c r="G80">
        <f>SUM(G59:G78)</f>
        <v>236.00000000000006</v>
      </c>
      <c r="H80">
        <f>SUM(H59:H78)</f>
        <v>85.950000000000017</v>
      </c>
      <c r="I80">
        <f>SUM(I59:I78)</f>
        <v>414.75</v>
      </c>
    </row>
    <row r="81" spans="6:9" x14ac:dyDescent="0.25">
      <c r="F81" t="s">
        <v>65</v>
      </c>
    </row>
    <row r="82" spans="6:9" x14ac:dyDescent="0.25">
      <c r="G82" s="5" t="s">
        <v>71</v>
      </c>
      <c r="H82">
        <v>64.5</v>
      </c>
    </row>
    <row r="83" spans="6:9" x14ac:dyDescent="0.25">
      <c r="G83" t="s">
        <v>72</v>
      </c>
      <c r="H83">
        <v>40</v>
      </c>
    </row>
    <row r="84" spans="6:9" x14ac:dyDescent="0.25">
      <c r="G84" t="s">
        <v>73</v>
      </c>
      <c r="H84">
        <v>20.55</v>
      </c>
      <c r="I84" t="s">
        <v>74</v>
      </c>
    </row>
    <row r="85" spans="6:9" x14ac:dyDescent="0.25">
      <c r="G85" t="s">
        <v>164</v>
      </c>
      <c r="H85" t="s">
        <v>165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Vincent</cp:lastModifiedBy>
  <dcterms:created xsi:type="dcterms:W3CDTF">2012-12-05T21:10:44Z</dcterms:created>
  <dcterms:modified xsi:type="dcterms:W3CDTF">2012-12-06T14:03:39Z</dcterms:modified>
</cp:coreProperties>
</file>