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1405" windowHeight="10350"/>
  </bookViews>
  <sheets>
    <sheet name="Stats" sheetId="1" r:id="rId1"/>
    <sheet name="Equipement" sheetId="3" r:id="rId2"/>
    <sheet name="BDD" sheetId="2" r:id="rId3"/>
  </sheets>
  <definedNames>
    <definedName name="Classe">BDD!$D$1:$D$16</definedName>
    <definedName name="spe">BDD!$D$18:$D$20</definedName>
  </definedNames>
  <calcPr calcId="124519"/>
</workbook>
</file>

<file path=xl/calcChain.xml><?xml version="1.0" encoding="utf-8"?>
<calcChain xmlns="http://schemas.openxmlformats.org/spreadsheetml/2006/main">
  <c r="C38" i="1"/>
  <c r="D38" s="1"/>
  <c r="C29"/>
  <c r="C28"/>
  <c r="C27"/>
  <c r="B25"/>
  <c r="C21"/>
  <c r="C36" s="1"/>
  <c r="D36" s="1"/>
  <c r="C20"/>
  <c r="C19"/>
  <c r="C34" s="1"/>
  <c r="D34" s="1"/>
  <c r="C13"/>
  <c r="C14"/>
  <c r="D14" s="1"/>
  <c r="C9"/>
  <c r="C10"/>
  <c r="D174" i="3"/>
  <c r="D162"/>
  <c r="D150"/>
  <c r="D138"/>
  <c r="D126"/>
  <c r="G114"/>
  <c r="G101"/>
  <c r="F87"/>
  <c r="F74"/>
  <c r="F61"/>
  <c r="F47"/>
  <c r="F48"/>
  <c r="F35"/>
  <c r="F22"/>
  <c r="F9"/>
  <c r="G94"/>
  <c r="H13" s="1"/>
  <c r="D165"/>
  <c r="D164"/>
  <c r="D163"/>
  <c r="D161"/>
  <c r="D160"/>
  <c r="D159"/>
  <c r="D158"/>
  <c r="D157"/>
  <c r="D156"/>
  <c r="D153"/>
  <c r="D152"/>
  <c r="D151"/>
  <c r="D149"/>
  <c r="D148"/>
  <c r="D147"/>
  <c r="D146"/>
  <c r="D145"/>
  <c r="D144"/>
  <c r="D141"/>
  <c r="D140"/>
  <c r="D139"/>
  <c r="D137"/>
  <c r="D136"/>
  <c r="D135"/>
  <c r="D134"/>
  <c r="D133"/>
  <c r="D132"/>
  <c r="D129"/>
  <c r="D128"/>
  <c r="D127"/>
  <c r="D125"/>
  <c r="D124"/>
  <c r="D123"/>
  <c r="D122"/>
  <c r="D121"/>
  <c r="D120"/>
  <c r="G108"/>
  <c r="G95"/>
  <c r="D177"/>
  <c r="D176"/>
  <c r="D175"/>
  <c r="D173"/>
  <c r="D172"/>
  <c r="D171"/>
  <c r="D170"/>
  <c r="D169"/>
  <c r="D168"/>
  <c r="G117"/>
  <c r="G116"/>
  <c r="G115"/>
  <c r="G113"/>
  <c r="G112"/>
  <c r="G111"/>
  <c r="G110"/>
  <c r="G109"/>
  <c r="G107"/>
  <c r="G104"/>
  <c r="G103"/>
  <c r="G102"/>
  <c r="G100"/>
  <c r="G99"/>
  <c r="G98"/>
  <c r="G97"/>
  <c r="G96"/>
  <c r="H4" s="1"/>
  <c r="G93"/>
  <c r="F90"/>
  <c r="F89"/>
  <c r="F88"/>
  <c r="F86"/>
  <c r="F85"/>
  <c r="F84"/>
  <c r="F83"/>
  <c r="F82"/>
  <c r="F81"/>
  <c r="F80"/>
  <c r="F77"/>
  <c r="F76"/>
  <c r="F75"/>
  <c r="F73"/>
  <c r="F72"/>
  <c r="F71"/>
  <c r="F70"/>
  <c r="F69"/>
  <c r="F68"/>
  <c r="F67"/>
  <c r="F64"/>
  <c r="F63"/>
  <c r="F62"/>
  <c r="F60"/>
  <c r="F59"/>
  <c r="F58"/>
  <c r="F57"/>
  <c r="F56"/>
  <c r="F55"/>
  <c r="F54"/>
  <c r="F51"/>
  <c r="F50"/>
  <c r="F49"/>
  <c r="F46"/>
  <c r="F45"/>
  <c r="F44"/>
  <c r="F43"/>
  <c r="F42"/>
  <c r="F41"/>
  <c r="F38"/>
  <c r="F37"/>
  <c r="F36"/>
  <c r="F34"/>
  <c r="F33"/>
  <c r="F32"/>
  <c r="F31"/>
  <c r="F30"/>
  <c r="F29"/>
  <c r="F28"/>
  <c r="F25"/>
  <c r="F24"/>
  <c r="F23"/>
  <c r="F21"/>
  <c r="F20"/>
  <c r="F19"/>
  <c r="F18"/>
  <c r="F17"/>
  <c r="F16"/>
  <c r="F15"/>
  <c r="F3"/>
  <c r="H3" s="1"/>
  <c r="F4"/>
  <c r="F5"/>
  <c r="H5" s="1"/>
  <c r="F6"/>
  <c r="H6" s="1"/>
  <c r="F7"/>
  <c r="H7" s="1"/>
  <c r="F8"/>
  <c r="F10"/>
  <c r="H10" s="1"/>
  <c r="F11"/>
  <c r="H11" s="1"/>
  <c r="F12"/>
  <c r="H12" s="1"/>
  <c r="F2"/>
  <c r="H2" s="1"/>
  <c r="I6" i="2"/>
  <c r="B5" i="1" s="1"/>
  <c r="D5" s="1"/>
  <c r="G5" s="1"/>
  <c r="C25"/>
  <c r="B28"/>
  <c r="D28" s="1"/>
  <c r="B29"/>
  <c r="D29" s="1"/>
  <c r="C35"/>
  <c r="B37"/>
  <c r="D37" s="1"/>
  <c r="B27"/>
  <c r="D27" s="1"/>
  <c r="B24"/>
  <c r="D13"/>
  <c r="D21"/>
  <c r="D19"/>
  <c r="D11"/>
  <c r="C41" s="1"/>
  <c r="D41" s="1"/>
  <c r="D42" s="1"/>
  <c r="B6"/>
  <c r="D6" s="1"/>
  <c r="G6" s="1"/>
  <c r="B9"/>
  <c r="D9" s="1"/>
  <c r="G9" s="1"/>
  <c r="D25" l="1"/>
  <c r="D26" s="1"/>
  <c r="I26" s="1"/>
  <c r="H8" i="3"/>
  <c r="H9"/>
  <c r="M7" i="1"/>
  <c r="O7"/>
  <c r="O5"/>
  <c r="K5"/>
  <c r="K7"/>
  <c r="M5"/>
  <c r="D33"/>
  <c r="B8"/>
  <c r="D8" s="1"/>
  <c r="I8" s="1"/>
  <c r="B10"/>
  <c r="D10" s="1"/>
  <c r="G10" s="1"/>
  <c r="B7"/>
  <c r="D7" s="1"/>
  <c r="I5"/>
  <c r="K6"/>
  <c r="I6"/>
  <c r="I9"/>
  <c r="D24"/>
  <c r="K11"/>
  <c r="G11"/>
  <c r="I11" s="1"/>
  <c r="C42"/>
  <c r="C43"/>
  <c r="D43" s="1"/>
  <c r="G26" l="1"/>
  <c r="O8"/>
  <c r="O10"/>
  <c r="I10"/>
  <c r="G8"/>
  <c r="M10"/>
  <c r="G7"/>
  <c r="M8"/>
  <c r="D18"/>
  <c r="D20"/>
  <c r="D35"/>
  <c r="D32"/>
  <c r="K10"/>
  <c r="K8"/>
  <c r="I7"/>
</calcChain>
</file>

<file path=xl/sharedStrings.xml><?xml version="1.0" encoding="utf-8"?>
<sst xmlns="http://schemas.openxmlformats.org/spreadsheetml/2006/main" count="332" uniqueCount="106">
  <si>
    <t>Niveau</t>
  </si>
  <si>
    <t>Endurance</t>
  </si>
  <si>
    <t>Bonus</t>
  </si>
  <si>
    <t>Precision</t>
  </si>
  <si>
    <t>Classe</t>
  </si>
  <si>
    <t>Avant-Garde</t>
  </si>
  <si>
    <t>Commando</t>
  </si>
  <si>
    <t>Erudit</t>
  </si>
  <si>
    <t>Ombre</t>
  </si>
  <si>
    <t>Gardien</t>
  </si>
  <si>
    <t>Sentinelle</t>
  </si>
  <si>
    <t>Malfrat</t>
  </si>
  <si>
    <t>Franc-tireur</t>
  </si>
  <si>
    <t>Specialiste</t>
  </si>
  <si>
    <t>Sorcier</t>
  </si>
  <si>
    <t>Assassin</t>
  </si>
  <si>
    <t>Ravageur</t>
  </si>
  <si>
    <t>Tireur d'elite</t>
  </si>
  <si>
    <t>Mercenaire</t>
  </si>
  <si>
    <t>Agent secret</t>
  </si>
  <si>
    <t>Maraudeur</t>
  </si>
  <si>
    <t>Vigueur</t>
  </si>
  <si>
    <t>Presence</t>
  </si>
  <si>
    <t>Visee</t>
  </si>
  <si>
    <t>Astuce</t>
  </si>
  <si>
    <t>Volonte</t>
  </si>
  <si>
    <t>Expertise</t>
  </si>
  <si>
    <t>Base</t>
  </si>
  <si>
    <t>Total</t>
  </si>
  <si>
    <t>Degats (Pri)</t>
  </si>
  <si>
    <t>Bonus degats</t>
  </si>
  <si>
    <t>Chance critique</t>
  </si>
  <si>
    <t>Multiplicateur crit.</t>
  </si>
  <si>
    <t>Index</t>
  </si>
  <si>
    <t>Sante</t>
  </si>
  <si>
    <t>Index d'armure</t>
  </si>
  <si>
    <t>Reduction degats</t>
  </si>
  <si>
    <t>Chance de defense</t>
  </si>
  <si>
    <t>Chance decl. Bouclier</t>
  </si>
  <si>
    <t>Absorption bouclier</t>
  </si>
  <si>
    <t>Bonus soin</t>
  </si>
  <si>
    <t>Ratio regain Force</t>
  </si>
  <si>
    <t>Vitesse d'activation</t>
  </si>
  <si>
    <t>Puissance</t>
  </si>
  <si>
    <t>Puissance Force</t>
  </si>
  <si>
    <t>Amplif. Degats JcJ</t>
  </si>
  <si>
    <t>Amplif. Soins JcJ</t>
  </si>
  <si>
    <t>Reduction degats JcJ</t>
  </si>
  <si>
    <t>Bonus de degats en melee</t>
  </si>
  <si>
    <t>Chance critique en mele</t>
  </si>
  <si>
    <t>Sante partenaire</t>
  </si>
  <si>
    <t>Degats partenaire</t>
  </si>
  <si>
    <t>Soins partenaire</t>
  </si>
  <si>
    <t>Bonus de degats à distance</t>
  </si>
  <si>
    <t>Chance critique à distance</t>
  </si>
  <si>
    <t>Bonus de degats Techno</t>
  </si>
  <si>
    <t>Chance critique Techno</t>
  </si>
  <si>
    <t>Sante max</t>
  </si>
  <si>
    <t>Regain de sante</t>
  </si>
  <si>
    <t>Bonus de degats Force</t>
  </si>
  <si>
    <t>Chance critique Force</t>
  </si>
  <si>
    <t>Specialisation</t>
  </si>
  <si>
    <t>Tank</t>
  </si>
  <si>
    <t>Dps</t>
  </si>
  <si>
    <t>Heal</t>
  </si>
  <si>
    <t>Energie</t>
  </si>
  <si>
    <t>Cinetique</t>
  </si>
  <si>
    <t>Interne</t>
  </si>
  <si>
    <t>Elementaire</t>
  </si>
  <si>
    <t>Soldat</t>
  </si>
  <si>
    <t>Consulaire</t>
  </si>
  <si>
    <t>Chevalier</t>
  </si>
  <si>
    <t>Contrebandier</t>
  </si>
  <si>
    <t>Puissance de soin : Techno</t>
  </si>
  <si>
    <t>Puissance de soin : Force</t>
  </si>
  <si>
    <t>Tete</t>
  </si>
  <si>
    <t>Blindage</t>
  </si>
  <si>
    <t>Modification</t>
  </si>
  <si>
    <t>Sophistication</t>
  </si>
  <si>
    <t>Amelioration</t>
  </si>
  <si>
    <t>Bouclier</t>
  </si>
  <si>
    <t>Absorption</t>
  </si>
  <si>
    <t>Defense</t>
  </si>
  <si>
    <t xml:space="preserve">Precision </t>
  </si>
  <si>
    <t>Critique</t>
  </si>
  <si>
    <t>Afflux</t>
  </si>
  <si>
    <t>Alacrite</t>
  </si>
  <si>
    <t>Armure</t>
  </si>
  <si>
    <t>Torse</t>
  </si>
  <si>
    <t>Stats</t>
  </si>
  <si>
    <t>Mains</t>
  </si>
  <si>
    <t>Jambes</t>
  </si>
  <si>
    <t>Pieds</t>
  </si>
  <si>
    <t>Taille</t>
  </si>
  <si>
    <t>Poignets</t>
  </si>
  <si>
    <t>Main principale</t>
  </si>
  <si>
    <t>Degats</t>
  </si>
  <si>
    <t>Poignee</t>
  </si>
  <si>
    <t>Mainsecondaire</t>
  </si>
  <si>
    <t>Cristal</t>
  </si>
  <si>
    <t>Oreille</t>
  </si>
  <si>
    <t>Implant 1</t>
  </si>
  <si>
    <t>Implant 2</t>
  </si>
  <si>
    <t>Relique 1</t>
  </si>
  <si>
    <t>Relique 2</t>
  </si>
  <si>
    <t>Puissance F/T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</si>
</sst>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3" borderId="0" xfId="0" applyFill="1"/>
    <xf numFmtId="0" fontId="2" fillId="0" borderId="0" xfId="0" applyFont="1" applyFill="1"/>
    <xf numFmtId="0" fontId="5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/>
  </sheetViews>
  <sheetFormatPr baseColWidth="10" defaultRowHeight="15"/>
  <cols>
    <col min="1" max="1" width="20" bestFit="1" customWidth="1"/>
    <col min="3" max="3" width="13.28515625" bestFit="1" customWidth="1"/>
    <col min="6" max="6" width="25" bestFit="1" customWidth="1"/>
    <col min="8" max="8" width="24.28515625" bestFit="1" customWidth="1"/>
    <col min="10" max="10" width="22.5703125" bestFit="1" customWidth="1"/>
    <col min="12" max="12" width="21.85546875" bestFit="1" customWidth="1"/>
    <col min="14" max="14" width="24.7109375" bestFit="1" customWidth="1"/>
  </cols>
  <sheetData>
    <row r="1" spans="1:15">
      <c r="A1" s="6" t="s">
        <v>4</v>
      </c>
      <c r="B1" t="s">
        <v>8</v>
      </c>
      <c r="C1" s="6" t="s">
        <v>61</v>
      </c>
      <c r="D1" t="s">
        <v>62</v>
      </c>
    </row>
    <row r="2" spans="1:15">
      <c r="A2" s="6" t="s">
        <v>0</v>
      </c>
      <c r="B2">
        <v>50</v>
      </c>
    </row>
    <row r="4" spans="1:15">
      <c r="B4" s="5" t="s">
        <v>27</v>
      </c>
      <c r="C4" s="5" t="s">
        <v>2</v>
      </c>
      <c r="D4" s="5" t="s">
        <v>28</v>
      </c>
    </row>
    <row r="5" spans="1:15">
      <c r="A5" s="6" t="s">
        <v>21</v>
      </c>
      <c r="B5" s="1">
        <f>IF(BDD!I6=2,20+B2*1.6,IF(BDD!I6=1,50+B2*4,10+B2*0.8))</f>
        <v>100</v>
      </c>
      <c r="C5" s="1">
        <v>0</v>
      </c>
      <c r="D5" s="4">
        <f>B5+C5</f>
        <v>100</v>
      </c>
      <c r="F5" s="6" t="s">
        <v>48</v>
      </c>
      <c r="G5" s="4">
        <f>D5*0.2</f>
        <v>20</v>
      </c>
      <c r="H5" s="6" t="s">
        <v>49</v>
      </c>
      <c r="I5" s="4">
        <f>30*(1-(1-(0.01/0.3))^((D5/B2)/2.5))</f>
        <v>0.80270288831297165</v>
      </c>
      <c r="J5" s="6" t="s">
        <v>59</v>
      </c>
      <c r="K5" s="4" t="str">
        <f>IF(BDD!I6=2,"-",IF(BDD!I6=4,"-",IF(BDD!I6=3,"-",D5*0.2)))</f>
        <v>-</v>
      </c>
      <c r="L5" s="6" t="s">
        <v>60</v>
      </c>
      <c r="M5" s="4" t="str">
        <f>IF(BDD!I6=2,"-",IF(BDD!I6=4,"-",IF(BDD!I6=3,"-",30*(1-(1-(0.01/0.3))^((D5/B2)/2.5)))))</f>
        <v>-</v>
      </c>
      <c r="N5" s="6" t="s">
        <v>74</v>
      </c>
      <c r="O5" s="9" t="str">
        <f>IF(BDD!I6=1,D5*0.14,"-")</f>
        <v>-</v>
      </c>
    </row>
    <row r="6" spans="1:15">
      <c r="A6" s="6" t="s">
        <v>22</v>
      </c>
      <c r="B6" s="1">
        <f>45+B2*3.6</f>
        <v>225</v>
      </c>
      <c r="C6" s="1">
        <v>0</v>
      </c>
      <c r="D6" s="4">
        <f t="shared" ref="D6:D11" si="0">B6+C6</f>
        <v>225</v>
      </c>
      <c r="F6" s="6" t="s">
        <v>50</v>
      </c>
      <c r="G6" s="4">
        <f>D6*5</f>
        <v>1125</v>
      </c>
      <c r="H6" s="6" t="s">
        <v>51</v>
      </c>
      <c r="I6" s="4">
        <f>D6*0.2</f>
        <v>45</v>
      </c>
      <c r="J6" s="6" t="s">
        <v>52</v>
      </c>
      <c r="K6" s="4">
        <f>D6*0.14</f>
        <v>31.500000000000004</v>
      </c>
    </row>
    <row r="7" spans="1:15">
      <c r="A7" s="6" t="s">
        <v>23</v>
      </c>
      <c r="B7" s="1">
        <f>IF(BDD!I6=3,20+B2*1.6,IF(BDD!I6=4,50+B2*4,10+B2*0.8))</f>
        <v>50</v>
      </c>
      <c r="C7" s="1">
        <v>0</v>
      </c>
      <c r="D7" s="4">
        <f t="shared" si="0"/>
        <v>50</v>
      </c>
      <c r="F7" s="6" t="s">
        <v>53</v>
      </c>
      <c r="G7" s="4">
        <f>D7*0.2</f>
        <v>10</v>
      </c>
      <c r="H7" s="6" t="s">
        <v>54</v>
      </c>
      <c r="I7" s="4">
        <f>30*(1-(1-(0.01/0.3))^((D7/B2)/2.5))</f>
        <v>0.4040726898005309</v>
      </c>
      <c r="J7" s="6" t="s">
        <v>55</v>
      </c>
      <c r="K7" s="4" t="str">
        <f>IF(BDD!I6=2,"-",IF(BDD!I6=1,"-",IF(BDD!I6=3,"-",D7*0.2)))</f>
        <v>-</v>
      </c>
      <c r="L7" s="6" t="s">
        <v>56</v>
      </c>
      <c r="M7" s="4" t="str">
        <f>IF(BDD!I6=2,"-",IF(BDD!I6=1,"-",IF(BDD!I6=3,"-",30*(1-(1-(0.01/0.3))^((D7/B2)/2.5)))))</f>
        <v>-</v>
      </c>
      <c r="N7" s="6" t="s">
        <v>73</v>
      </c>
      <c r="O7" s="9" t="str">
        <f>IF(BDD!I6=4,D7*0.14,"-")</f>
        <v>-</v>
      </c>
    </row>
    <row r="8" spans="1:15">
      <c r="A8" s="6" t="s">
        <v>24</v>
      </c>
      <c r="B8" s="1">
        <f>IF(BDD!I6=4,20+B2*1.6,IF(BDD!I6=3,50+B2*4,10+B2*0.8))</f>
        <v>50</v>
      </c>
      <c r="C8" s="1">
        <v>0</v>
      </c>
      <c r="D8" s="4">
        <f t="shared" si="0"/>
        <v>50</v>
      </c>
      <c r="F8" s="6" t="s">
        <v>53</v>
      </c>
      <c r="G8" s="4" t="str">
        <f>IF(BDD!I6=2,"-",IF(BDD!I6=1,"-",IF(BDD!I6=4,"-",D8*0.2)))</f>
        <v>-</v>
      </c>
      <c r="H8" s="6" t="s">
        <v>54</v>
      </c>
      <c r="I8" s="4" t="str">
        <f>IF(BDD!I6=2,"-",IF(BDD!I6=1,"-",IF(BDD!I6=4,"-",30*(1-(1-(0.01/0.3))^((D8/B2)/2.5)))))</f>
        <v>-</v>
      </c>
      <c r="J8" s="6" t="s">
        <v>55</v>
      </c>
      <c r="K8" s="4">
        <f>D8*0.2</f>
        <v>10</v>
      </c>
      <c r="L8" s="6" t="s">
        <v>56</v>
      </c>
      <c r="M8" s="4">
        <f>30*(1-(1-(0.01/0.3))^((D8/B2)/2.5))</f>
        <v>0.4040726898005309</v>
      </c>
      <c r="N8" s="6" t="s">
        <v>73</v>
      </c>
      <c r="O8" s="9" t="str">
        <f>IF(BDD!I6=3,D8*0.14,"-")</f>
        <v>-</v>
      </c>
    </row>
    <row r="9" spans="1:15">
      <c r="A9" s="6" t="s">
        <v>1</v>
      </c>
      <c r="B9" s="1">
        <f>45+B2*3.6</f>
        <v>225</v>
      </c>
      <c r="C9" s="1">
        <f>Equipement!H3</f>
        <v>2010</v>
      </c>
      <c r="D9" s="4">
        <f t="shared" si="0"/>
        <v>2235</v>
      </c>
      <c r="F9" s="6" t="s">
        <v>57</v>
      </c>
      <c r="G9" s="4">
        <f>D9*10</f>
        <v>22350</v>
      </c>
      <c r="H9" s="6" t="s">
        <v>58</v>
      </c>
      <c r="I9" s="4">
        <f>D9*0.03</f>
        <v>67.05</v>
      </c>
    </row>
    <row r="10" spans="1:15">
      <c r="A10" s="6" t="s">
        <v>25</v>
      </c>
      <c r="B10" s="1">
        <f>IF(BDD!I6=1,20+B2*1.6,IF(BDD!I6=2,50+B2*4,10+B2*0.8))</f>
        <v>250</v>
      </c>
      <c r="C10" s="1">
        <f>Equipement!H4</f>
        <v>1423</v>
      </c>
      <c r="D10" s="4">
        <f t="shared" si="0"/>
        <v>1673</v>
      </c>
      <c r="F10" s="6" t="s">
        <v>48</v>
      </c>
      <c r="G10" s="4">
        <f>IF(BDD!I6=4,"-",IF(BDD!I6=1,"-",IF(BDD!I6=3,"-",D10*0.2)))</f>
        <v>334.6</v>
      </c>
      <c r="H10" s="6" t="s">
        <v>49</v>
      </c>
      <c r="I10" s="4">
        <f>IF(BDD!I6=4,"-",IF(BDD!I6=1,"-",IF(BDD!I6=3,"-",30*(1-(1-(0.01/0.3))^((D10/B2)/2.5)))))</f>
        <v>10.942532604409376</v>
      </c>
      <c r="J10" s="6" t="s">
        <v>59</v>
      </c>
      <c r="K10" s="4">
        <f>D10*0.2</f>
        <v>334.6</v>
      </c>
      <c r="L10" s="6" t="s">
        <v>60</v>
      </c>
      <c r="M10" s="4">
        <f>30*(1-(1-(0.01/0.3))^((D10/B2)/2.5))</f>
        <v>10.942532604409376</v>
      </c>
      <c r="N10" s="6" t="s">
        <v>74</v>
      </c>
      <c r="O10" s="9">
        <f>IF(BDD!I6=2,D10*0.14,"-")</f>
        <v>234.22000000000003</v>
      </c>
    </row>
    <row r="11" spans="1:15">
      <c r="A11" s="6" t="s">
        <v>26</v>
      </c>
      <c r="B11" s="1">
        <v>0</v>
      </c>
      <c r="C11" s="1">
        <v>0</v>
      </c>
      <c r="D11" s="4">
        <f t="shared" si="0"/>
        <v>0</v>
      </c>
      <c r="F11" s="6" t="s">
        <v>45</v>
      </c>
      <c r="G11" s="4">
        <f>50*(1-(1-(0.01/0.5))^((D11/B2)/0.8))</f>
        <v>0</v>
      </c>
      <c r="H11" s="6" t="s">
        <v>47</v>
      </c>
      <c r="I11" s="4">
        <f>100-100/(1+G11/100)</f>
        <v>0</v>
      </c>
      <c r="J11" s="6" t="s">
        <v>46</v>
      </c>
      <c r="K11" s="4">
        <f>30*(1-(1-(0.01/0.3))^((D11/B2)/1.5))</f>
        <v>0</v>
      </c>
    </row>
    <row r="13" spans="1:15">
      <c r="A13" s="6" t="s">
        <v>43</v>
      </c>
      <c r="B13" s="7"/>
      <c r="C13" s="1">
        <f>Equipement!H9</f>
        <v>0</v>
      </c>
      <c r="D13" s="4">
        <f>C13</f>
        <v>0</v>
      </c>
    </row>
    <row r="14" spans="1:15">
      <c r="A14" s="6" t="s">
        <v>44</v>
      </c>
      <c r="B14" s="7"/>
      <c r="C14" s="1">
        <f>Equipement!H13</f>
        <v>1020</v>
      </c>
      <c r="D14" s="4">
        <f>C14</f>
        <v>1020</v>
      </c>
    </row>
    <row r="16" spans="1:15">
      <c r="B16" s="5" t="s">
        <v>27</v>
      </c>
      <c r="C16" s="5" t="s">
        <v>33</v>
      </c>
      <c r="D16" s="5" t="s">
        <v>28</v>
      </c>
    </row>
    <row r="17" spans="1:13">
      <c r="A17" s="6" t="s">
        <v>29</v>
      </c>
      <c r="C17" s="7"/>
    </row>
    <row r="18" spans="1:13">
      <c r="A18" s="6" t="s">
        <v>30</v>
      </c>
      <c r="B18" s="7"/>
      <c r="C18" s="7"/>
      <c r="D18" s="4">
        <f>D5*0.2+D10*0.2+D13*0.23</f>
        <v>354.6</v>
      </c>
    </row>
    <row r="19" spans="1:13">
      <c r="A19" s="6" t="s">
        <v>3</v>
      </c>
      <c r="B19" s="1">
        <v>90</v>
      </c>
      <c r="C19" s="1">
        <f>Equipement!H8</f>
        <v>0</v>
      </c>
      <c r="D19" s="4">
        <f>B19+30*(1-(1-(0.01/0.3))^((C19/B2)/0.55))</f>
        <v>90</v>
      </c>
    </row>
    <row r="20" spans="1:13">
      <c r="A20" s="6" t="s">
        <v>31</v>
      </c>
      <c r="B20" s="1">
        <v>5</v>
      </c>
      <c r="C20" s="1">
        <f>Equipement!H10</f>
        <v>27</v>
      </c>
      <c r="D20" s="4">
        <f>B20+30*(1-(1-(0.01/0.3))^((D10/B2)/2.5))+30*(1-(1-(0.01/0.3))^((C20/B2)/0.45))+30*(1-(1-(0.01/0.3))^((D5/B2)/2.5))</f>
        <v>17.941199393662806</v>
      </c>
    </row>
    <row r="21" spans="1:13">
      <c r="A21" s="6" t="s">
        <v>32</v>
      </c>
      <c r="B21" s="1">
        <v>50</v>
      </c>
      <c r="C21" s="1">
        <f>Equipement!H11</f>
        <v>0</v>
      </c>
      <c r="D21" s="4">
        <f>B21+30*(1-(1-(0.01/0.3))^((C21/B2)/0.11))</f>
        <v>50</v>
      </c>
    </row>
    <row r="23" spans="1:13">
      <c r="B23" s="5" t="s">
        <v>27</v>
      </c>
      <c r="C23" s="5" t="s">
        <v>33</v>
      </c>
      <c r="D23" s="5" t="s">
        <v>28</v>
      </c>
    </row>
    <row r="24" spans="1:13">
      <c r="A24" s="6" t="s">
        <v>34</v>
      </c>
      <c r="B24" s="1">
        <f>LOOKUP(B2,BDD!A1:B50)</f>
        <v>2500</v>
      </c>
      <c r="C24" s="7"/>
      <c r="D24" s="4">
        <f>B24+D9*10</f>
        <v>24850</v>
      </c>
    </row>
    <row r="25" spans="1:13">
      <c r="A25" s="6" t="s">
        <v>35</v>
      </c>
      <c r="B25" s="1">
        <f>Equipement!H2</f>
        <v>2613</v>
      </c>
      <c r="C25" s="1">
        <f>IF(D1="Tank",LOOKUP(B1,BDD!D1:D16,BDD!G1:G16),0)</f>
        <v>115</v>
      </c>
      <c r="D25" s="4">
        <f>B25+B25*(C25/100)</f>
        <v>5617.95</v>
      </c>
    </row>
    <row r="26" spans="1:13">
      <c r="A26" s="6" t="s">
        <v>36</v>
      </c>
      <c r="B26" s="7"/>
      <c r="C26" s="7"/>
      <c r="D26" s="4">
        <f>D25/(D25+200*B2+800)*100</f>
        <v>34.218340292180201</v>
      </c>
      <c r="F26" s="6" t="s">
        <v>65</v>
      </c>
      <c r="G26" s="9">
        <f>D26</f>
        <v>34.218340292180201</v>
      </c>
      <c r="H26" s="6" t="s">
        <v>66</v>
      </c>
      <c r="I26" s="9">
        <f>D26</f>
        <v>34.218340292180201</v>
      </c>
      <c r="J26" s="6" t="s">
        <v>67</v>
      </c>
      <c r="K26" s="9">
        <v>0</v>
      </c>
      <c r="L26" s="6" t="s">
        <v>68</v>
      </c>
      <c r="M26" s="9">
        <v>0</v>
      </c>
    </row>
    <row r="27" spans="1:13">
      <c r="A27" s="6" t="s">
        <v>37</v>
      </c>
      <c r="B27" s="1">
        <f>LOOKUP(B1,BDD!D1:E16)</f>
        <v>10</v>
      </c>
      <c r="C27" s="1">
        <f>Equipement!H7</f>
        <v>349</v>
      </c>
      <c r="D27" s="4">
        <f>B27+30*(1-(1-(0.01/0.3))^((C27/B2)/0.55))</f>
        <v>20.489439729717802</v>
      </c>
    </row>
    <row r="28" spans="1:13">
      <c r="A28" s="6" t="s">
        <v>38</v>
      </c>
      <c r="B28" s="1">
        <f>LOOKUP(D1,BDD!D18:E20)</f>
        <v>20</v>
      </c>
      <c r="C28" s="1">
        <f>Equipement!H5</f>
        <v>561</v>
      </c>
      <c r="D28" s="4">
        <f>B28+50*(1-(1-(0.01/0.5))^((C28/B2)/0.32))</f>
        <v>45.377378831249203</v>
      </c>
    </row>
    <row r="29" spans="1:13">
      <c r="A29" s="6" t="s">
        <v>39</v>
      </c>
      <c r="B29" s="1">
        <f>LOOKUP(D1,BDD!D18:D20,BDD!F18:F20)</f>
        <v>20</v>
      </c>
      <c r="C29" s="1">
        <f>Equipement!H6</f>
        <v>245</v>
      </c>
      <c r="D29" s="4">
        <f>B29+50*(1-(1-(0.01/0.5))^((C29/B2)/0.18))</f>
        <v>41.151430221011346</v>
      </c>
    </row>
    <row r="31" spans="1:13">
      <c r="B31" s="5" t="s">
        <v>27</v>
      </c>
      <c r="C31" s="5" t="s">
        <v>33</v>
      </c>
      <c r="D31" s="5" t="s">
        <v>28</v>
      </c>
    </row>
    <row r="32" spans="1:13">
      <c r="A32" s="6" t="s">
        <v>30</v>
      </c>
      <c r="B32" s="7"/>
      <c r="C32" s="7"/>
      <c r="D32" s="4">
        <f>D10*0.2+D13*0.23+D14*0.23</f>
        <v>569.20000000000005</v>
      </c>
    </row>
    <row r="33" spans="1:6">
      <c r="A33" s="6" t="s">
        <v>40</v>
      </c>
      <c r="B33" s="7"/>
      <c r="C33" s="7"/>
      <c r="D33" s="4">
        <f>D13*0.17+D14*0.17</f>
        <v>173.4</v>
      </c>
    </row>
    <row r="34" spans="1:6">
      <c r="A34" s="6" t="s">
        <v>3</v>
      </c>
      <c r="B34" s="1">
        <v>100</v>
      </c>
      <c r="C34" s="1">
        <f>C19</f>
        <v>0</v>
      </c>
      <c r="D34" s="4">
        <f>B34+30*(1-(1-(0.01/0.3))^((C34/B2)/0.55))</f>
        <v>100</v>
      </c>
    </row>
    <row r="35" spans="1:6">
      <c r="A35" s="6" t="s">
        <v>31</v>
      </c>
      <c r="B35" s="1">
        <v>5</v>
      </c>
      <c r="C35" s="1">
        <f>C20</f>
        <v>27</v>
      </c>
      <c r="D35" s="4">
        <f>B35+30*(1-(1-(0.01/0.3))^((D10/B2)/2.5))+30*(1-(1-(0.01/0.3))^((C35/B2)/0.45))</f>
        <v>17.138496505349835</v>
      </c>
    </row>
    <row r="36" spans="1:6">
      <c r="A36" s="6" t="s">
        <v>32</v>
      </c>
      <c r="B36" s="1">
        <v>50</v>
      </c>
      <c r="C36" s="1">
        <f>C21</f>
        <v>0</v>
      </c>
      <c r="D36" s="4">
        <f>B36+30*(1-(1-(0.01/0.3))^((C36/B2)/0.11))</f>
        <v>50</v>
      </c>
    </row>
    <row r="37" spans="1:6">
      <c r="A37" s="6" t="s">
        <v>41</v>
      </c>
      <c r="B37" s="1">
        <f>LOOKUP(B1,BDD!D1:D16,BDD!F1:F16)</f>
        <v>8</v>
      </c>
      <c r="C37">
        <v>0</v>
      </c>
      <c r="D37" s="4">
        <f>B37+C37</f>
        <v>8</v>
      </c>
    </row>
    <row r="38" spans="1:6">
      <c r="A38" s="6" t="s">
        <v>42</v>
      </c>
      <c r="B38" s="1">
        <v>0</v>
      </c>
      <c r="C38" s="1">
        <f>Equipement!H12</f>
        <v>0</v>
      </c>
      <c r="D38" s="4">
        <f>B38+30*(1-(1-(0.01/0.3))^((C38/B2)/0.55))</f>
        <v>0</v>
      </c>
    </row>
    <row r="40" spans="1:6">
      <c r="A40" s="2"/>
      <c r="B40" s="5" t="s">
        <v>27</v>
      </c>
      <c r="C40" s="5" t="s">
        <v>33</v>
      </c>
      <c r="D40" s="5" t="s">
        <v>28</v>
      </c>
      <c r="E40" s="8"/>
      <c r="F40" s="2"/>
    </row>
    <row r="41" spans="1:6">
      <c r="A41" s="6" t="s">
        <v>45</v>
      </c>
      <c r="B41" s="1">
        <v>0</v>
      </c>
      <c r="C41" s="1">
        <f>D11</f>
        <v>0</v>
      </c>
      <c r="D41" s="4">
        <f>50*(1-(1-(0.01/0.5))^((C41/B2)/0.8))</f>
        <v>0</v>
      </c>
      <c r="E41" s="2"/>
      <c r="F41" s="2"/>
    </row>
    <row r="42" spans="1:6">
      <c r="A42" s="6" t="s">
        <v>47</v>
      </c>
      <c r="B42" s="1">
        <v>0</v>
      </c>
      <c r="C42" s="1">
        <f>D11</f>
        <v>0</v>
      </c>
      <c r="D42" s="4">
        <f>100-100/(1+D41/100)</f>
        <v>0</v>
      </c>
      <c r="E42" s="8"/>
      <c r="F42" s="2"/>
    </row>
    <row r="43" spans="1:6">
      <c r="A43" s="6" t="s">
        <v>46</v>
      </c>
      <c r="B43" s="1">
        <v>0</v>
      </c>
      <c r="C43" s="1">
        <f>D11</f>
        <v>0</v>
      </c>
      <c r="D43" s="4">
        <f>30*(1-(1-(0.01/0.3))^((C43/B2)/1.5))</f>
        <v>0</v>
      </c>
      <c r="E43" s="8"/>
      <c r="F43" s="2"/>
    </row>
    <row r="44" spans="1:6">
      <c r="A44" s="8"/>
      <c r="B44" s="2"/>
      <c r="C44" s="2"/>
      <c r="D44" s="2"/>
      <c r="E44" s="8"/>
      <c r="F44" s="2"/>
    </row>
    <row r="45" spans="1:6">
      <c r="A45" s="8"/>
      <c r="B45" s="2"/>
      <c r="C45" s="2"/>
      <c r="D45" s="2"/>
      <c r="E45" s="8"/>
      <c r="F45" s="2"/>
    </row>
    <row r="46" spans="1:6">
      <c r="A46" s="8"/>
      <c r="B46" s="2"/>
      <c r="C46" s="2"/>
      <c r="D46" s="2"/>
      <c r="E46" s="8"/>
      <c r="F46" s="2"/>
    </row>
    <row r="47" spans="1:6">
      <c r="A47" s="2"/>
      <c r="B47" s="2"/>
      <c r="C47" s="2"/>
      <c r="D47" s="2"/>
      <c r="E47" s="8"/>
      <c r="F47" s="2"/>
    </row>
    <row r="48" spans="1:6">
      <c r="A48" s="2"/>
      <c r="B48" s="2"/>
      <c r="C48" s="2"/>
      <c r="D48" s="2"/>
      <c r="E48" s="8"/>
      <c r="F48" s="2"/>
    </row>
    <row r="49" spans="1:6">
      <c r="A49" s="8"/>
      <c r="B49" s="2"/>
      <c r="C49" s="2"/>
      <c r="D49" s="2"/>
      <c r="E49" s="8"/>
      <c r="F49" s="2"/>
    </row>
    <row r="50" spans="1:6">
      <c r="A50" s="2"/>
      <c r="B50" s="2"/>
      <c r="C50" s="2"/>
      <c r="D50" s="2"/>
      <c r="E50" s="8"/>
      <c r="F50" s="2"/>
    </row>
    <row r="51" spans="1:6">
      <c r="A51" s="8"/>
      <c r="B51" s="2"/>
      <c r="C51" s="2"/>
      <c r="D51" s="2"/>
      <c r="E51" s="8"/>
      <c r="F51" s="2"/>
    </row>
    <row r="52" spans="1:6">
      <c r="A52" s="2"/>
      <c r="B52" s="2"/>
      <c r="C52" s="2"/>
      <c r="D52" s="2"/>
      <c r="E52" s="8"/>
      <c r="F52" s="2"/>
    </row>
    <row r="53" spans="1:6">
      <c r="A53" s="8"/>
      <c r="B53" s="2"/>
      <c r="C53" s="2"/>
      <c r="D53" s="2"/>
      <c r="E53" s="8"/>
      <c r="F53" s="2"/>
    </row>
    <row r="54" spans="1:6">
      <c r="A54" s="8"/>
      <c r="B54" s="2"/>
      <c r="C54" s="2"/>
      <c r="D54" s="2"/>
      <c r="E54" s="8"/>
      <c r="F54" s="2"/>
    </row>
    <row r="55" spans="1:6">
      <c r="A55" s="8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8"/>
      <c r="B57" s="2"/>
      <c r="C57" s="2"/>
      <c r="D57" s="2"/>
      <c r="E57" s="2"/>
      <c r="F57" s="2"/>
    </row>
  </sheetData>
  <dataValidations count="2">
    <dataValidation type="list" allowBlank="1" showInputMessage="1" showErrorMessage="1" sqref="B1">
      <formula1>Classe</formula1>
    </dataValidation>
    <dataValidation type="list" allowBlank="1" showInputMessage="1" showErrorMessage="1" sqref="D1">
      <formula1>spe</formula1>
    </dataValidation>
  </dataValidations>
  <pageMargins left="0.7" right="0.7" top="0.75" bottom="0.75" header="0.3" footer="0.3"/>
  <pageSetup paperSize="9" orientation="portrait" r:id="rId1"/>
  <ignoredErrors>
    <ignoredError sqref="G6 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workbookViewId="0">
      <selection activeCell="B15" sqref="B15:B20"/>
    </sheetView>
  </sheetViews>
  <sheetFormatPr baseColWidth="10" defaultRowHeight="15"/>
  <cols>
    <col min="1" max="1" width="11.42578125" style="10"/>
  </cols>
  <sheetData>
    <row r="1" spans="1:8">
      <c r="A1" s="6" t="s">
        <v>75</v>
      </c>
      <c r="B1" s="6" t="s">
        <v>76</v>
      </c>
      <c r="C1" s="6" t="s">
        <v>77</v>
      </c>
      <c r="D1" s="6" t="s">
        <v>78</v>
      </c>
      <c r="E1" s="6" t="s">
        <v>79</v>
      </c>
      <c r="F1" s="6" t="s">
        <v>28</v>
      </c>
      <c r="H1" s="6" t="s">
        <v>28</v>
      </c>
    </row>
    <row r="2" spans="1:8">
      <c r="A2" s="6" t="s">
        <v>87</v>
      </c>
      <c r="B2">
        <v>475</v>
      </c>
      <c r="F2" s="1">
        <f>SUM(B2:E2)</f>
        <v>475</v>
      </c>
      <c r="H2" s="9">
        <f>F2+F15+F28+F41+F54+F67+F80</f>
        <v>2613</v>
      </c>
    </row>
    <row r="3" spans="1:8">
      <c r="A3" s="6" t="s">
        <v>1</v>
      </c>
      <c r="B3">
        <v>60</v>
      </c>
      <c r="C3">
        <v>53</v>
      </c>
      <c r="D3">
        <v>45</v>
      </c>
      <c r="E3">
        <v>12</v>
      </c>
      <c r="F3" s="1">
        <f t="shared" ref="F3:F12" si="0">SUM(B3:E3)</f>
        <v>170</v>
      </c>
      <c r="H3" s="9">
        <f t="shared" ref="H3:H12" si="1">F3+F16+F29+F42+F55+F68+F81+G95+G108+D120+D132+D144+D156+D168</f>
        <v>2010</v>
      </c>
    </row>
    <row r="4" spans="1:8">
      <c r="A4" s="6" t="s">
        <v>89</v>
      </c>
      <c r="B4">
        <v>57</v>
      </c>
      <c r="C4">
        <v>41</v>
      </c>
      <c r="E4">
        <v>18</v>
      </c>
      <c r="F4" s="1">
        <f t="shared" si="0"/>
        <v>116</v>
      </c>
      <c r="H4" s="9">
        <f t="shared" si="1"/>
        <v>1423</v>
      </c>
    </row>
    <row r="5" spans="1:8">
      <c r="A5" s="6" t="s">
        <v>80</v>
      </c>
      <c r="D5">
        <v>57</v>
      </c>
      <c r="F5" s="1">
        <f t="shared" si="0"/>
        <v>57</v>
      </c>
      <c r="H5" s="9">
        <f t="shared" si="1"/>
        <v>561</v>
      </c>
    </row>
    <row r="6" spans="1:8">
      <c r="A6" s="6" t="s">
        <v>81</v>
      </c>
      <c r="D6">
        <v>22</v>
      </c>
      <c r="F6" s="1">
        <f t="shared" si="0"/>
        <v>22</v>
      </c>
      <c r="H6" s="9">
        <f t="shared" si="1"/>
        <v>245</v>
      </c>
    </row>
    <row r="7" spans="1:8">
      <c r="A7" s="6" t="s">
        <v>82</v>
      </c>
      <c r="C7">
        <v>32</v>
      </c>
      <c r="F7" s="1">
        <f t="shared" si="0"/>
        <v>32</v>
      </c>
      <c r="H7" s="9">
        <f t="shared" si="1"/>
        <v>349</v>
      </c>
    </row>
    <row r="8" spans="1:8">
      <c r="A8" s="6" t="s">
        <v>83</v>
      </c>
      <c r="F8" s="1">
        <f t="shared" si="0"/>
        <v>0</v>
      </c>
      <c r="H8" s="9">
        <f t="shared" si="1"/>
        <v>0</v>
      </c>
    </row>
    <row r="9" spans="1:8">
      <c r="A9" s="6" t="s">
        <v>43</v>
      </c>
      <c r="F9" s="1">
        <f t="shared" si="0"/>
        <v>0</v>
      </c>
      <c r="H9" s="9">
        <f t="shared" si="1"/>
        <v>0</v>
      </c>
    </row>
    <row r="10" spans="1:8">
      <c r="A10" s="6" t="s">
        <v>84</v>
      </c>
      <c r="F10" s="1">
        <f t="shared" si="0"/>
        <v>0</v>
      </c>
      <c r="H10" s="9">
        <f t="shared" si="1"/>
        <v>27</v>
      </c>
    </row>
    <row r="11" spans="1:8">
      <c r="A11" s="6" t="s">
        <v>85</v>
      </c>
      <c r="F11" s="1">
        <f t="shared" si="0"/>
        <v>0</v>
      </c>
      <c r="H11" s="9">
        <f t="shared" si="1"/>
        <v>0</v>
      </c>
    </row>
    <row r="12" spans="1:8">
      <c r="A12" s="6" t="s">
        <v>86</v>
      </c>
      <c r="F12" s="1">
        <f t="shared" si="0"/>
        <v>0</v>
      </c>
      <c r="H12" s="9">
        <f t="shared" si="1"/>
        <v>0</v>
      </c>
    </row>
    <row r="13" spans="1:8">
      <c r="H13" s="9">
        <f>G94+G107</f>
        <v>1020</v>
      </c>
    </row>
    <row r="14" spans="1:8">
      <c r="A14" s="6" t="s">
        <v>88</v>
      </c>
      <c r="B14" s="6" t="s">
        <v>76</v>
      </c>
      <c r="C14" s="6" t="s">
        <v>77</v>
      </c>
      <c r="D14" s="6" t="s">
        <v>78</v>
      </c>
      <c r="E14" s="6" t="s">
        <v>79</v>
      </c>
      <c r="F14" s="6" t="s">
        <v>28</v>
      </c>
    </row>
    <row r="15" spans="1:8">
      <c r="A15" s="6" t="s">
        <v>87</v>
      </c>
      <c r="B15">
        <v>475</v>
      </c>
      <c r="F15" s="1">
        <f>SUM(B15:E15)</f>
        <v>475</v>
      </c>
    </row>
    <row r="16" spans="1:8">
      <c r="A16" s="6" t="s">
        <v>1</v>
      </c>
      <c r="B16">
        <v>60</v>
      </c>
      <c r="C16">
        <v>53</v>
      </c>
      <c r="D16">
        <v>45</v>
      </c>
      <c r="E16">
        <v>12</v>
      </c>
      <c r="F16" s="1">
        <f t="shared" ref="F16:F25" si="2">SUM(B16:E16)</f>
        <v>170</v>
      </c>
    </row>
    <row r="17" spans="1:6">
      <c r="A17" s="6" t="s">
        <v>89</v>
      </c>
      <c r="B17">
        <v>57</v>
      </c>
      <c r="C17">
        <v>41</v>
      </c>
      <c r="E17">
        <v>18</v>
      </c>
      <c r="F17" s="1">
        <f t="shared" si="2"/>
        <v>116</v>
      </c>
    </row>
    <row r="18" spans="1:6">
      <c r="A18" s="6" t="s">
        <v>80</v>
      </c>
      <c r="D18">
        <v>57</v>
      </c>
      <c r="F18" s="1">
        <f t="shared" si="2"/>
        <v>57</v>
      </c>
    </row>
    <row r="19" spans="1:6">
      <c r="A19" s="6" t="s">
        <v>81</v>
      </c>
      <c r="D19">
        <v>22</v>
      </c>
      <c r="F19" s="1">
        <f t="shared" si="2"/>
        <v>22</v>
      </c>
    </row>
    <row r="20" spans="1:6">
      <c r="A20" s="6" t="s">
        <v>82</v>
      </c>
      <c r="C20">
        <v>32</v>
      </c>
      <c r="F20" s="1">
        <f t="shared" si="2"/>
        <v>32</v>
      </c>
    </row>
    <row r="21" spans="1:6">
      <c r="A21" s="6" t="s">
        <v>83</v>
      </c>
      <c r="F21" s="1">
        <f t="shared" si="2"/>
        <v>0</v>
      </c>
    </row>
    <row r="22" spans="1:6">
      <c r="A22" s="6" t="s">
        <v>43</v>
      </c>
      <c r="F22" s="1">
        <f t="shared" si="2"/>
        <v>0</v>
      </c>
    </row>
    <row r="23" spans="1:6">
      <c r="A23" s="6" t="s">
        <v>84</v>
      </c>
      <c r="F23" s="1">
        <f t="shared" si="2"/>
        <v>0</v>
      </c>
    </row>
    <row r="24" spans="1:6">
      <c r="A24" s="6" t="s">
        <v>85</v>
      </c>
      <c r="F24" s="1">
        <f t="shared" si="2"/>
        <v>0</v>
      </c>
    </row>
    <row r="25" spans="1:6">
      <c r="A25" s="6" t="s">
        <v>86</v>
      </c>
      <c r="F25" s="1">
        <f t="shared" si="2"/>
        <v>0</v>
      </c>
    </row>
    <row r="27" spans="1:6">
      <c r="A27" s="6" t="s">
        <v>90</v>
      </c>
      <c r="B27" s="6" t="s">
        <v>76</v>
      </c>
      <c r="C27" s="6" t="s">
        <v>77</v>
      </c>
      <c r="D27" s="6" t="s">
        <v>78</v>
      </c>
      <c r="E27" s="6" t="s">
        <v>79</v>
      </c>
      <c r="F27" s="6" t="s">
        <v>28</v>
      </c>
    </row>
    <row r="28" spans="1:6">
      <c r="A28" s="6" t="s">
        <v>87</v>
      </c>
      <c r="B28">
        <v>297</v>
      </c>
      <c r="F28" s="1">
        <f>SUM(B28:E28)</f>
        <v>297</v>
      </c>
    </row>
    <row r="29" spans="1:6">
      <c r="A29" s="6" t="s">
        <v>1</v>
      </c>
      <c r="B29">
        <v>60</v>
      </c>
      <c r="C29">
        <v>53</v>
      </c>
      <c r="D29">
        <v>45</v>
      </c>
      <c r="E29">
        <v>12</v>
      </c>
      <c r="F29" s="1">
        <f t="shared" ref="F29:F38" si="3">SUM(B29:E29)</f>
        <v>170</v>
      </c>
    </row>
    <row r="30" spans="1:6">
      <c r="A30" s="6" t="s">
        <v>89</v>
      </c>
      <c r="B30">
        <v>57</v>
      </c>
      <c r="C30">
        <v>41</v>
      </c>
      <c r="E30">
        <v>18</v>
      </c>
      <c r="F30" s="1">
        <f t="shared" si="3"/>
        <v>116</v>
      </c>
    </row>
    <row r="31" spans="1:6">
      <c r="A31" s="6" t="s">
        <v>80</v>
      </c>
      <c r="D31">
        <v>57</v>
      </c>
      <c r="F31" s="1">
        <f t="shared" si="3"/>
        <v>57</v>
      </c>
    </row>
    <row r="32" spans="1:6">
      <c r="A32" s="6" t="s">
        <v>81</v>
      </c>
      <c r="F32" s="1">
        <f t="shared" si="3"/>
        <v>0</v>
      </c>
    </row>
    <row r="33" spans="1:6">
      <c r="A33" s="6" t="s">
        <v>82</v>
      </c>
      <c r="C33">
        <v>32</v>
      </c>
      <c r="D33">
        <v>22</v>
      </c>
      <c r="F33" s="1">
        <f t="shared" si="3"/>
        <v>54</v>
      </c>
    </row>
    <row r="34" spans="1:6">
      <c r="A34" s="6" t="s">
        <v>83</v>
      </c>
      <c r="F34" s="1">
        <f t="shared" si="3"/>
        <v>0</v>
      </c>
    </row>
    <row r="35" spans="1:6">
      <c r="A35" s="6" t="s">
        <v>43</v>
      </c>
      <c r="F35" s="1">
        <f t="shared" si="3"/>
        <v>0</v>
      </c>
    </row>
    <row r="36" spans="1:6">
      <c r="A36" s="6" t="s">
        <v>84</v>
      </c>
      <c r="F36" s="1">
        <f t="shared" si="3"/>
        <v>0</v>
      </c>
    </row>
    <row r="37" spans="1:6">
      <c r="A37" s="6" t="s">
        <v>85</v>
      </c>
      <c r="F37" s="1">
        <f t="shared" si="3"/>
        <v>0</v>
      </c>
    </row>
    <row r="38" spans="1:6">
      <c r="A38" s="6" t="s">
        <v>86</v>
      </c>
      <c r="F38" s="1">
        <f t="shared" si="3"/>
        <v>0</v>
      </c>
    </row>
    <row r="40" spans="1:6">
      <c r="A40" s="6" t="s">
        <v>91</v>
      </c>
      <c r="B40" s="6" t="s">
        <v>76</v>
      </c>
      <c r="C40" s="6" t="s">
        <v>77</v>
      </c>
      <c r="D40" s="6" t="s">
        <v>78</v>
      </c>
      <c r="E40" s="6" t="s">
        <v>79</v>
      </c>
      <c r="F40" s="6" t="s">
        <v>28</v>
      </c>
    </row>
    <row r="41" spans="1:6">
      <c r="A41" s="6" t="s">
        <v>87</v>
      </c>
      <c r="B41">
        <v>475</v>
      </c>
      <c r="F41" s="1">
        <f>SUM(B41:E41)</f>
        <v>475</v>
      </c>
    </row>
    <row r="42" spans="1:6">
      <c r="A42" s="6" t="s">
        <v>1</v>
      </c>
      <c r="B42">
        <v>60</v>
      </c>
      <c r="C42">
        <v>53</v>
      </c>
      <c r="D42">
        <v>45</v>
      </c>
      <c r="E42">
        <v>12</v>
      </c>
      <c r="F42" s="1">
        <f t="shared" ref="F42:F51" si="4">SUM(B42:E42)</f>
        <v>170</v>
      </c>
    </row>
    <row r="43" spans="1:6">
      <c r="A43" s="6" t="s">
        <v>89</v>
      </c>
      <c r="B43">
        <v>57</v>
      </c>
      <c r="C43">
        <v>41</v>
      </c>
      <c r="E43">
        <v>18</v>
      </c>
      <c r="F43" s="1">
        <f t="shared" si="4"/>
        <v>116</v>
      </c>
    </row>
    <row r="44" spans="1:6">
      <c r="A44" s="6" t="s">
        <v>80</v>
      </c>
      <c r="D44">
        <v>57</v>
      </c>
      <c r="F44" s="1">
        <f t="shared" si="4"/>
        <v>57</v>
      </c>
    </row>
    <row r="45" spans="1:6">
      <c r="A45" s="6" t="s">
        <v>81</v>
      </c>
      <c r="F45" s="1">
        <f t="shared" si="4"/>
        <v>0</v>
      </c>
    </row>
    <row r="46" spans="1:6">
      <c r="A46" s="6" t="s">
        <v>82</v>
      </c>
      <c r="C46">
        <v>32</v>
      </c>
      <c r="D46">
        <v>22</v>
      </c>
      <c r="F46" s="1">
        <f t="shared" si="4"/>
        <v>54</v>
      </c>
    </row>
    <row r="47" spans="1:6">
      <c r="A47" s="6" t="s">
        <v>83</v>
      </c>
      <c r="F47" s="1">
        <f t="shared" si="4"/>
        <v>0</v>
      </c>
    </row>
    <row r="48" spans="1:6">
      <c r="A48" s="6" t="s">
        <v>43</v>
      </c>
      <c r="F48" s="1">
        <f t="shared" si="4"/>
        <v>0</v>
      </c>
    </row>
    <row r="49" spans="1:6">
      <c r="A49" s="6" t="s">
        <v>84</v>
      </c>
      <c r="F49" s="1">
        <f t="shared" si="4"/>
        <v>0</v>
      </c>
    </row>
    <row r="50" spans="1:6">
      <c r="A50" s="6" t="s">
        <v>85</v>
      </c>
      <c r="F50" s="1">
        <f t="shared" si="4"/>
        <v>0</v>
      </c>
    </row>
    <row r="51" spans="1:6">
      <c r="A51" s="6" t="s">
        <v>86</v>
      </c>
      <c r="F51" s="1">
        <f t="shared" si="4"/>
        <v>0</v>
      </c>
    </row>
    <row r="53" spans="1:6">
      <c r="A53" s="6" t="s">
        <v>92</v>
      </c>
      <c r="B53" s="6" t="s">
        <v>76</v>
      </c>
      <c r="C53" s="6" t="s">
        <v>77</v>
      </c>
      <c r="D53" s="6" t="s">
        <v>78</v>
      </c>
      <c r="E53" s="6" t="s">
        <v>79</v>
      </c>
      <c r="F53" s="6" t="s">
        <v>28</v>
      </c>
    </row>
    <row r="54" spans="1:6">
      <c r="A54" s="6" t="s">
        <v>87</v>
      </c>
      <c r="B54">
        <v>297</v>
      </c>
      <c r="F54" s="1">
        <f>SUM(B54:E54)</f>
        <v>297</v>
      </c>
    </row>
    <row r="55" spans="1:6">
      <c r="A55" s="6" t="s">
        <v>1</v>
      </c>
      <c r="B55">
        <v>60</v>
      </c>
      <c r="C55">
        <v>53</v>
      </c>
      <c r="D55">
        <v>45</v>
      </c>
      <c r="E55">
        <v>12</v>
      </c>
      <c r="F55" s="1">
        <f t="shared" ref="F55:F64" si="5">SUM(B55:E55)</f>
        <v>170</v>
      </c>
    </row>
    <row r="56" spans="1:6">
      <c r="A56" s="6" t="s">
        <v>89</v>
      </c>
      <c r="B56">
        <v>57</v>
      </c>
      <c r="C56">
        <v>41</v>
      </c>
      <c r="E56">
        <v>18</v>
      </c>
      <c r="F56" s="1">
        <f t="shared" si="5"/>
        <v>116</v>
      </c>
    </row>
    <row r="57" spans="1:6">
      <c r="A57" s="6" t="s">
        <v>80</v>
      </c>
      <c r="D57">
        <v>57</v>
      </c>
      <c r="F57" s="1">
        <f t="shared" si="5"/>
        <v>57</v>
      </c>
    </row>
    <row r="58" spans="1:6">
      <c r="A58" s="6" t="s">
        <v>81</v>
      </c>
      <c r="F58" s="1">
        <f t="shared" si="5"/>
        <v>0</v>
      </c>
    </row>
    <row r="59" spans="1:6">
      <c r="A59" s="6" t="s">
        <v>82</v>
      </c>
      <c r="C59">
        <v>32</v>
      </c>
      <c r="D59">
        <v>22</v>
      </c>
      <c r="F59" s="1">
        <f t="shared" si="5"/>
        <v>54</v>
      </c>
    </row>
    <row r="60" spans="1:6">
      <c r="A60" s="6" t="s">
        <v>83</v>
      </c>
      <c r="F60" s="1">
        <f t="shared" si="5"/>
        <v>0</v>
      </c>
    </row>
    <row r="61" spans="1:6">
      <c r="A61" s="6" t="s">
        <v>43</v>
      </c>
      <c r="F61" s="1">
        <f t="shared" si="5"/>
        <v>0</v>
      </c>
    </row>
    <row r="62" spans="1:6">
      <c r="A62" s="6" t="s">
        <v>84</v>
      </c>
      <c r="F62" s="1">
        <f t="shared" si="5"/>
        <v>0</v>
      </c>
    </row>
    <row r="63" spans="1:6">
      <c r="A63" s="6" t="s">
        <v>85</v>
      </c>
      <c r="F63" s="1">
        <f t="shared" si="5"/>
        <v>0</v>
      </c>
    </row>
    <row r="64" spans="1:6">
      <c r="A64" s="6" t="s">
        <v>86</v>
      </c>
      <c r="F64" s="1">
        <f t="shared" si="5"/>
        <v>0</v>
      </c>
    </row>
    <row r="66" spans="1:6">
      <c r="A66" s="6" t="s">
        <v>93</v>
      </c>
      <c r="B66" s="6" t="s">
        <v>76</v>
      </c>
      <c r="C66" s="6" t="s">
        <v>77</v>
      </c>
      <c r="D66" s="6" t="s">
        <v>78</v>
      </c>
      <c r="E66" s="6" t="s">
        <v>79</v>
      </c>
      <c r="F66" s="6" t="s">
        <v>28</v>
      </c>
    </row>
    <row r="67" spans="1:6">
      <c r="A67" s="6" t="s">
        <v>87</v>
      </c>
      <c r="B67">
        <v>297</v>
      </c>
      <c r="F67" s="1">
        <f>SUM(B67:E67)</f>
        <v>297</v>
      </c>
    </row>
    <row r="68" spans="1:6">
      <c r="A68" s="6" t="s">
        <v>1</v>
      </c>
      <c r="B68">
        <v>81</v>
      </c>
      <c r="E68">
        <v>12</v>
      </c>
      <c r="F68" s="1">
        <f t="shared" ref="F68:F77" si="6">SUM(B68:E68)</f>
        <v>93</v>
      </c>
    </row>
    <row r="69" spans="1:6">
      <c r="A69" s="6" t="s">
        <v>89</v>
      </c>
      <c r="B69">
        <v>93</v>
      </c>
      <c r="E69">
        <v>18</v>
      </c>
      <c r="F69" s="1">
        <f t="shared" si="6"/>
        <v>111</v>
      </c>
    </row>
    <row r="70" spans="1:6">
      <c r="A70" s="6" t="s">
        <v>80</v>
      </c>
      <c r="F70" s="1">
        <f t="shared" si="6"/>
        <v>0</v>
      </c>
    </row>
    <row r="71" spans="1:6">
      <c r="A71" s="6" t="s">
        <v>81</v>
      </c>
      <c r="B71">
        <v>41</v>
      </c>
      <c r="F71" s="1">
        <f t="shared" si="6"/>
        <v>41</v>
      </c>
    </row>
    <row r="72" spans="1:6">
      <c r="A72" s="6" t="s">
        <v>82</v>
      </c>
      <c r="F72" s="1">
        <f t="shared" si="6"/>
        <v>0</v>
      </c>
    </row>
    <row r="73" spans="1:6">
      <c r="A73" s="6" t="s">
        <v>83</v>
      </c>
      <c r="F73" s="1">
        <f t="shared" si="6"/>
        <v>0</v>
      </c>
    </row>
    <row r="74" spans="1:6">
      <c r="A74" s="6" t="s">
        <v>43</v>
      </c>
      <c r="F74" s="1">
        <f t="shared" si="6"/>
        <v>0</v>
      </c>
    </row>
    <row r="75" spans="1:6">
      <c r="A75" s="6" t="s">
        <v>84</v>
      </c>
      <c r="F75" s="1">
        <f t="shared" si="6"/>
        <v>0</v>
      </c>
    </row>
    <row r="76" spans="1:6">
      <c r="A76" s="6" t="s">
        <v>85</v>
      </c>
      <c r="F76" s="1">
        <f t="shared" si="6"/>
        <v>0</v>
      </c>
    </row>
    <row r="77" spans="1:6">
      <c r="A77" s="6" t="s">
        <v>86</v>
      </c>
      <c r="F77" s="1">
        <f t="shared" si="6"/>
        <v>0</v>
      </c>
    </row>
    <row r="79" spans="1:6">
      <c r="A79" s="6" t="s">
        <v>94</v>
      </c>
      <c r="B79" s="6" t="s">
        <v>76</v>
      </c>
      <c r="C79" s="6" t="s">
        <v>77</v>
      </c>
      <c r="D79" s="6" t="s">
        <v>78</v>
      </c>
      <c r="E79" s="6" t="s">
        <v>79</v>
      </c>
      <c r="F79" s="6" t="s">
        <v>28</v>
      </c>
    </row>
    <row r="80" spans="1:6">
      <c r="A80" s="6" t="s">
        <v>87</v>
      </c>
      <c r="B80">
        <v>297</v>
      </c>
      <c r="F80" s="1">
        <f>SUM(B80:E80)</f>
        <v>297</v>
      </c>
    </row>
    <row r="81" spans="1:7">
      <c r="A81" s="6" t="s">
        <v>1</v>
      </c>
      <c r="B81">
        <v>96</v>
      </c>
      <c r="E81">
        <v>12</v>
      </c>
      <c r="F81" s="1">
        <f t="shared" ref="F81:F90" si="7">SUM(B81:E81)</f>
        <v>108</v>
      </c>
    </row>
    <row r="82" spans="1:7">
      <c r="A82" s="6" t="s">
        <v>89</v>
      </c>
      <c r="B82">
        <v>84</v>
      </c>
      <c r="E82">
        <v>18</v>
      </c>
      <c r="F82" s="1">
        <f t="shared" si="7"/>
        <v>102</v>
      </c>
    </row>
    <row r="83" spans="1:7">
      <c r="A83" s="6" t="s">
        <v>80</v>
      </c>
      <c r="F83" s="1">
        <f t="shared" si="7"/>
        <v>0</v>
      </c>
    </row>
    <row r="84" spans="1:7">
      <c r="A84" s="6" t="s">
        <v>81</v>
      </c>
      <c r="B84">
        <v>32</v>
      </c>
      <c r="F84" s="1">
        <f t="shared" si="7"/>
        <v>32</v>
      </c>
    </row>
    <row r="85" spans="1:7">
      <c r="A85" s="6" t="s">
        <v>82</v>
      </c>
      <c r="F85" s="1">
        <f t="shared" si="7"/>
        <v>0</v>
      </c>
    </row>
    <row r="86" spans="1:7">
      <c r="A86" s="6" t="s">
        <v>83</v>
      </c>
      <c r="F86" s="1">
        <f t="shared" si="7"/>
        <v>0</v>
      </c>
    </row>
    <row r="87" spans="1:7">
      <c r="A87" s="6" t="s">
        <v>43</v>
      </c>
      <c r="F87" s="1">
        <f t="shared" si="7"/>
        <v>0</v>
      </c>
    </row>
    <row r="88" spans="1:7">
      <c r="A88" s="6" t="s">
        <v>84</v>
      </c>
      <c r="F88" s="1">
        <f t="shared" si="7"/>
        <v>0</v>
      </c>
    </row>
    <row r="89" spans="1:7">
      <c r="A89" s="6" t="s">
        <v>85</v>
      </c>
      <c r="F89" s="1">
        <f t="shared" si="7"/>
        <v>0</v>
      </c>
    </row>
    <row r="90" spans="1:7">
      <c r="A90" s="6" t="s">
        <v>86</v>
      </c>
      <c r="F90" s="1">
        <f t="shared" si="7"/>
        <v>0</v>
      </c>
    </row>
    <row r="92" spans="1:7">
      <c r="A92" s="6" t="s">
        <v>95</v>
      </c>
      <c r="B92" s="6" t="s">
        <v>99</v>
      </c>
      <c r="C92" s="6" t="s">
        <v>97</v>
      </c>
      <c r="D92" s="6" t="s">
        <v>77</v>
      </c>
      <c r="E92" s="6" t="s">
        <v>78</v>
      </c>
      <c r="F92" s="6" t="s">
        <v>79</v>
      </c>
      <c r="G92" s="6" t="s">
        <v>28</v>
      </c>
    </row>
    <row r="93" spans="1:7">
      <c r="A93" s="6" t="s">
        <v>96</v>
      </c>
      <c r="G93" s="1">
        <f>SUM(C93:F93)</f>
        <v>0</v>
      </c>
    </row>
    <row r="94" spans="1:7">
      <c r="A94" s="6" t="s">
        <v>105</v>
      </c>
      <c r="C94">
        <v>612</v>
      </c>
      <c r="G94" s="1">
        <f t="shared" ref="G94:G104" si="8">SUM(C94:F94)</f>
        <v>612</v>
      </c>
    </row>
    <row r="95" spans="1:7">
      <c r="A95" s="6" t="s">
        <v>1</v>
      </c>
      <c r="B95">
        <v>41</v>
      </c>
      <c r="C95">
        <v>55</v>
      </c>
      <c r="D95">
        <v>53</v>
      </c>
      <c r="E95">
        <v>45</v>
      </c>
      <c r="F95">
        <v>12</v>
      </c>
      <c r="G95" s="1">
        <f>SUM(B95:F95)</f>
        <v>206</v>
      </c>
    </row>
    <row r="96" spans="1:7">
      <c r="A96" s="6" t="s">
        <v>89</v>
      </c>
      <c r="C96">
        <v>51</v>
      </c>
      <c r="D96">
        <v>41</v>
      </c>
      <c r="F96">
        <v>18</v>
      </c>
      <c r="G96" s="1">
        <f t="shared" si="8"/>
        <v>110</v>
      </c>
    </row>
    <row r="97" spans="1:7">
      <c r="A97" s="6" t="s">
        <v>80</v>
      </c>
      <c r="E97">
        <v>57</v>
      </c>
      <c r="G97" s="1">
        <f t="shared" si="8"/>
        <v>57</v>
      </c>
    </row>
    <row r="98" spans="1:7">
      <c r="A98" s="6" t="s">
        <v>81</v>
      </c>
      <c r="E98">
        <v>22</v>
      </c>
      <c r="G98" s="1">
        <f t="shared" si="8"/>
        <v>22</v>
      </c>
    </row>
    <row r="99" spans="1:7">
      <c r="A99" s="6" t="s">
        <v>82</v>
      </c>
      <c r="D99">
        <v>32</v>
      </c>
      <c r="G99" s="1">
        <f t="shared" si="8"/>
        <v>32</v>
      </c>
    </row>
    <row r="100" spans="1:7">
      <c r="A100" s="6" t="s">
        <v>83</v>
      </c>
      <c r="G100" s="1">
        <f t="shared" si="8"/>
        <v>0</v>
      </c>
    </row>
    <row r="101" spans="1:7">
      <c r="A101" s="6" t="s">
        <v>43</v>
      </c>
      <c r="G101" s="1">
        <f t="shared" si="8"/>
        <v>0</v>
      </c>
    </row>
    <row r="102" spans="1:7">
      <c r="A102" s="6" t="s">
        <v>84</v>
      </c>
      <c r="G102" s="1">
        <f t="shared" si="8"/>
        <v>0</v>
      </c>
    </row>
    <row r="103" spans="1:7">
      <c r="A103" s="6" t="s">
        <v>85</v>
      </c>
      <c r="G103" s="1">
        <f t="shared" si="8"/>
        <v>0</v>
      </c>
    </row>
    <row r="104" spans="1:7">
      <c r="A104" s="6" t="s">
        <v>86</v>
      </c>
      <c r="G104" s="1">
        <f t="shared" si="8"/>
        <v>0</v>
      </c>
    </row>
    <row r="106" spans="1:7">
      <c r="A106" s="6" t="s">
        <v>98</v>
      </c>
      <c r="B106" s="6" t="s">
        <v>99</v>
      </c>
      <c r="C106" s="6" t="s">
        <v>76</v>
      </c>
      <c r="D106" s="6" t="s">
        <v>77</v>
      </c>
      <c r="E106" s="6" t="s">
        <v>78</v>
      </c>
      <c r="F106" s="6" t="s">
        <v>79</v>
      </c>
      <c r="G106" s="6" t="s">
        <v>28</v>
      </c>
    </row>
    <row r="107" spans="1:7">
      <c r="A107" s="6" t="s">
        <v>105</v>
      </c>
      <c r="C107">
        <v>408</v>
      </c>
      <c r="G107" s="1">
        <f>SUM(C107:F107)</f>
        <v>408</v>
      </c>
    </row>
    <row r="108" spans="1:7">
      <c r="A108" s="6" t="s">
        <v>1</v>
      </c>
      <c r="B108">
        <v>41</v>
      </c>
      <c r="C108">
        <v>55</v>
      </c>
      <c r="D108">
        <v>53</v>
      </c>
      <c r="E108">
        <v>45</v>
      </c>
      <c r="F108">
        <v>12</v>
      </c>
      <c r="G108" s="1">
        <f>SUM(B108:F108)</f>
        <v>206</v>
      </c>
    </row>
    <row r="109" spans="1:7">
      <c r="A109" s="6" t="s">
        <v>89</v>
      </c>
      <c r="C109">
        <v>51</v>
      </c>
      <c r="D109">
        <v>41</v>
      </c>
      <c r="F109">
        <v>18</v>
      </c>
      <c r="G109" s="1">
        <f t="shared" ref="G109:G117" si="9">SUM(C109:F109)</f>
        <v>110</v>
      </c>
    </row>
    <row r="110" spans="1:7">
      <c r="A110" s="6" t="s">
        <v>80</v>
      </c>
      <c r="E110">
        <v>57</v>
      </c>
      <c r="G110" s="1">
        <f t="shared" si="9"/>
        <v>57</v>
      </c>
    </row>
    <row r="111" spans="1:7">
      <c r="A111" s="6" t="s">
        <v>81</v>
      </c>
      <c r="G111" s="1">
        <f t="shared" si="9"/>
        <v>0</v>
      </c>
    </row>
    <row r="112" spans="1:7">
      <c r="A112" s="6" t="s">
        <v>82</v>
      </c>
      <c r="D112">
        <v>32</v>
      </c>
      <c r="E112">
        <v>22</v>
      </c>
      <c r="G112" s="1">
        <f t="shared" si="9"/>
        <v>54</v>
      </c>
    </row>
    <row r="113" spans="1:7">
      <c r="A113" s="6" t="s">
        <v>83</v>
      </c>
      <c r="G113" s="1">
        <f t="shared" si="9"/>
        <v>0</v>
      </c>
    </row>
    <row r="114" spans="1:7">
      <c r="A114" s="6" t="s">
        <v>43</v>
      </c>
      <c r="G114" s="1">
        <f t="shared" si="9"/>
        <v>0</v>
      </c>
    </row>
    <row r="115" spans="1:7">
      <c r="A115" s="6" t="s">
        <v>84</v>
      </c>
      <c r="G115" s="1">
        <f t="shared" si="9"/>
        <v>0</v>
      </c>
    </row>
    <row r="116" spans="1:7">
      <c r="A116" s="6" t="s">
        <v>85</v>
      </c>
      <c r="G116" s="1">
        <f t="shared" si="9"/>
        <v>0</v>
      </c>
    </row>
    <row r="117" spans="1:7">
      <c r="A117" s="6" t="s">
        <v>86</v>
      </c>
      <c r="G117" s="1">
        <f t="shared" si="9"/>
        <v>0</v>
      </c>
    </row>
    <row r="119" spans="1:7">
      <c r="A119" s="6" t="s">
        <v>100</v>
      </c>
      <c r="B119" s="6" t="s">
        <v>89</v>
      </c>
      <c r="C119" s="6" t="s">
        <v>79</v>
      </c>
      <c r="D119" s="6" t="s">
        <v>28</v>
      </c>
    </row>
    <row r="120" spans="1:7">
      <c r="A120" s="6" t="s">
        <v>1</v>
      </c>
      <c r="B120">
        <v>121</v>
      </c>
      <c r="C120">
        <v>12</v>
      </c>
      <c r="D120" s="1">
        <f t="shared" ref="D120:D129" si="10">SUM(B120:C120)</f>
        <v>133</v>
      </c>
    </row>
    <row r="121" spans="1:7">
      <c r="A121" s="6" t="s">
        <v>89</v>
      </c>
      <c r="B121">
        <v>84</v>
      </c>
      <c r="C121">
        <v>18</v>
      </c>
      <c r="D121" s="1">
        <f t="shared" si="10"/>
        <v>102</v>
      </c>
    </row>
    <row r="122" spans="1:7">
      <c r="A122" s="6" t="s">
        <v>80</v>
      </c>
      <c r="B122">
        <v>57</v>
      </c>
      <c r="D122" s="1">
        <f t="shared" si="10"/>
        <v>57</v>
      </c>
    </row>
    <row r="123" spans="1:7">
      <c r="A123" s="6" t="s">
        <v>81</v>
      </c>
      <c r="B123">
        <v>49</v>
      </c>
      <c r="D123" s="1">
        <f t="shared" si="10"/>
        <v>49</v>
      </c>
    </row>
    <row r="124" spans="1:7">
      <c r="A124" s="6" t="s">
        <v>82</v>
      </c>
      <c r="D124" s="1">
        <f t="shared" si="10"/>
        <v>0</v>
      </c>
    </row>
    <row r="125" spans="1:7">
      <c r="A125" s="6" t="s">
        <v>83</v>
      </c>
      <c r="D125" s="1">
        <f t="shared" si="10"/>
        <v>0</v>
      </c>
    </row>
    <row r="126" spans="1:7">
      <c r="A126" s="6" t="s">
        <v>43</v>
      </c>
      <c r="D126" s="1">
        <f t="shared" si="10"/>
        <v>0</v>
      </c>
    </row>
    <row r="127" spans="1:7">
      <c r="A127" s="6" t="s">
        <v>84</v>
      </c>
      <c r="D127" s="1">
        <f t="shared" si="10"/>
        <v>0</v>
      </c>
    </row>
    <row r="128" spans="1:7">
      <c r="A128" s="6" t="s">
        <v>85</v>
      </c>
      <c r="D128" s="1">
        <f t="shared" si="10"/>
        <v>0</v>
      </c>
    </row>
    <row r="129" spans="1:4">
      <c r="A129" s="6" t="s">
        <v>86</v>
      </c>
      <c r="D129" s="1">
        <f t="shared" si="10"/>
        <v>0</v>
      </c>
    </row>
    <row r="131" spans="1:4">
      <c r="A131" s="6" t="s">
        <v>101</v>
      </c>
      <c r="B131" s="6" t="s">
        <v>89</v>
      </c>
      <c r="C131" s="6" t="s">
        <v>79</v>
      </c>
      <c r="D131" s="6" t="s">
        <v>28</v>
      </c>
    </row>
    <row r="132" spans="1:4">
      <c r="A132" s="6" t="s">
        <v>1</v>
      </c>
      <c r="B132">
        <v>118</v>
      </c>
      <c r="C132">
        <v>12</v>
      </c>
      <c r="D132" s="1">
        <f t="shared" ref="D132:D141" si="11">SUM(B132:C132)</f>
        <v>130</v>
      </c>
    </row>
    <row r="133" spans="1:4">
      <c r="A133" s="6" t="s">
        <v>89</v>
      </c>
      <c r="B133">
        <v>77</v>
      </c>
      <c r="C133">
        <v>18</v>
      </c>
      <c r="D133" s="1">
        <f t="shared" si="11"/>
        <v>95</v>
      </c>
    </row>
    <row r="134" spans="1:4">
      <c r="A134" s="6" t="s">
        <v>80</v>
      </c>
      <c r="B134">
        <v>48</v>
      </c>
      <c r="D134" s="1">
        <f t="shared" si="11"/>
        <v>48</v>
      </c>
    </row>
    <row r="135" spans="1:4">
      <c r="A135" s="6" t="s">
        <v>81</v>
      </c>
      <c r="D135" s="1">
        <f t="shared" si="11"/>
        <v>0</v>
      </c>
    </row>
    <row r="136" spans="1:4">
      <c r="A136" s="6" t="s">
        <v>82</v>
      </c>
      <c r="B136">
        <v>37</v>
      </c>
      <c r="D136" s="1">
        <f t="shared" si="11"/>
        <v>37</v>
      </c>
    </row>
    <row r="137" spans="1:4">
      <c r="A137" s="6" t="s">
        <v>83</v>
      </c>
      <c r="D137" s="1">
        <f t="shared" si="11"/>
        <v>0</v>
      </c>
    </row>
    <row r="138" spans="1:4">
      <c r="A138" s="6" t="s">
        <v>43</v>
      </c>
      <c r="D138" s="1">
        <f t="shared" si="11"/>
        <v>0</v>
      </c>
    </row>
    <row r="139" spans="1:4">
      <c r="A139" s="6" t="s">
        <v>84</v>
      </c>
      <c r="D139" s="1">
        <f t="shared" si="11"/>
        <v>0</v>
      </c>
    </row>
    <row r="140" spans="1:4">
      <c r="A140" s="6" t="s">
        <v>85</v>
      </c>
      <c r="D140" s="1">
        <f t="shared" si="11"/>
        <v>0</v>
      </c>
    </row>
    <row r="141" spans="1:4">
      <c r="A141" s="6" t="s">
        <v>86</v>
      </c>
      <c r="D141" s="1">
        <f t="shared" si="11"/>
        <v>0</v>
      </c>
    </row>
    <row r="143" spans="1:4">
      <c r="A143" s="6" t="s">
        <v>102</v>
      </c>
      <c r="B143" s="6" t="s">
        <v>89</v>
      </c>
      <c r="C143" s="6" t="s">
        <v>79</v>
      </c>
      <c r="D143" s="6" t="s">
        <v>28</v>
      </c>
    </row>
    <row r="144" spans="1:4">
      <c r="A144" s="6" t="s">
        <v>1</v>
      </c>
      <c r="B144">
        <v>108</v>
      </c>
      <c r="C144">
        <v>12</v>
      </c>
      <c r="D144" s="1">
        <f t="shared" ref="D144:D153" si="12">SUM(B144:C144)</f>
        <v>120</v>
      </c>
    </row>
    <row r="145" spans="1:4">
      <c r="A145" s="6" t="s">
        <v>89</v>
      </c>
      <c r="B145">
        <v>93</v>
      </c>
      <c r="C145">
        <v>18</v>
      </c>
      <c r="D145" s="1">
        <f t="shared" si="12"/>
        <v>111</v>
      </c>
    </row>
    <row r="146" spans="1:4">
      <c r="A146" s="6" t="s">
        <v>80</v>
      </c>
      <c r="B146">
        <v>57</v>
      </c>
      <c r="D146" s="1">
        <f t="shared" si="12"/>
        <v>57</v>
      </c>
    </row>
    <row r="147" spans="1:4">
      <c r="A147" s="6" t="s">
        <v>81</v>
      </c>
      <c r="B147">
        <v>57</v>
      </c>
      <c r="D147" s="1">
        <f t="shared" si="12"/>
        <v>57</v>
      </c>
    </row>
    <row r="148" spans="1:4">
      <c r="A148" s="6" t="s">
        <v>82</v>
      </c>
      <c r="D148" s="1">
        <f t="shared" si="12"/>
        <v>0</v>
      </c>
    </row>
    <row r="149" spans="1:4">
      <c r="A149" s="6" t="s">
        <v>83</v>
      </c>
      <c r="D149" s="1">
        <f t="shared" si="12"/>
        <v>0</v>
      </c>
    </row>
    <row r="150" spans="1:4">
      <c r="A150" s="6" t="s">
        <v>43</v>
      </c>
      <c r="D150" s="1">
        <f t="shared" si="12"/>
        <v>0</v>
      </c>
    </row>
    <row r="151" spans="1:4">
      <c r="A151" s="6" t="s">
        <v>84</v>
      </c>
      <c r="D151" s="1">
        <f t="shared" si="12"/>
        <v>0</v>
      </c>
    </row>
    <row r="152" spans="1:4">
      <c r="A152" s="6" t="s">
        <v>85</v>
      </c>
      <c r="D152" s="1">
        <f t="shared" si="12"/>
        <v>0</v>
      </c>
    </row>
    <row r="153" spans="1:4">
      <c r="A153" s="6" t="s">
        <v>86</v>
      </c>
      <c r="D153" s="1">
        <f t="shared" si="12"/>
        <v>0</v>
      </c>
    </row>
    <row r="155" spans="1:4">
      <c r="A155" s="6" t="s">
        <v>103</v>
      </c>
      <c r="B155" s="6" t="s">
        <v>89</v>
      </c>
      <c r="C155" s="6" t="s">
        <v>79</v>
      </c>
      <c r="D155" s="6" t="s">
        <v>28</v>
      </c>
    </row>
    <row r="156" spans="1:4">
      <c r="A156" s="6" t="s">
        <v>1</v>
      </c>
      <c r="B156">
        <v>84</v>
      </c>
      <c r="C156">
        <v>12</v>
      </c>
      <c r="D156" s="1">
        <f t="shared" ref="D156:D165" si="13">SUM(B156:C156)</f>
        <v>96</v>
      </c>
    </row>
    <row r="157" spans="1:4">
      <c r="A157" s="6" t="s">
        <v>89</v>
      </c>
      <c r="C157">
        <v>18</v>
      </c>
      <c r="D157" s="1">
        <f t="shared" si="13"/>
        <v>18</v>
      </c>
    </row>
    <row r="158" spans="1:4">
      <c r="A158" s="6" t="s">
        <v>80</v>
      </c>
      <c r="D158" s="1">
        <f t="shared" si="13"/>
        <v>0</v>
      </c>
    </row>
    <row r="159" spans="1:4">
      <c r="A159" s="6" t="s">
        <v>81</v>
      </c>
      <c r="D159" s="1">
        <f t="shared" si="13"/>
        <v>0</v>
      </c>
    </row>
    <row r="160" spans="1:4">
      <c r="A160" s="6" t="s">
        <v>82</v>
      </c>
      <c r="D160" s="1">
        <f t="shared" si="13"/>
        <v>0</v>
      </c>
    </row>
    <row r="161" spans="1:4">
      <c r="A161" s="6" t="s">
        <v>83</v>
      </c>
      <c r="D161" s="1">
        <f t="shared" si="13"/>
        <v>0</v>
      </c>
    </row>
    <row r="162" spans="1:4">
      <c r="A162" s="6" t="s">
        <v>43</v>
      </c>
      <c r="D162" s="1">
        <f t="shared" si="13"/>
        <v>0</v>
      </c>
    </row>
    <row r="163" spans="1:4">
      <c r="A163" s="6" t="s">
        <v>84</v>
      </c>
      <c r="D163" s="1">
        <f t="shared" si="13"/>
        <v>0</v>
      </c>
    </row>
    <row r="164" spans="1:4">
      <c r="A164" s="6" t="s">
        <v>85</v>
      </c>
      <c r="D164" s="1">
        <f t="shared" si="13"/>
        <v>0</v>
      </c>
    </row>
    <row r="165" spans="1:4">
      <c r="A165" s="6" t="s">
        <v>86</v>
      </c>
      <c r="D165" s="1">
        <f t="shared" si="13"/>
        <v>0</v>
      </c>
    </row>
    <row r="167" spans="1:4">
      <c r="A167" s="6" t="s">
        <v>104</v>
      </c>
      <c r="B167" s="6" t="s">
        <v>89</v>
      </c>
      <c r="C167" s="6" t="s">
        <v>79</v>
      </c>
      <c r="D167" s="6" t="s">
        <v>28</v>
      </c>
    </row>
    <row r="168" spans="1:4">
      <c r="A168" s="6" t="s">
        <v>1</v>
      </c>
      <c r="B168">
        <v>56</v>
      </c>
      <c r="C168">
        <v>12</v>
      </c>
      <c r="D168" s="1">
        <f t="shared" ref="D168:D177" si="14">SUM(B168:C168)</f>
        <v>68</v>
      </c>
    </row>
    <row r="169" spans="1:4">
      <c r="A169" s="6" t="s">
        <v>89</v>
      </c>
      <c r="B169">
        <v>66</v>
      </c>
      <c r="C169">
        <v>18</v>
      </c>
      <c r="D169" s="1">
        <f t="shared" si="14"/>
        <v>84</v>
      </c>
    </row>
    <row r="170" spans="1:4">
      <c r="A170" s="6" t="s">
        <v>80</v>
      </c>
      <c r="D170" s="1">
        <f t="shared" si="14"/>
        <v>0</v>
      </c>
    </row>
    <row r="171" spans="1:4">
      <c r="A171" s="6" t="s">
        <v>81</v>
      </c>
      <c r="D171" s="1">
        <f t="shared" si="14"/>
        <v>0</v>
      </c>
    </row>
    <row r="172" spans="1:4">
      <c r="A172" s="6" t="s">
        <v>82</v>
      </c>
      <c r="D172" s="1">
        <f t="shared" si="14"/>
        <v>0</v>
      </c>
    </row>
    <row r="173" spans="1:4">
      <c r="A173" s="6" t="s">
        <v>83</v>
      </c>
      <c r="D173" s="1">
        <f t="shared" si="14"/>
        <v>0</v>
      </c>
    </row>
    <row r="174" spans="1:4">
      <c r="A174" s="6" t="s">
        <v>43</v>
      </c>
      <c r="D174" s="1">
        <f t="shared" si="14"/>
        <v>0</v>
      </c>
    </row>
    <row r="175" spans="1:4">
      <c r="A175" s="6" t="s">
        <v>84</v>
      </c>
      <c r="B175">
        <v>27</v>
      </c>
      <c r="D175" s="1">
        <f t="shared" si="14"/>
        <v>27</v>
      </c>
    </row>
    <row r="176" spans="1:4">
      <c r="A176" s="6" t="s">
        <v>85</v>
      </c>
      <c r="D176" s="1">
        <f t="shared" si="14"/>
        <v>0</v>
      </c>
    </row>
    <row r="177" spans="1:4">
      <c r="A177" s="6" t="s">
        <v>86</v>
      </c>
      <c r="D177" s="1">
        <f t="shared" si="14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/>
  </sheetViews>
  <sheetFormatPr baseColWidth="10" defaultRowHeight="15"/>
  <sheetData>
    <row r="1" spans="1:10" ht="15.75">
      <c r="A1" s="3">
        <v>1</v>
      </c>
      <c r="B1">
        <v>130</v>
      </c>
      <c r="D1" t="s">
        <v>19</v>
      </c>
      <c r="E1">
        <v>5</v>
      </c>
      <c r="F1">
        <v>0</v>
      </c>
      <c r="G1">
        <v>0</v>
      </c>
      <c r="I1" t="s">
        <v>71</v>
      </c>
      <c r="J1">
        <v>1</v>
      </c>
    </row>
    <row r="2" spans="1:10" ht="15.75">
      <c r="A2" s="3">
        <v>2</v>
      </c>
      <c r="B2">
        <v>140</v>
      </c>
      <c r="D2" t="s">
        <v>15</v>
      </c>
      <c r="E2">
        <v>10</v>
      </c>
      <c r="F2">
        <v>8</v>
      </c>
      <c r="G2">
        <v>115</v>
      </c>
      <c r="I2" t="s">
        <v>70</v>
      </c>
      <c r="J2">
        <v>2</v>
      </c>
    </row>
    <row r="3" spans="1:10" ht="15.75">
      <c r="A3" s="3">
        <v>3</v>
      </c>
      <c r="B3">
        <v>150</v>
      </c>
      <c r="D3" t="s">
        <v>5</v>
      </c>
      <c r="E3">
        <v>5</v>
      </c>
      <c r="F3">
        <v>0</v>
      </c>
      <c r="G3">
        <v>60</v>
      </c>
      <c r="I3" t="s">
        <v>72</v>
      </c>
      <c r="J3">
        <v>3</v>
      </c>
    </row>
    <row r="4" spans="1:10" ht="15.75">
      <c r="A4" s="3">
        <v>4</v>
      </c>
      <c r="B4">
        <v>160</v>
      </c>
      <c r="D4" t="s">
        <v>6</v>
      </c>
      <c r="E4">
        <v>5</v>
      </c>
      <c r="F4">
        <v>0</v>
      </c>
      <c r="G4">
        <v>0</v>
      </c>
      <c r="I4" t="s">
        <v>69</v>
      </c>
      <c r="J4">
        <v>4</v>
      </c>
    </row>
    <row r="5" spans="1:10" ht="15.75">
      <c r="A5" s="3">
        <v>5</v>
      </c>
      <c r="B5">
        <v>170</v>
      </c>
      <c r="D5" t="s">
        <v>7</v>
      </c>
      <c r="E5">
        <v>10</v>
      </c>
      <c r="F5">
        <v>8</v>
      </c>
      <c r="G5">
        <v>0</v>
      </c>
    </row>
    <row r="6" spans="1:10" ht="15.75">
      <c r="A6" s="3">
        <v>6</v>
      </c>
      <c r="B6">
        <v>185</v>
      </c>
      <c r="D6" t="s">
        <v>12</v>
      </c>
      <c r="E6">
        <v>5</v>
      </c>
      <c r="F6">
        <v>0</v>
      </c>
      <c r="G6">
        <v>0</v>
      </c>
      <c r="I6">
        <f>IF(Stats!B1=BDD!D1,3,IF(Stats!B1=BDD!D2,2,IF(Stats!B1=BDD!D3,4,IF(Stats!B1=BDD!D4,4,IF(Stats!B1=BDD!D5,2,IF(Stats!B1=BDD!D6,3,IF(Stats!B1=BDD!D7,1,IF(Stats!B1=BDD!D8,3,IF(Stats!B1=BDD!D9,1,IF(Stats!B1=BDD!D10,4,IF(Stats!B1=BDD!D11,2,IF(Stats!B1=BDD!D12,1,IF(Stats!B1=BDD!D13,1,IF(Stats!B1=BDD!D14,2,IF(Stats!B1=BDD!D15,4,IF(Stats!B1=BDD!D16,3,0))))))))))))))))</f>
        <v>2</v>
      </c>
    </row>
    <row r="7" spans="1:10" ht="15.75">
      <c r="A7" s="3">
        <v>7</v>
      </c>
      <c r="B7">
        <v>200</v>
      </c>
      <c r="D7" t="s">
        <v>9</v>
      </c>
      <c r="E7">
        <v>5</v>
      </c>
      <c r="F7">
        <v>0</v>
      </c>
      <c r="G7">
        <v>60</v>
      </c>
    </row>
    <row r="8" spans="1:10" ht="15.75">
      <c r="A8" s="3">
        <v>8</v>
      </c>
      <c r="B8">
        <v>220</v>
      </c>
      <c r="D8" t="s">
        <v>11</v>
      </c>
      <c r="E8">
        <v>5</v>
      </c>
      <c r="F8">
        <v>0</v>
      </c>
      <c r="G8">
        <v>0</v>
      </c>
    </row>
    <row r="9" spans="1:10" ht="15.75">
      <c r="A9" s="3">
        <v>9</v>
      </c>
      <c r="B9">
        <v>240</v>
      </c>
      <c r="D9" t="s">
        <v>20</v>
      </c>
      <c r="E9">
        <v>5</v>
      </c>
      <c r="F9">
        <v>0</v>
      </c>
      <c r="G9">
        <v>60</v>
      </c>
    </row>
    <row r="10" spans="1:10" ht="15.75">
      <c r="A10" s="3">
        <v>10</v>
      </c>
      <c r="B10">
        <v>260</v>
      </c>
      <c r="D10" t="s">
        <v>18</v>
      </c>
      <c r="E10">
        <v>5</v>
      </c>
      <c r="F10">
        <v>0</v>
      </c>
      <c r="G10">
        <v>0</v>
      </c>
    </row>
    <row r="11" spans="1:10" ht="15.75">
      <c r="A11" s="3">
        <v>11</v>
      </c>
      <c r="B11">
        <v>285</v>
      </c>
      <c r="D11" t="s">
        <v>8</v>
      </c>
      <c r="E11">
        <v>10</v>
      </c>
      <c r="F11">
        <v>8</v>
      </c>
      <c r="G11">
        <v>115</v>
      </c>
    </row>
    <row r="12" spans="1:10" ht="15.75">
      <c r="A12" s="3">
        <v>12</v>
      </c>
      <c r="B12">
        <v>310</v>
      </c>
      <c r="D12" t="s">
        <v>16</v>
      </c>
      <c r="E12">
        <v>5</v>
      </c>
      <c r="F12">
        <v>0</v>
      </c>
      <c r="G12">
        <v>0</v>
      </c>
    </row>
    <row r="13" spans="1:10" ht="15.75">
      <c r="A13" s="3">
        <v>13</v>
      </c>
      <c r="B13">
        <v>335</v>
      </c>
      <c r="D13" t="s">
        <v>10</v>
      </c>
      <c r="E13">
        <v>5</v>
      </c>
      <c r="F13">
        <v>0</v>
      </c>
      <c r="G13">
        <v>0</v>
      </c>
    </row>
    <row r="14" spans="1:10" ht="15.75">
      <c r="A14" s="3">
        <v>14</v>
      </c>
      <c r="B14">
        <v>365</v>
      </c>
      <c r="D14" t="s">
        <v>14</v>
      </c>
      <c r="E14">
        <v>10</v>
      </c>
      <c r="F14">
        <v>8</v>
      </c>
      <c r="G14">
        <v>0</v>
      </c>
    </row>
    <row r="15" spans="1:10" ht="15.75">
      <c r="A15" s="3">
        <v>15</v>
      </c>
      <c r="B15">
        <v>395</v>
      </c>
      <c r="D15" t="s">
        <v>13</v>
      </c>
      <c r="E15">
        <v>5</v>
      </c>
      <c r="F15">
        <v>0</v>
      </c>
      <c r="G15">
        <v>60</v>
      </c>
    </row>
    <row r="16" spans="1:10" ht="15.75">
      <c r="A16" s="3">
        <v>16</v>
      </c>
      <c r="B16">
        <v>430</v>
      </c>
      <c r="D16" t="s">
        <v>17</v>
      </c>
      <c r="E16">
        <v>5</v>
      </c>
      <c r="F16">
        <v>0</v>
      </c>
      <c r="G16">
        <v>0</v>
      </c>
    </row>
    <row r="17" spans="1:6" ht="15.75">
      <c r="A17" s="3">
        <v>17</v>
      </c>
      <c r="B17">
        <v>465</v>
      </c>
    </row>
    <row r="18" spans="1:6" ht="15.75">
      <c r="A18" s="3">
        <v>18</v>
      </c>
      <c r="B18">
        <v>500</v>
      </c>
      <c r="D18" t="s">
        <v>63</v>
      </c>
      <c r="E18">
        <v>0</v>
      </c>
      <c r="F18">
        <v>0</v>
      </c>
    </row>
    <row r="19" spans="1:6" ht="15.75">
      <c r="A19" s="3">
        <v>19</v>
      </c>
      <c r="B19">
        <v>540</v>
      </c>
      <c r="D19" t="s">
        <v>64</v>
      </c>
      <c r="E19">
        <v>0</v>
      </c>
      <c r="F19">
        <v>0</v>
      </c>
    </row>
    <row r="20" spans="1:6" ht="15.75">
      <c r="A20" s="3">
        <v>20</v>
      </c>
      <c r="B20">
        <v>580</v>
      </c>
      <c r="D20" t="s">
        <v>62</v>
      </c>
      <c r="E20">
        <v>20</v>
      </c>
      <c r="F20">
        <v>20</v>
      </c>
    </row>
    <row r="21" spans="1:6" ht="15.75">
      <c r="A21" s="3">
        <v>21</v>
      </c>
      <c r="B21">
        <v>620</v>
      </c>
    </row>
    <row r="22" spans="1:6" ht="15.75">
      <c r="A22" s="3">
        <v>22</v>
      </c>
      <c r="B22">
        <v>665</v>
      </c>
    </row>
    <row r="23" spans="1:6" ht="15.75">
      <c r="A23" s="3">
        <v>23</v>
      </c>
      <c r="B23">
        <v>710</v>
      </c>
    </row>
    <row r="24" spans="1:6" ht="15.75">
      <c r="A24" s="3">
        <v>24</v>
      </c>
      <c r="B24">
        <v>755</v>
      </c>
    </row>
    <row r="25" spans="1:6" ht="15.75">
      <c r="A25" s="3">
        <v>25</v>
      </c>
      <c r="B25">
        <v>805</v>
      </c>
    </row>
    <row r="26" spans="1:6" ht="15.75">
      <c r="A26" s="3">
        <v>26</v>
      </c>
      <c r="B26">
        <v>855</v>
      </c>
    </row>
    <row r="27" spans="1:6" ht="15.75">
      <c r="A27" s="3">
        <v>27</v>
      </c>
      <c r="B27">
        <v>905</v>
      </c>
    </row>
    <row r="28" spans="1:6" ht="15.75">
      <c r="A28" s="3">
        <v>28</v>
      </c>
      <c r="B28">
        <v>960</v>
      </c>
    </row>
    <row r="29" spans="1:6" ht="15.75">
      <c r="A29" s="3">
        <v>29</v>
      </c>
      <c r="B29">
        <v>1050</v>
      </c>
    </row>
    <row r="30" spans="1:6" ht="15.75">
      <c r="A30" s="3">
        <v>30</v>
      </c>
      <c r="B30">
        <v>1070</v>
      </c>
    </row>
    <row r="31" spans="1:6" ht="15.75">
      <c r="A31" s="3">
        <v>31</v>
      </c>
      <c r="B31">
        <v>1125</v>
      </c>
    </row>
    <row r="32" spans="1:6" ht="15.75">
      <c r="A32" s="3">
        <v>32</v>
      </c>
      <c r="B32">
        <v>1185</v>
      </c>
    </row>
    <row r="33" spans="1:2" ht="15.75">
      <c r="A33" s="3">
        <v>33</v>
      </c>
      <c r="B33">
        <v>1245</v>
      </c>
    </row>
    <row r="34" spans="1:2" ht="15.75">
      <c r="A34" s="3">
        <v>34</v>
      </c>
      <c r="B34">
        <v>1305</v>
      </c>
    </row>
    <row r="35" spans="1:2" ht="15.75">
      <c r="A35" s="3">
        <v>35</v>
      </c>
      <c r="B35">
        <v>1370</v>
      </c>
    </row>
    <row r="36" spans="1:2" ht="15.75">
      <c r="A36" s="3">
        <v>36</v>
      </c>
      <c r="B36">
        <v>1435</v>
      </c>
    </row>
    <row r="37" spans="1:2" ht="15.75">
      <c r="A37" s="3">
        <v>37</v>
      </c>
      <c r="B37">
        <v>1500</v>
      </c>
    </row>
    <row r="38" spans="1:2" ht="15.75">
      <c r="A38" s="3">
        <v>38</v>
      </c>
      <c r="B38">
        <v>1570</v>
      </c>
    </row>
    <row r="39" spans="1:2" ht="15.75">
      <c r="A39" s="3">
        <v>39</v>
      </c>
      <c r="B39">
        <v>1640</v>
      </c>
    </row>
    <row r="40" spans="1:2" ht="15.75">
      <c r="A40" s="3">
        <v>40</v>
      </c>
      <c r="B40">
        <v>1710</v>
      </c>
    </row>
    <row r="41" spans="1:2" ht="15.75">
      <c r="A41" s="3">
        <v>41</v>
      </c>
      <c r="B41">
        <v>1780</v>
      </c>
    </row>
    <row r="42" spans="1:2" ht="15.75">
      <c r="A42" s="3">
        <v>42</v>
      </c>
      <c r="B42">
        <v>1855</v>
      </c>
    </row>
    <row r="43" spans="1:2" ht="15.75">
      <c r="A43" s="3">
        <v>43</v>
      </c>
      <c r="B43">
        <v>1930</v>
      </c>
    </row>
    <row r="44" spans="1:2" ht="15.75">
      <c r="A44" s="3">
        <v>44</v>
      </c>
      <c r="B44">
        <v>2005</v>
      </c>
    </row>
    <row r="45" spans="1:2" ht="15.75">
      <c r="A45" s="3">
        <v>45</v>
      </c>
      <c r="B45">
        <v>2085</v>
      </c>
    </row>
    <row r="46" spans="1:2" ht="15.75">
      <c r="A46" s="3">
        <v>46</v>
      </c>
      <c r="B46">
        <v>2165</v>
      </c>
    </row>
    <row r="47" spans="1:2" ht="15.75">
      <c r="A47" s="3">
        <v>47</v>
      </c>
      <c r="B47">
        <v>2245</v>
      </c>
    </row>
    <row r="48" spans="1:2" ht="15.75">
      <c r="A48" s="3">
        <v>48</v>
      </c>
      <c r="B48">
        <v>2330</v>
      </c>
    </row>
    <row r="49" spans="1:2" ht="15.75">
      <c r="A49" s="3">
        <v>49</v>
      </c>
      <c r="B49">
        <v>2415</v>
      </c>
    </row>
    <row r="50" spans="1:2" ht="15.75">
      <c r="A50" s="3">
        <v>50</v>
      </c>
      <c r="B50">
        <v>2500</v>
      </c>
    </row>
  </sheetData>
  <sortState ref="I1:I4">
    <sortCondition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Stats</vt:lpstr>
      <vt:lpstr>Equipement</vt:lpstr>
      <vt:lpstr>BDD</vt:lpstr>
      <vt:lpstr>Classe</vt:lpstr>
      <vt:lpstr>spe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</dc:creator>
  <cp:lastModifiedBy>lish</cp:lastModifiedBy>
  <dcterms:created xsi:type="dcterms:W3CDTF">2012-10-10T22:24:24Z</dcterms:created>
  <dcterms:modified xsi:type="dcterms:W3CDTF">2012-10-11T17:12:51Z</dcterms:modified>
</cp:coreProperties>
</file>