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15" windowHeight="8475"/>
  </bookViews>
  <sheets>
    <sheet name="POUTRES" sheetId="1" r:id="rId1"/>
  </sheets>
  <definedNames>
    <definedName name="_xlnm.Print_Area" localSheetId="0">POUTRES!$A$1:$H$34</definedName>
  </definedNames>
  <calcPr calcId="125725"/>
</workbook>
</file>

<file path=xl/calcChain.xml><?xml version="1.0" encoding="utf-8"?>
<calcChain xmlns="http://schemas.openxmlformats.org/spreadsheetml/2006/main">
  <c r="F7" i="1"/>
  <c r="F6"/>
  <c r="F26" s="1"/>
  <c r="B43"/>
  <c r="F5"/>
  <c r="F4"/>
  <c r="F3"/>
  <c r="F2"/>
  <c r="B6"/>
  <c r="B7"/>
  <c r="B10" s="1"/>
  <c r="B19"/>
  <c r="B40"/>
  <c r="B31"/>
  <c r="B32" s="1"/>
  <c r="B33" s="1"/>
  <c r="B34" s="1"/>
  <c r="B35" s="1"/>
  <c r="B36" s="1"/>
  <c r="B37" s="1"/>
  <c r="D23"/>
  <c r="D20"/>
  <c r="D17"/>
  <c r="B16"/>
  <c r="B18" s="1"/>
  <c r="E15"/>
  <c r="B41" s="1"/>
  <c r="B9"/>
  <c r="B28" s="1"/>
  <c r="B8"/>
  <c r="F11"/>
  <c r="B5"/>
  <c r="F12"/>
  <c r="D28" l="1"/>
  <c r="D27"/>
  <c r="B11"/>
  <c r="D25"/>
  <c r="B42"/>
  <c r="B44" s="1"/>
  <c r="B13" s="1"/>
  <c r="F8"/>
  <c r="F9"/>
  <c r="F10"/>
  <c r="B17"/>
  <c r="B22" l="1"/>
  <c r="B23" s="1"/>
  <c r="D37"/>
  <c r="D36"/>
  <c r="D35"/>
  <c r="D34"/>
  <c r="D33"/>
  <c r="D32"/>
  <c r="D31"/>
  <c r="D30"/>
  <c r="B14"/>
  <c r="B15" s="1"/>
  <c r="B12"/>
  <c r="B20" l="1"/>
  <c r="B21"/>
</calcChain>
</file>

<file path=xl/sharedStrings.xml><?xml version="1.0" encoding="utf-8"?>
<sst xmlns="http://schemas.openxmlformats.org/spreadsheetml/2006/main" count="83" uniqueCount="77">
  <si>
    <t>B:largeur</t>
  </si>
  <si>
    <t>beton 28j Mpa</t>
  </si>
  <si>
    <t>diametre</t>
  </si>
  <si>
    <t>section cm²</t>
  </si>
  <si>
    <t>h hauteur</t>
  </si>
  <si>
    <t xml:space="preserve">ha16 </t>
  </si>
  <si>
    <t>portée</t>
  </si>
  <si>
    <t>ha14</t>
  </si>
  <si>
    <t>charge ELU daN/ml</t>
  </si>
  <si>
    <t>ha12</t>
  </si>
  <si>
    <t>charge ELS daN/ml</t>
  </si>
  <si>
    <t>ha10</t>
  </si>
  <si>
    <t>Mels</t>
  </si>
  <si>
    <t xml:space="preserve">MNm </t>
  </si>
  <si>
    <t>ha6</t>
  </si>
  <si>
    <t>Melu</t>
  </si>
  <si>
    <t>MNm</t>
  </si>
  <si>
    <t>ha5</t>
  </si>
  <si>
    <t>fbu</t>
  </si>
  <si>
    <t>Mpa</t>
  </si>
  <si>
    <t>4ha12</t>
  </si>
  <si>
    <t>d :hauteur lit inf</t>
  </si>
  <si>
    <t>2ha12 2ha10</t>
  </si>
  <si>
    <t>moment réduit mu</t>
  </si>
  <si>
    <t>4ha10</t>
  </si>
  <si>
    <t>alpha</t>
  </si>
  <si>
    <t>&lt; 0,46</t>
  </si>
  <si>
    <t>2ha10</t>
  </si>
  <si>
    <t>fibre neutre Yu ELU</t>
  </si>
  <si>
    <t>m</t>
  </si>
  <si>
    <t>5ha12</t>
  </si>
  <si>
    <t>fibre neutre Yu ELS</t>
  </si>
  <si>
    <t>bras z</t>
  </si>
  <si>
    <t>as</t>
  </si>
  <si>
    <t>cm²                       choix :</t>
  </si>
  <si>
    <t>m²</t>
  </si>
  <si>
    <t>effort tranchant appui Vumax</t>
  </si>
  <si>
    <t xml:space="preserve">daN </t>
  </si>
  <si>
    <t>contrainte tangentielle</t>
  </si>
  <si>
    <t>Mpa                        inf à</t>
  </si>
  <si>
    <t xml:space="preserve">Mpa </t>
  </si>
  <si>
    <t>verif appui sur S=25*b/2</t>
  </si>
  <si>
    <t>MPa</t>
  </si>
  <si>
    <t>contrainte béton els</t>
  </si>
  <si>
    <t>simplifié 6m/bh²</t>
  </si>
  <si>
    <t>contrainte beton comp ELS</t>
  </si>
  <si>
    <t>Mpa &lt; contrainte maxi els</t>
  </si>
  <si>
    <t>contrainte aciers tendus ELS</t>
  </si>
  <si>
    <t>moment quadratique</t>
  </si>
  <si>
    <t>m4  avec n=15 coeff equi beton acier bael</t>
  </si>
  <si>
    <t>flèche ELS</t>
  </si>
  <si>
    <t>mm                  &lt; 1/500 =</t>
  </si>
  <si>
    <t>mm</t>
  </si>
  <si>
    <t xml:space="preserve">Module de young Eij </t>
  </si>
  <si>
    <t>Mpa       evj</t>
  </si>
  <si>
    <t>(long terme)</t>
  </si>
  <si>
    <t>Vu(x)=Celu(x)-Vumax                       x=</t>
  </si>
  <si>
    <t>Vu=</t>
  </si>
  <si>
    <t>MN</t>
  </si>
  <si>
    <t>acier transversaux At</t>
  </si>
  <si>
    <t xml:space="preserve">diametre =1/3diametre lit inf </t>
  </si>
  <si>
    <t>At =2HA6 (int/ext) soit en m²</t>
  </si>
  <si>
    <t>interv. (reprise betonnage)</t>
  </si>
  <si>
    <t>St=0,9 x fe x at x d/(lambda(s)xVu)</t>
  </si>
  <si>
    <t>/ Vu</t>
  </si>
  <si>
    <r>
      <t xml:space="preserve">Stmax          </t>
    </r>
    <r>
      <rPr>
        <sz val="11"/>
        <color theme="1"/>
        <rFont val="Calibri"/>
        <family val="2"/>
        <scheme val="minor"/>
      </rPr>
      <t xml:space="preserve">valeur mini de </t>
    </r>
  </si>
  <si>
    <t>x</t>
  </si>
  <si>
    <t>st</t>
  </si>
  <si>
    <t>ecartemement cm</t>
  </si>
  <si>
    <t>nb</t>
  </si>
  <si>
    <t>cadres : 7 15 15 20 20….</t>
  </si>
  <si>
    <t>si Asc =0 : (y²*(b/2))+(15*As*y)-(15*As*d)=0</t>
  </si>
  <si>
    <t>a</t>
  </si>
  <si>
    <t>b</t>
  </si>
  <si>
    <t>c</t>
  </si>
  <si>
    <t>delta</t>
  </si>
  <si>
    <t>&lt;0,27</t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</si>
</sst>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33743"/>
      <name val="Arial"/>
      <family val="2"/>
    </font>
    <font>
      <sz val="11"/>
      <color rgb="FF333333"/>
      <name val="Verdana"/>
      <family val="2"/>
    </font>
    <font>
      <sz val="9"/>
      <color rgb="FF5A5A5A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3" borderId="2" xfId="0" applyFont="1" applyFill="1" applyBorder="1"/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2" fillId="2" borderId="4" xfId="0" applyFont="1" applyFill="1" applyBorder="1" applyAlignment="1">
      <alignment horizontal="right"/>
    </xf>
    <xf numFmtId="0" fontId="2" fillId="3" borderId="5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0" fillId="5" borderId="5" xfId="0" applyFill="1" applyBorder="1"/>
    <xf numFmtId="0" fontId="0" fillId="5" borderId="6" xfId="0" applyFill="1" applyBorder="1"/>
    <xf numFmtId="1" fontId="2" fillId="3" borderId="5" xfId="0" applyNumberFormat="1" applyFont="1" applyFill="1" applyBorder="1"/>
    <xf numFmtId="0" fontId="0" fillId="2" borderId="0" xfId="0" applyFill="1" applyBorder="1"/>
    <xf numFmtId="0" fontId="2" fillId="2" borderId="7" xfId="0" applyFont="1" applyFill="1" applyBorder="1" applyAlignment="1">
      <alignment horizontal="right"/>
    </xf>
    <xf numFmtId="1" fontId="2" fillId="2" borderId="0" xfId="0" applyNumberFormat="1" applyFont="1" applyFill="1" applyBorder="1"/>
    <xf numFmtId="0" fontId="2" fillId="5" borderId="7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0" fontId="0" fillId="5" borderId="7" xfId="0" applyFont="1" applyFill="1" applyBorder="1" applyAlignment="1">
      <alignment horizontal="right"/>
    </xf>
    <xf numFmtId="0" fontId="0" fillId="5" borderId="0" xfId="0" applyFont="1" applyFill="1" applyBorder="1" applyAlignment="1">
      <alignment horizontal="left"/>
    </xf>
    <xf numFmtId="0" fontId="0" fillId="5" borderId="5" xfId="0" applyFont="1" applyFill="1" applyBorder="1"/>
    <xf numFmtId="0" fontId="0" fillId="5" borderId="6" xfId="0" applyFont="1" applyFill="1" applyBorder="1"/>
    <xf numFmtId="0" fontId="0" fillId="5" borderId="0" xfId="0" applyFill="1" applyBorder="1" applyAlignment="1">
      <alignment horizontal="left"/>
    </xf>
    <xf numFmtId="0" fontId="0" fillId="5" borderId="7" xfId="0" applyFill="1" applyBorder="1" applyAlignment="1">
      <alignment horizontal="right"/>
    </xf>
    <xf numFmtId="0" fontId="0" fillId="5" borderId="0" xfId="0" applyFill="1" applyBorder="1"/>
    <xf numFmtId="0" fontId="0" fillId="5" borderId="8" xfId="0" applyFont="1" applyFill="1" applyBorder="1"/>
    <xf numFmtId="0" fontId="0" fillId="5" borderId="8" xfId="0" applyFill="1" applyBorder="1"/>
    <xf numFmtId="2" fontId="2" fillId="6" borderId="0" xfId="0" applyNumberFormat="1" applyFont="1" applyFill="1" applyBorder="1"/>
    <xf numFmtId="2" fontId="0" fillId="5" borderId="0" xfId="0" applyNumberFormat="1" applyFont="1" applyFill="1" applyBorder="1"/>
    <xf numFmtId="49" fontId="0" fillId="5" borderId="0" xfId="0" applyNumberFormat="1" applyFont="1" applyFill="1" applyBorder="1" applyAlignment="1">
      <alignment horizontal="left"/>
    </xf>
    <xf numFmtId="0" fontId="2" fillId="6" borderId="0" xfId="0" applyFont="1" applyFill="1" applyBorder="1" applyAlignment="1">
      <alignment horizontal="right"/>
    </xf>
    <xf numFmtId="2" fontId="2" fillId="5" borderId="0" xfId="0" applyNumberFormat="1" applyFont="1" applyFill="1" applyBorder="1" applyAlignment="1">
      <alignment horizontal="left"/>
    </xf>
    <xf numFmtId="2" fontId="2" fillId="5" borderId="0" xfId="0" applyNumberFormat="1" applyFont="1" applyFill="1" applyBorder="1"/>
    <xf numFmtId="0" fontId="1" fillId="5" borderId="0" xfId="0" applyFont="1" applyFill="1" applyBorder="1"/>
    <xf numFmtId="0" fontId="2" fillId="5" borderId="0" xfId="0" applyFont="1" applyFill="1" applyBorder="1" applyAlignment="1">
      <alignment horizontal="center"/>
    </xf>
    <xf numFmtId="11" fontId="0" fillId="5" borderId="0" xfId="0" applyNumberFormat="1" applyFill="1" applyBorder="1"/>
    <xf numFmtId="0" fontId="2" fillId="5" borderId="8" xfId="0" applyFont="1" applyFill="1" applyBorder="1"/>
    <xf numFmtId="0" fontId="4" fillId="5" borderId="0" xfId="0" applyFont="1" applyFill="1" applyBorder="1"/>
    <xf numFmtId="0" fontId="0" fillId="5" borderId="9" xfId="0" applyFill="1" applyBorder="1"/>
    <xf numFmtId="0" fontId="0" fillId="2" borderId="10" xfId="0" applyFill="1" applyBorder="1"/>
    <xf numFmtId="0" fontId="2" fillId="5" borderId="10" xfId="0" applyFont="1" applyFill="1" applyBorder="1" applyAlignment="1">
      <alignment horizontal="right"/>
    </xf>
    <xf numFmtId="0" fontId="2" fillId="5" borderId="10" xfId="0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7" xfId="0" applyFont="1" applyFill="1" applyBorder="1"/>
    <xf numFmtId="0" fontId="0" fillId="5" borderId="8" xfId="0" applyFill="1" applyBorder="1" applyAlignment="1">
      <alignment horizontal="left"/>
    </xf>
    <xf numFmtId="0" fontId="0" fillId="5" borderId="7" xfId="0" applyFill="1" applyBorder="1"/>
    <xf numFmtId="0" fontId="5" fillId="5" borderId="0" xfId="0" applyFont="1" applyFill="1" applyBorder="1"/>
    <xf numFmtId="164" fontId="0" fillId="5" borderId="0" xfId="0" applyNumberFormat="1" applyFill="1" applyBorder="1"/>
    <xf numFmtId="0" fontId="2" fillId="5" borderId="9" xfId="0" applyFont="1" applyFill="1" applyBorder="1"/>
    <xf numFmtId="0" fontId="6" fillId="5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164" fontId="7" fillId="5" borderId="12" xfId="0" applyNumberFormat="1" applyFont="1" applyFill="1" applyBorder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4" fillId="5" borderId="7" xfId="0" applyFont="1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7" xfId="0" applyFont="1" applyFill="1" applyBorder="1"/>
    <xf numFmtId="0" fontId="0" fillId="5" borderId="18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abSelected="1" topLeftCell="A3" zoomScale="80" zoomScaleNormal="80" workbookViewId="0">
      <selection activeCell="I24" sqref="I24"/>
    </sheetView>
  </sheetViews>
  <sheetFormatPr baseColWidth="10" defaultRowHeight="15"/>
  <cols>
    <col min="1" max="1" width="30.85546875" customWidth="1"/>
    <col min="2" max="2" width="12.28515625" customWidth="1"/>
    <col min="3" max="3" width="26.140625" customWidth="1"/>
    <col min="4" max="4" width="11.42578125" customWidth="1"/>
    <col min="5" max="5" width="16" customWidth="1"/>
    <col min="6" max="6" width="12" bestFit="1" customWidth="1"/>
    <col min="9" max="9" width="12" bestFit="1" customWidth="1"/>
  </cols>
  <sheetData>
    <row r="1" spans="1:6">
      <c r="A1" s="1" t="s">
        <v>0</v>
      </c>
      <c r="B1" s="2">
        <v>0.15</v>
      </c>
      <c r="C1" s="3" t="s">
        <v>1</v>
      </c>
      <c r="D1" s="4">
        <v>25</v>
      </c>
      <c r="E1" s="5" t="s">
        <v>2</v>
      </c>
      <c r="F1" s="6" t="s">
        <v>3</v>
      </c>
    </row>
    <row r="2" spans="1:6">
      <c r="A2" s="7" t="s">
        <v>4</v>
      </c>
      <c r="B2" s="8">
        <v>0.3</v>
      </c>
      <c r="C2" s="9"/>
      <c r="D2" s="10"/>
      <c r="E2" s="11" t="s">
        <v>5</v>
      </c>
      <c r="F2" s="12">
        <f>3.14*(1.6^2)/4</f>
        <v>2.0096000000000003</v>
      </c>
    </row>
    <row r="3" spans="1:6">
      <c r="A3" s="7" t="s">
        <v>6</v>
      </c>
      <c r="B3" s="8">
        <v>3.1</v>
      </c>
      <c r="C3" s="10"/>
      <c r="D3" s="10"/>
      <c r="E3" s="11" t="s">
        <v>7</v>
      </c>
      <c r="F3" s="12">
        <f>(3.14*(1.4^2)/4)</f>
        <v>1.5386</v>
      </c>
    </row>
    <row r="4" spans="1:6">
      <c r="A4" s="7" t="s">
        <v>8</v>
      </c>
      <c r="B4" s="13">
        <v>2200</v>
      </c>
      <c r="C4" s="14"/>
      <c r="D4" s="14"/>
      <c r="E4" s="11" t="s">
        <v>9</v>
      </c>
      <c r="F4" s="12">
        <f>(3.14*(1.2^2)/4)</f>
        <v>1.1304000000000001</v>
      </c>
    </row>
    <row r="5" spans="1:6">
      <c r="A5" s="15" t="s">
        <v>10</v>
      </c>
      <c r="B5" s="16">
        <f>B4/1.4</f>
        <v>1571.4285714285716</v>
      </c>
      <c r="C5" s="9"/>
      <c r="D5" s="16"/>
      <c r="E5" s="11" t="s">
        <v>11</v>
      </c>
      <c r="F5" s="12">
        <f>(3.14*(1^2)/4)</f>
        <v>0.78500000000000003</v>
      </c>
    </row>
    <row r="6" spans="1:6">
      <c r="A6" s="17" t="s">
        <v>12</v>
      </c>
      <c r="B6" s="18">
        <f>((((B5)/100000)*(B3^2))/8)</f>
        <v>1.8876785714285717E-2</v>
      </c>
      <c r="C6" s="19" t="s">
        <v>13</v>
      </c>
      <c r="D6" s="20"/>
      <c r="E6" s="11" t="s">
        <v>14</v>
      </c>
      <c r="F6" s="12">
        <f>(3.14*(0.6^2/4))</f>
        <v>0.28260000000000002</v>
      </c>
    </row>
    <row r="7" spans="1:6">
      <c r="A7" s="17" t="s">
        <v>15</v>
      </c>
      <c r="B7" s="18">
        <f>((((B4)/100000)*(B3^2))/8)</f>
        <v>2.6427500000000003E-2</v>
      </c>
      <c r="C7" s="19" t="s">
        <v>16</v>
      </c>
      <c r="D7" s="21"/>
      <c r="E7" s="11" t="s">
        <v>17</v>
      </c>
      <c r="F7" s="12">
        <f>(3.14*(0.5^2/4))</f>
        <v>0.19625000000000001</v>
      </c>
    </row>
    <row r="8" spans="1:6">
      <c r="A8" s="22" t="s">
        <v>18</v>
      </c>
      <c r="B8" s="21">
        <f>(0.85*D1)/1.5</f>
        <v>14.166666666666666</v>
      </c>
      <c r="C8" s="23" t="s">
        <v>19</v>
      </c>
      <c r="D8" s="18"/>
      <c r="E8" s="24" t="s">
        <v>20</v>
      </c>
      <c r="F8" s="25">
        <f>4*F4</f>
        <v>4.5216000000000003</v>
      </c>
    </row>
    <row r="9" spans="1:6">
      <c r="A9" s="17" t="s">
        <v>21</v>
      </c>
      <c r="B9" s="18">
        <f>B2-0.05</f>
        <v>0.25</v>
      </c>
      <c r="C9" s="19"/>
      <c r="D9" s="18"/>
      <c r="E9" s="11" t="s">
        <v>22</v>
      </c>
      <c r="F9" s="12">
        <f>2*F4+2*F5</f>
        <v>3.8308</v>
      </c>
    </row>
    <row r="10" spans="1:6">
      <c r="A10" s="22" t="s">
        <v>23</v>
      </c>
      <c r="B10" s="21">
        <f>B7/(B1*(B9^2)*B8)</f>
        <v>0.19898352941176473</v>
      </c>
      <c r="C10" s="26" t="s">
        <v>76</v>
      </c>
      <c r="D10" s="18"/>
      <c r="E10" s="11" t="s">
        <v>24</v>
      </c>
      <c r="F10" s="12">
        <f>4*F5</f>
        <v>3.14</v>
      </c>
    </row>
    <row r="11" spans="1:6">
      <c r="A11" s="22" t="s">
        <v>25</v>
      </c>
      <c r="B11" s="21">
        <f>1.25*(1-(SQRT((1-(2*B10)))))</f>
        <v>0.28011522819036117</v>
      </c>
      <c r="C11" s="26" t="s">
        <v>26</v>
      </c>
      <c r="D11" s="18"/>
      <c r="E11" s="11" t="s">
        <v>27</v>
      </c>
      <c r="F11" s="12">
        <f>2*F5</f>
        <v>1.57</v>
      </c>
    </row>
    <row r="12" spans="1:6">
      <c r="A12" s="27" t="s">
        <v>28</v>
      </c>
      <c r="B12" s="21">
        <f>B11*B9</f>
        <v>7.0028807047590291E-2</v>
      </c>
      <c r="C12" s="23" t="s">
        <v>29</v>
      </c>
      <c r="D12" s="28"/>
      <c r="E12" s="11" t="s">
        <v>30</v>
      </c>
      <c r="F12" s="12">
        <f>5*F4</f>
        <v>5.6520000000000001</v>
      </c>
    </row>
    <row r="13" spans="1:6">
      <c r="A13" s="27" t="s">
        <v>31</v>
      </c>
      <c r="B13" s="21">
        <f>B44</f>
        <v>9.7774146020014399E-2</v>
      </c>
      <c r="C13" s="21" t="s">
        <v>29</v>
      </c>
      <c r="D13" s="21"/>
      <c r="E13" s="21"/>
      <c r="F13" s="29"/>
    </row>
    <row r="14" spans="1:6">
      <c r="A14" s="22" t="s">
        <v>32</v>
      </c>
      <c r="B14" s="21">
        <f>(1-0.4*B11)*B9</f>
        <v>0.22198847718096387</v>
      </c>
      <c r="C14" s="23" t="s">
        <v>29</v>
      </c>
      <c r="D14" s="18"/>
      <c r="E14" s="28"/>
      <c r="F14" s="30"/>
    </row>
    <row r="15" spans="1:6">
      <c r="A15" s="17" t="s">
        <v>33</v>
      </c>
      <c r="B15" s="31">
        <f>(B7/(B14*(500/1.15))*10000)</f>
        <v>2.7381263555607807</v>
      </c>
      <c r="C15" s="26" t="s">
        <v>34</v>
      </c>
      <c r="D15" s="14">
        <v>3.14</v>
      </c>
      <c r="E15" s="23">
        <f>D15/10000</f>
        <v>3.1399999999999999E-4</v>
      </c>
      <c r="F15" s="29" t="s">
        <v>35</v>
      </c>
    </row>
    <row r="16" spans="1:6">
      <c r="A16" s="22" t="s">
        <v>36</v>
      </c>
      <c r="B16" s="32">
        <f>B4*B3/2</f>
        <v>3410</v>
      </c>
      <c r="C16" s="33" t="s">
        <v>37</v>
      </c>
      <c r="D16" s="28"/>
      <c r="E16" s="28"/>
      <c r="F16" s="30"/>
    </row>
    <row r="17" spans="1:7">
      <c r="A17" s="17" t="s">
        <v>38</v>
      </c>
      <c r="B17" s="34">
        <f>((B16/100000)/(B1*B9))</f>
        <v>0.90933333333333333</v>
      </c>
      <c r="C17" s="19" t="s">
        <v>39</v>
      </c>
      <c r="D17" s="35">
        <f>0.2*(D1/1.5)</f>
        <v>3.3333333333333339</v>
      </c>
      <c r="E17" s="18" t="s">
        <v>40</v>
      </c>
      <c r="F17" s="30"/>
    </row>
    <row r="18" spans="1:7">
      <c r="A18" s="17" t="s">
        <v>41</v>
      </c>
      <c r="B18" s="36">
        <f>B16/((25*(B1*100)/2))/10</f>
        <v>1.8186666666666667</v>
      </c>
      <c r="C18" s="19" t="s">
        <v>42</v>
      </c>
      <c r="D18" s="19"/>
      <c r="E18" s="18"/>
      <c r="F18" s="30"/>
    </row>
    <row r="19" spans="1:7">
      <c r="A19" s="22" t="s">
        <v>43</v>
      </c>
      <c r="B19" s="21">
        <f>(6*B6)/(B1*(B9^2))</f>
        <v>12.08114285714286</v>
      </c>
      <c r="C19" s="37" t="s">
        <v>44</v>
      </c>
      <c r="D19" s="38"/>
      <c r="E19" s="28"/>
      <c r="F19" s="30"/>
    </row>
    <row r="20" spans="1:7">
      <c r="A20" s="17" t="s">
        <v>45</v>
      </c>
      <c r="B20" s="31">
        <f>(B6/B22)*B13</f>
        <v>11.840389678068021</v>
      </c>
      <c r="C20" s="28" t="s">
        <v>46</v>
      </c>
      <c r="D20" s="21">
        <f>0.6*D1</f>
        <v>15</v>
      </c>
      <c r="E20" s="28" t="s">
        <v>19</v>
      </c>
      <c r="F20" s="30"/>
    </row>
    <row r="21" spans="1:7">
      <c r="A21" s="22" t="s">
        <v>47</v>
      </c>
      <c r="B21" s="32">
        <f>15*(B6/B22)*(B9-B13)</f>
        <v>276.51687642928999</v>
      </c>
      <c r="C21" s="21" t="s">
        <v>19</v>
      </c>
      <c r="D21" s="28"/>
      <c r="E21" s="28"/>
      <c r="F21" s="30"/>
    </row>
    <row r="22" spans="1:7">
      <c r="A22" s="22" t="s">
        <v>48</v>
      </c>
      <c r="B22" s="39">
        <f>((B1*((B13^3))/3))+(15*((E15)*((B9-B13)^2)))</f>
        <v>1.5587845104758809E-4</v>
      </c>
      <c r="C22" s="28" t="s">
        <v>49</v>
      </c>
      <c r="D22" s="28"/>
      <c r="E22" s="28"/>
      <c r="F22" s="30"/>
    </row>
    <row r="23" spans="1:7">
      <c r="A23" s="17" t="s">
        <v>50</v>
      </c>
      <c r="B23" s="31">
        <f>(-5/384)*((B5*(B3^4))/(B24*B22))/100</f>
        <v>-3.7701541838400816</v>
      </c>
      <c r="C23" s="18" t="s">
        <v>51</v>
      </c>
      <c r="D23" s="19">
        <f>B3*1000/500</f>
        <v>6.2</v>
      </c>
      <c r="E23" s="19" t="s">
        <v>52</v>
      </c>
      <c r="F23" s="40"/>
    </row>
    <row r="24" spans="1:7" ht="15.75" thickBot="1">
      <c r="A24" s="27" t="s">
        <v>53</v>
      </c>
      <c r="B24" s="41">
        <v>32154</v>
      </c>
      <c r="C24" s="28" t="s">
        <v>54</v>
      </c>
      <c r="D24" s="28">
        <v>10820</v>
      </c>
      <c r="E24" s="28" t="s">
        <v>55</v>
      </c>
      <c r="F24" s="30"/>
    </row>
    <row r="25" spans="1:7" ht="15.75" thickTop="1">
      <c r="A25" s="42" t="s">
        <v>56</v>
      </c>
      <c r="B25" s="43">
        <v>0</v>
      </c>
      <c r="C25" s="44" t="s">
        <v>57</v>
      </c>
      <c r="D25" s="45">
        <f>((B4/100000)*B25)-(B16/100000)</f>
        <v>-3.4099999999999998E-2</v>
      </c>
      <c r="E25" s="46" t="s">
        <v>58</v>
      </c>
      <c r="F25" s="47"/>
    </row>
    <row r="26" spans="1:7">
      <c r="A26" s="48" t="s">
        <v>59</v>
      </c>
      <c r="B26" s="28" t="s">
        <v>60</v>
      </c>
      <c r="C26" s="28"/>
      <c r="D26" s="26" t="s">
        <v>61</v>
      </c>
      <c r="E26" s="28"/>
      <c r="F26" s="49">
        <f>2*F6/10000</f>
        <v>5.6520000000000001E-5</v>
      </c>
    </row>
    <row r="27" spans="1:7" ht="15.75" thickBot="1">
      <c r="A27" s="50" t="s">
        <v>62</v>
      </c>
      <c r="B27" s="51" t="s">
        <v>63</v>
      </c>
      <c r="C27" s="28"/>
      <c r="D27" s="52">
        <f>(0.9*500*F26*B9)/(1.15)</f>
        <v>5.5291304347826094E-3</v>
      </c>
      <c r="E27" s="28" t="s">
        <v>64</v>
      </c>
      <c r="F27" s="30"/>
    </row>
    <row r="28" spans="1:7" ht="15.75" thickTop="1">
      <c r="A28" s="53" t="s">
        <v>65</v>
      </c>
      <c r="B28" s="54">
        <f>0.9*B9</f>
        <v>0.22500000000000001</v>
      </c>
      <c r="C28" s="55">
        <v>0.4</v>
      </c>
      <c r="D28" s="56">
        <f>(F26*500)/(0.4*B1)</f>
        <v>0.47100000000000003</v>
      </c>
      <c r="E28" s="46"/>
      <c r="F28" s="47"/>
    </row>
    <row r="29" spans="1:7">
      <c r="A29" s="50"/>
      <c r="B29" s="57" t="s">
        <v>66</v>
      </c>
      <c r="C29" s="57" t="s">
        <v>57</v>
      </c>
      <c r="D29" s="57" t="s">
        <v>67</v>
      </c>
      <c r="E29" s="57" t="s">
        <v>68</v>
      </c>
      <c r="F29" s="58" t="s">
        <v>69</v>
      </c>
    </row>
    <row r="30" spans="1:7">
      <c r="A30" s="50"/>
      <c r="B30" s="11">
        <v>0</v>
      </c>
      <c r="C30" s="11">
        <v>3.4099999999999998E-2</v>
      </c>
      <c r="D30" s="11">
        <f>D27/C30</f>
        <v>0.1621445875302818</v>
      </c>
      <c r="E30" s="11">
        <v>15</v>
      </c>
      <c r="F30" s="12">
        <v>3</v>
      </c>
    </row>
    <row r="31" spans="1:7">
      <c r="A31" s="50"/>
      <c r="B31" s="11">
        <f>((E30/100)/2)+(F30-1)*(E30/100)</f>
        <v>0.375</v>
      </c>
      <c r="C31" s="11">
        <v>2.5850000000000001E-2</v>
      </c>
      <c r="D31" s="11">
        <f>D27/C31</f>
        <v>0.21389286014632916</v>
      </c>
      <c r="E31" s="11">
        <v>20</v>
      </c>
      <c r="F31" s="12">
        <v>6</v>
      </c>
    </row>
    <row r="32" spans="1:7">
      <c r="A32" s="50"/>
      <c r="B32" s="11">
        <f>B31+(F31*E31/100)</f>
        <v>1.575</v>
      </c>
      <c r="C32" s="11"/>
      <c r="D32" s="11" t="e">
        <f>D27/C32</f>
        <v>#DIV/0!</v>
      </c>
      <c r="E32" s="11"/>
      <c r="F32" s="12">
        <v>2</v>
      </c>
      <c r="G32" t="s">
        <v>70</v>
      </c>
    </row>
    <row r="33" spans="1:6">
      <c r="A33" s="50"/>
      <c r="B33" s="11">
        <f t="shared" ref="B33:B37" si="0">B32+(F32*E32/100)</f>
        <v>1.575</v>
      </c>
      <c r="C33" s="11"/>
      <c r="D33" s="11" t="e">
        <f>D27/C33</f>
        <v>#DIV/0!</v>
      </c>
      <c r="E33" s="11"/>
      <c r="F33" s="12">
        <v>2</v>
      </c>
    </row>
    <row r="34" spans="1:6">
      <c r="A34" s="50"/>
      <c r="B34" s="11">
        <f t="shared" si="0"/>
        <v>1.575</v>
      </c>
      <c r="C34" s="11"/>
      <c r="D34" s="11" t="e">
        <f>D27/C34</f>
        <v>#DIV/0!</v>
      </c>
      <c r="E34" s="11"/>
      <c r="F34" s="12">
        <v>2</v>
      </c>
    </row>
    <row r="35" spans="1:6">
      <c r="A35" s="50"/>
      <c r="B35" s="11">
        <f t="shared" si="0"/>
        <v>1.575</v>
      </c>
      <c r="C35" s="11"/>
      <c r="D35" s="11" t="e">
        <f>D27/C35</f>
        <v>#DIV/0!</v>
      </c>
      <c r="E35" s="11"/>
      <c r="F35" s="12">
        <v>3</v>
      </c>
    </row>
    <row r="36" spans="1:6">
      <c r="A36" s="50"/>
      <c r="B36" s="11">
        <f t="shared" si="0"/>
        <v>1.575</v>
      </c>
      <c r="C36" s="11"/>
      <c r="D36" s="11" t="e">
        <f>D27/C36</f>
        <v>#DIV/0!</v>
      </c>
      <c r="E36" s="11"/>
      <c r="F36" s="12"/>
    </row>
    <row r="37" spans="1:6" ht="15.75" thickBot="1">
      <c r="A37" s="59"/>
      <c r="B37" s="60">
        <f t="shared" si="0"/>
        <v>1.575</v>
      </c>
      <c r="C37" s="60"/>
      <c r="D37" s="60" t="e">
        <f>D27/C37</f>
        <v>#DIV/0!</v>
      </c>
      <c r="E37" s="60"/>
      <c r="F37" s="61"/>
    </row>
    <row r="38" spans="1:6" ht="15.75" thickTop="1">
      <c r="A38" s="50"/>
      <c r="B38" s="28"/>
      <c r="C38" s="28"/>
      <c r="D38" s="28"/>
      <c r="E38" s="28"/>
      <c r="F38" s="30"/>
    </row>
    <row r="39" spans="1:6">
      <c r="A39" s="62" t="s">
        <v>71</v>
      </c>
      <c r="B39" s="28"/>
      <c r="C39" s="28"/>
      <c r="D39" s="28"/>
      <c r="E39" s="28"/>
      <c r="F39" s="30"/>
    </row>
    <row r="40" spans="1:6">
      <c r="A40" s="50" t="s">
        <v>72</v>
      </c>
      <c r="B40" s="28">
        <f>B1/2</f>
        <v>7.4999999999999997E-2</v>
      </c>
      <c r="C40" s="28"/>
      <c r="D40" s="28"/>
      <c r="E40" s="28"/>
      <c r="F40" s="30"/>
    </row>
    <row r="41" spans="1:6">
      <c r="A41" s="50" t="s">
        <v>73</v>
      </c>
      <c r="B41" s="28">
        <f>15*E15</f>
        <v>4.7099999999999998E-3</v>
      </c>
      <c r="C41" s="28"/>
      <c r="D41" s="28"/>
      <c r="E41" s="28"/>
      <c r="F41" s="30"/>
    </row>
    <row r="42" spans="1:6">
      <c r="A42" s="50" t="s">
        <v>74</v>
      </c>
      <c r="B42" s="28">
        <f>-15*E15*B9</f>
        <v>-1.1774999999999999E-3</v>
      </c>
      <c r="C42" s="28"/>
      <c r="D42" s="28"/>
      <c r="E42" s="28"/>
      <c r="F42" s="30"/>
    </row>
    <row r="43" spans="1:6">
      <c r="A43" s="50" t="s">
        <v>75</v>
      </c>
      <c r="B43" s="28">
        <f>((B41^2)-(4*B40*B42))</f>
        <v>3.7543409999999999E-4</v>
      </c>
      <c r="C43" s="28"/>
      <c r="D43" s="28"/>
      <c r="E43" s="28"/>
      <c r="F43" s="30"/>
    </row>
    <row r="44" spans="1:6" ht="15.75" thickBot="1">
      <c r="A44" s="63" t="s">
        <v>66</v>
      </c>
      <c r="B44" s="64">
        <f>(-B41+(SQRT(B43)))/(2*B40)</f>
        <v>9.7774146020014399E-2</v>
      </c>
      <c r="C44" s="64"/>
      <c r="D44" s="65"/>
      <c r="E44" s="65"/>
      <c r="F44" s="66"/>
    </row>
  </sheetData>
  <pageMargins left="0" right="0" top="0" bottom="0" header="0.31496062992125984" footer="0"/>
  <pageSetup paperSize="9" scale="79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POUTRES</vt:lpstr>
      <vt:lpstr>POUTRES!Zone_d_impression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</dc:creator>
  <cp:lastModifiedBy>krem</cp:lastModifiedBy>
  <dcterms:created xsi:type="dcterms:W3CDTF">2012-07-13T17:55:22Z</dcterms:created>
  <dcterms:modified xsi:type="dcterms:W3CDTF">2012-07-13T18:46:05Z</dcterms:modified>
</cp:coreProperties>
</file>